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深圳华强北询价\"/>
    </mc:Choice>
  </mc:AlternateContent>
  <bookViews>
    <workbookView xWindow="480" yWindow="22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企业预期售价" sheetId="79" r:id="rId45"/>
    <sheet name="土地案例" sheetId="70" r:id="rId46"/>
    <sheet name="位置" sheetId="80" r:id="rId47"/>
    <sheet name="文件" sheetId="69" r:id="rId48"/>
    <sheet name="办公案例" sheetId="75" r:id="rId49"/>
    <sheet name="商业案例" sheetId="76" r:id="rId50"/>
    <sheet name="公寓案例" sheetId="77" r:id="rId51"/>
    <sheet name="车库案例" sheetId="78" r:id="rId5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7" i="39" l="1"/>
  <c r="C108" i="9"/>
  <c r="C106" i="9"/>
  <c r="I48" i="39" l="1"/>
  <c r="G48" i="39"/>
  <c r="E48" i="39"/>
  <c r="I40" i="39"/>
  <c r="G40" i="39"/>
  <c r="E40" i="39"/>
  <c r="I9" i="39"/>
  <c r="G9" i="39"/>
  <c r="E9" i="39"/>
  <c r="I7" i="39"/>
  <c r="G7" i="39"/>
  <c r="Q8" i="12"/>
  <c r="R14" i="12" l="1"/>
  <c r="R12" i="12"/>
  <c r="R10" i="12"/>
  <c r="R11" i="12" s="1"/>
  <c r="R9" i="12"/>
  <c r="L7" i="1"/>
  <c r="S13" i="12" l="1"/>
  <c r="R13" i="12" s="1"/>
  <c r="D83" i="39"/>
  <c r="E83" i="39" s="1"/>
  <c r="F83" i="39" s="1"/>
  <c r="G83" i="39" s="1"/>
  <c r="H83" i="39" s="1"/>
  <c r="I83" i="39" s="1"/>
  <c r="J83" i="39" s="1"/>
  <c r="K83" i="39" s="1"/>
  <c r="L83" i="39" s="1"/>
  <c r="F19" i="39"/>
  <c r="AA19" i="39" s="1"/>
  <c r="H19" i="39"/>
  <c r="AB19" i="39" s="1"/>
  <c r="D93" i="39"/>
  <c r="J19" i="39"/>
  <c r="AC19" i="39"/>
  <c r="J21" i="39"/>
  <c r="AC21" i="39" s="1"/>
  <c r="J23" i="39"/>
  <c r="AC23" i="39"/>
  <c r="E19" i="12"/>
  <c r="C17" i="9"/>
  <c r="D17" i="9"/>
  <c r="L10" i="1"/>
  <c r="L11" i="1" s="1"/>
  <c r="L14" i="1" s="1"/>
  <c r="L9" i="1"/>
  <c r="AN13" i="3"/>
  <c r="AL13" i="3"/>
  <c r="C11" i="79"/>
  <c r="C19" i="6"/>
  <c r="A6" i="1"/>
  <c r="G1" i="15" s="1"/>
  <c r="G24" i="76"/>
  <c r="G25" i="76"/>
  <c r="G26" i="76"/>
  <c r="G27" i="76"/>
  <c r="F19" i="6"/>
  <c r="E19" i="6"/>
  <c r="C20" i="6"/>
  <c r="C21" i="6"/>
  <c r="C22" i="6"/>
  <c r="C23" i="6"/>
  <c r="C24" i="6"/>
  <c r="F20" i="6"/>
  <c r="E20" i="6"/>
  <c r="M13" i="3"/>
  <c r="F22" i="6"/>
  <c r="E22" i="6"/>
  <c r="G23" i="6"/>
  <c r="E23" i="6" s="1"/>
  <c r="G24" i="6"/>
  <c r="E24" i="6"/>
  <c r="E25" i="6"/>
  <c r="E26" i="6"/>
  <c r="BB13" i="3"/>
  <c r="BC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B21" i="3"/>
  <c r="BC21" i="3"/>
  <c r="BD21" i="3"/>
  <c r="BE21" i="3"/>
  <c r="BF21" i="3"/>
  <c r="BG21" i="3"/>
  <c r="BH21" i="3"/>
  <c r="BI21" i="3"/>
  <c r="BJ21" i="3"/>
  <c r="BK21" i="3"/>
  <c r="BB22" i="3"/>
  <c r="BC22" i="3"/>
  <c r="BD22" i="3"/>
  <c r="BE22" i="3"/>
  <c r="BF22" i="3"/>
  <c r="BG22" i="3"/>
  <c r="BH22" i="3"/>
  <c r="BI22" i="3"/>
  <c r="BJ22" i="3"/>
  <c r="BK22" i="3"/>
  <c r="BA22" i="3"/>
  <c r="BB23" i="3"/>
  <c r="BA23" i="3" s="1"/>
  <c r="BC23" i="3"/>
  <c r="BD23" i="3"/>
  <c r="BE23" i="3"/>
  <c r="BF23" i="3"/>
  <c r="BG23" i="3"/>
  <c r="BH23" i="3"/>
  <c r="BI23" i="3"/>
  <c r="BJ23" i="3"/>
  <c r="BK23" i="3"/>
  <c r="BB24" i="3"/>
  <c r="BC24" i="3"/>
  <c r="BD24" i="3"/>
  <c r="BE24" i="3"/>
  <c r="BF24" i="3"/>
  <c r="BG24" i="3"/>
  <c r="BH24" i="3"/>
  <c r="BI24" i="3"/>
  <c r="BJ24" i="3"/>
  <c r="BK24" i="3"/>
  <c r="BB25" i="3"/>
  <c r="BC25" i="3"/>
  <c r="BD25" i="3"/>
  <c r="BE25" i="3"/>
  <c r="BF25" i="3"/>
  <c r="BG25" i="3"/>
  <c r="BH25" i="3"/>
  <c r="BI25" i="3"/>
  <c r="BJ25" i="3"/>
  <c r="BK25" i="3"/>
  <c r="BB26" i="3"/>
  <c r="BC26" i="3"/>
  <c r="BD26" i="3"/>
  <c r="BE26" i="3"/>
  <c r="BF26" i="3"/>
  <c r="BG26" i="3"/>
  <c r="BH26" i="3"/>
  <c r="BI26" i="3"/>
  <c r="BJ26" i="3"/>
  <c r="BK26" i="3"/>
  <c r="BA26" i="3"/>
  <c r="BB27" i="3"/>
  <c r="BA27" i="3" s="1"/>
  <c r="BC27" i="3"/>
  <c r="BD27" i="3"/>
  <c r="BE27" i="3"/>
  <c r="BF27" i="3"/>
  <c r="BG27" i="3"/>
  <c r="BH27" i="3"/>
  <c r="BI27" i="3"/>
  <c r="BJ27" i="3"/>
  <c r="BK27" i="3"/>
  <c r="BB28" i="3"/>
  <c r="BC28" i="3"/>
  <c r="BD28" i="3"/>
  <c r="BE28" i="3"/>
  <c r="BF28" i="3"/>
  <c r="BG28" i="3"/>
  <c r="BH28" i="3"/>
  <c r="BI28" i="3"/>
  <c r="BJ28" i="3"/>
  <c r="BK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B37" i="3"/>
  <c r="BC37" i="3"/>
  <c r="BD37" i="3"/>
  <c r="BE37" i="3"/>
  <c r="BF37" i="3"/>
  <c r="BG37" i="3"/>
  <c r="BH37" i="3"/>
  <c r="BI37" i="3"/>
  <c r="BJ37" i="3"/>
  <c r="BK37" i="3"/>
  <c r="BB38" i="3"/>
  <c r="BC38" i="3"/>
  <c r="BD38" i="3"/>
  <c r="BE38" i="3"/>
  <c r="BF38" i="3"/>
  <c r="BG38" i="3"/>
  <c r="BH38" i="3"/>
  <c r="BI38" i="3"/>
  <c r="BJ38" i="3"/>
  <c r="BK38" i="3"/>
  <c r="BA38" i="3"/>
  <c r="BB39" i="3"/>
  <c r="BA39" i="3" s="1"/>
  <c r="BC39" i="3"/>
  <c r="BD39" i="3"/>
  <c r="BE39" i="3"/>
  <c r="BF39" i="3"/>
  <c r="BG39" i="3"/>
  <c r="BH39" i="3"/>
  <c r="BI39" i="3"/>
  <c r="BJ39" i="3"/>
  <c r="BK39" i="3"/>
  <c r="BB40" i="3"/>
  <c r="BC40" i="3"/>
  <c r="BD40" i="3"/>
  <c r="BE40" i="3"/>
  <c r="BF40" i="3"/>
  <c r="BG40" i="3"/>
  <c r="BH40" i="3"/>
  <c r="BI40" i="3"/>
  <c r="BJ40" i="3"/>
  <c r="BK40" i="3"/>
  <c r="BB41" i="3"/>
  <c r="BC41" i="3"/>
  <c r="BD41" i="3"/>
  <c r="BE41" i="3"/>
  <c r="BF41" i="3"/>
  <c r="BG41" i="3"/>
  <c r="BH41" i="3"/>
  <c r="BI41" i="3"/>
  <c r="BJ41" i="3"/>
  <c r="BK41" i="3"/>
  <c r="BB42" i="3"/>
  <c r="BC42" i="3"/>
  <c r="BD42" i="3"/>
  <c r="BE42" i="3"/>
  <c r="BF42" i="3"/>
  <c r="BG42" i="3"/>
  <c r="BH42" i="3"/>
  <c r="BI42" i="3"/>
  <c r="BJ42" i="3"/>
  <c r="BK42" i="3"/>
  <c r="BA42" i="3"/>
  <c r="BB43" i="3"/>
  <c r="BA43" i="3" s="1"/>
  <c r="BC43" i="3"/>
  <c r="BD43" i="3"/>
  <c r="BE43" i="3"/>
  <c r="BF43" i="3"/>
  <c r="BG43" i="3"/>
  <c r="BH43" i="3"/>
  <c r="BI43" i="3"/>
  <c r="BJ43" i="3"/>
  <c r="BK43" i="3"/>
  <c r="BB44" i="3"/>
  <c r="BC44" i="3"/>
  <c r="BD44" i="3"/>
  <c r="BE44" i="3"/>
  <c r="BF44" i="3"/>
  <c r="BG44" i="3"/>
  <c r="BH44" i="3"/>
  <c r="BI44" i="3"/>
  <c r="BJ44" i="3"/>
  <c r="BK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B53" i="3"/>
  <c r="BC53" i="3"/>
  <c r="BD53" i="3"/>
  <c r="BE53" i="3"/>
  <c r="BF53" i="3"/>
  <c r="BG53" i="3"/>
  <c r="BH53" i="3"/>
  <c r="BI53" i="3"/>
  <c r="BJ53" i="3"/>
  <c r="BK53" i="3"/>
  <c r="BB54" i="3"/>
  <c r="BC54" i="3"/>
  <c r="BD54" i="3"/>
  <c r="BE54" i="3"/>
  <c r="BF54" i="3"/>
  <c r="BG54" i="3"/>
  <c r="BH54" i="3"/>
  <c r="BI54" i="3"/>
  <c r="BJ54" i="3"/>
  <c r="BK54" i="3"/>
  <c r="BA54" i="3"/>
  <c r="BB55" i="3"/>
  <c r="BA55" i="3" s="1"/>
  <c r="BC55" i="3"/>
  <c r="BD55" i="3"/>
  <c r="BE55" i="3"/>
  <c r="BF55" i="3"/>
  <c r="BG55" i="3"/>
  <c r="BH55" i="3"/>
  <c r="BI55" i="3"/>
  <c r="BJ55" i="3"/>
  <c r="BK55" i="3"/>
  <c r="BB56" i="3"/>
  <c r="BC56" i="3"/>
  <c r="BD56" i="3"/>
  <c r="BE56" i="3"/>
  <c r="BF56" i="3"/>
  <c r="BG56" i="3"/>
  <c r="BH56" i="3"/>
  <c r="BI56" i="3"/>
  <c r="BJ56" i="3"/>
  <c r="BK56" i="3"/>
  <c r="BB57" i="3"/>
  <c r="BC57" i="3"/>
  <c r="BD57" i="3"/>
  <c r="BE57" i="3"/>
  <c r="BF57" i="3"/>
  <c r="BG57" i="3"/>
  <c r="BH57" i="3"/>
  <c r="BI57" i="3"/>
  <c r="BJ57" i="3"/>
  <c r="BK57" i="3"/>
  <c r="BB58" i="3"/>
  <c r="BC58" i="3"/>
  <c r="BD58" i="3"/>
  <c r="BE58" i="3"/>
  <c r="BF58" i="3"/>
  <c r="BG58" i="3"/>
  <c r="BH58" i="3"/>
  <c r="BI58" i="3"/>
  <c r="BJ58" i="3"/>
  <c r="BK58" i="3"/>
  <c r="BA58" i="3"/>
  <c r="BB59" i="3"/>
  <c r="BA59" i="3" s="1"/>
  <c r="BC59" i="3"/>
  <c r="BD59" i="3"/>
  <c r="BE59" i="3"/>
  <c r="BF59" i="3"/>
  <c r="BG59" i="3"/>
  <c r="BH59" i="3"/>
  <c r="BI59" i="3"/>
  <c r="BJ59" i="3"/>
  <c r="BK59" i="3"/>
  <c r="BB60" i="3"/>
  <c r="BC60" i="3"/>
  <c r="BD60" i="3"/>
  <c r="BE60" i="3"/>
  <c r="BF60" i="3"/>
  <c r="BG60" i="3"/>
  <c r="BH60" i="3"/>
  <c r="BI60" i="3"/>
  <c r="BJ60" i="3"/>
  <c r="BK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B69" i="3"/>
  <c r="BC69" i="3"/>
  <c r="BD69" i="3"/>
  <c r="BE69" i="3"/>
  <c r="BF69" i="3"/>
  <c r="BG69" i="3"/>
  <c r="BH69" i="3"/>
  <c r="BI69" i="3"/>
  <c r="BJ69" i="3"/>
  <c r="BK69" i="3"/>
  <c r="BB70" i="3"/>
  <c r="BC70" i="3"/>
  <c r="BD70" i="3"/>
  <c r="BE70" i="3"/>
  <c r="BF70" i="3"/>
  <c r="BG70" i="3"/>
  <c r="BH70" i="3"/>
  <c r="BI70" i="3"/>
  <c r="BJ70" i="3"/>
  <c r="BK70" i="3"/>
  <c r="BA70" i="3"/>
  <c r="BB71" i="3"/>
  <c r="BA71" i="3" s="1"/>
  <c r="BC71" i="3"/>
  <c r="BD71" i="3"/>
  <c r="BE71" i="3"/>
  <c r="BF71" i="3"/>
  <c r="BG71" i="3"/>
  <c r="BH71" i="3"/>
  <c r="BI71" i="3"/>
  <c r="BJ71" i="3"/>
  <c r="BK71" i="3"/>
  <c r="BB72" i="3"/>
  <c r="BC72" i="3"/>
  <c r="BD72" i="3"/>
  <c r="BE72" i="3"/>
  <c r="BF72" i="3"/>
  <c r="BG72" i="3"/>
  <c r="BH72" i="3"/>
  <c r="BI72" i="3"/>
  <c r="BJ72" i="3"/>
  <c r="BK72" i="3"/>
  <c r="BB73" i="3"/>
  <c r="BC73" i="3"/>
  <c r="BD73" i="3"/>
  <c r="BE73" i="3"/>
  <c r="BF73" i="3"/>
  <c r="BG73" i="3"/>
  <c r="BH73" i="3"/>
  <c r="BI73" i="3"/>
  <c r="BJ73" i="3"/>
  <c r="BK73" i="3"/>
  <c r="BB74" i="3"/>
  <c r="BC74" i="3"/>
  <c r="BD74" i="3"/>
  <c r="BE74" i="3"/>
  <c r="BF74" i="3"/>
  <c r="BG74" i="3"/>
  <c r="BH74" i="3"/>
  <c r="BI74" i="3"/>
  <c r="BJ74" i="3"/>
  <c r="BK74" i="3"/>
  <c r="BA74" i="3"/>
  <c r="BB75" i="3"/>
  <c r="BA75" i="3" s="1"/>
  <c r="BC75" i="3"/>
  <c r="BD75" i="3"/>
  <c r="BE75" i="3"/>
  <c r="BF75" i="3"/>
  <c r="BG75" i="3"/>
  <c r="BH75" i="3"/>
  <c r="BI75" i="3"/>
  <c r="BJ75" i="3"/>
  <c r="BK75" i="3"/>
  <c r="BB76" i="3"/>
  <c r="BC76" i="3"/>
  <c r="BD76" i="3"/>
  <c r="BE76" i="3"/>
  <c r="BF76" i="3"/>
  <c r="BG76" i="3"/>
  <c r="BH76" i="3"/>
  <c r="BI76" i="3"/>
  <c r="BJ76" i="3"/>
  <c r="BK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B85" i="3"/>
  <c r="BC85" i="3"/>
  <c r="BD85" i="3"/>
  <c r="BE85" i="3"/>
  <c r="BF85" i="3"/>
  <c r="BG85" i="3"/>
  <c r="BH85" i="3"/>
  <c r="BI85" i="3"/>
  <c r="BJ85" i="3"/>
  <c r="BK85" i="3"/>
  <c r="BB86" i="3"/>
  <c r="BC86" i="3"/>
  <c r="BD86" i="3"/>
  <c r="BE86" i="3"/>
  <c r="BF86" i="3"/>
  <c r="BG86" i="3"/>
  <c r="BH86" i="3"/>
  <c r="BI86" i="3"/>
  <c r="BJ86" i="3"/>
  <c r="BK86" i="3"/>
  <c r="BA86" i="3"/>
  <c r="BB87" i="3"/>
  <c r="BA87" i="3" s="1"/>
  <c r="BC87" i="3"/>
  <c r="BD87" i="3"/>
  <c r="BE87" i="3"/>
  <c r="BF87" i="3"/>
  <c r="BG87" i="3"/>
  <c r="BH87" i="3"/>
  <c r="BI87" i="3"/>
  <c r="BJ87" i="3"/>
  <c r="BK87" i="3"/>
  <c r="BB88" i="3"/>
  <c r="BC88" i="3"/>
  <c r="BD88" i="3"/>
  <c r="BE88" i="3"/>
  <c r="BF88" i="3"/>
  <c r="BG88" i="3"/>
  <c r="BH88" i="3"/>
  <c r="BI88" i="3"/>
  <c r="BJ88" i="3"/>
  <c r="BK88" i="3"/>
  <c r="BB89" i="3"/>
  <c r="BC89" i="3"/>
  <c r="BD89" i="3"/>
  <c r="BE89" i="3"/>
  <c r="BF89" i="3"/>
  <c r="BG89" i="3"/>
  <c r="BH89" i="3"/>
  <c r="BI89" i="3"/>
  <c r="BJ89" i="3"/>
  <c r="BK89" i="3"/>
  <c r="BB90" i="3"/>
  <c r="BC90" i="3"/>
  <c r="BD90" i="3"/>
  <c r="BE90" i="3"/>
  <c r="BF90" i="3"/>
  <c r="BG90" i="3"/>
  <c r="BH90" i="3"/>
  <c r="BI90" i="3"/>
  <c r="BJ90" i="3"/>
  <c r="BK90" i="3"/>
  <c r="BA90" i="3"/>
  <c r="BB91" i="3"/>
  <c r="BA91" i="3" s="1"/>
  <c r="BC91" i="3"/>
  <c r="BD91" i="3"/>
  <c r="BE91" i="3"/>
  <c r="BF91" i="3"/>
  <c r="BG91" i="3"/>
  <c r="BH91" i="3"/>
  <c r="BI91" i="3"/>
  <c r="BJ91" i="3"/>
  <c r="BK91" i="3"/>
  <c r="BB92" i="3"/>
  <c r="BC92" i="3"/>
  <c r="BD92" i="3"/>
  <c r="BE92" i="3"/>
  <c r="BF92" i="3"/>
  <c r="BG92" i="3"/>
  <c r="BH92" i="3"/>
  <c r="BI92" i="3"/>
  <c r="BJ92" i="3"/>
  <c r="BK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B101" i="3"/>
  <c r="BC101" i="3"/>
  <c r="BD101" i="3"/>
  <c r="BE101" i="3"/>
  <c r="BF101" i="3"/>
  <c r="BG101" i="3"/>
  <c r="BH101" i="3"/>
  <c r="BI101" i="3"/>
  <c r="BJ101" i="3"/>
  <c r="BK101" i="3"/>
  <c r="BB102" i="3"/>
  <c r="BC102" i="3"/>
  <c r="BD102" i="3"/>
  <c r="BE102" i="3"/>
  <c r="BF102" i="3"/>
  <c r="BG102" i="3"/>
  <c r="BH102" i="3"/>
  <c r="BI102" i="3"/>
  <c r="BJ102" i="3"/>
  <c r="BK102" i="3"/>
  <c r="BA102" i="3"/>
  <c r="BB103" i="3"/>
  <c r="BA103" i="3" s="1"/>
  <c r="BC103" i="3"/>
  <c r="BD103" i="3"/>
  <c r="BE103" i="3"/>
  <c r="BF103" i="3"/>
  <c r="BG103" i="3"/>
  <c r="BH103" i="3"/>
  <c r="BI103" i="3"/>
  <c r="BJ103" i="3"/>
  <c r="BK103" i="3"/>
  <c r="BB104" i="3"/>
  <c r="BC104" i="3"/>
  <c r="BD104" i="3"/>
  <c r="BE104" i="3"/>
  <c r="BF104" i="3"/>
  <c r="BG104" i="3"/>
  <c r="BH104" i="3"/>
  <c r="BI104" i="3"/>
  <c r="BJ104" i="3"/>
  <c r="BK104" i="3"/>
  <c r="BB105" i="3"/>
  <c r="BC105" i="3"/>
  <c r="BD105" i="3"/>
  <c r="BE105" i="3"/>
  <c r="BF105" i="3"/>
  <c r="BG105" i="3"/>
  <c r="BH105" i="3"/>
  <c r="BI105" i="3"/>
  <c r="BJ105" i="3"/>
  <c r="BK105" i="3"/>
  <c r="BB106" i="3"/>
  <c r="BC106" i="3"/>
  <c r="BD106" i="3"/>
  <c r="BE106" i="3"/>
  <c r="BF106" i="3"/>
  <c r="BG106" i="3"/>
  <c r="BH106" i="3"/>
  <c r="BI106" i="3"/>
  <c r="BJ106" i="3"/>
  <c r="BK106" i="3"/>
  <c r="BA106" i="3"/>
  <c r="BB107" i="3"/>
  <c r="BA107" i="3" s="1"/>
  <c r="BC107" i="3"/>
  <c r="BD107" i="3"/>
  <c r="BE107" i="3"/>
  <c r="BF107" i="3"/>
  <c r="BG107" i="3"/>
  <c r="BH107" i="3"/>
  <c r="BI107" i="3"/>
  <c r="BJ107" i="3"/>
  <c r="BK107" i="3"/>
  <c r="BB108" i="3"/>
  <c r="BC108" i="3"/>
  <c r="BD108" i="3"/>
  <c r="BE108" i="3"/>
  <c r="BF108" i="3"/>
  <c r="BG108" i="3"/>
  <c r="BH108" i="3"/>
  <c r="BI108" i="3"/>
  <c r="BJ108" i="3"/>
  <c r="BK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B117" i="3"/>
  <c r="BC117" i="3"/>
  <c r="BD117" i="3"/>
  <c r="BE117" i="3"/>
  <c r="BF117" i="3"/>
  <c r="BG117" i="3"/>
  <c r="BH117" i="3"/>
  <c r="BI117" i="3"/>
  <c r="BJ117" i="3"/>
  <c r="BK117" i="3"/>
  <c r="BB118" i="3"/>
  <c r="BC118" i="3"/>
  <c r="BD118" i="3"/>
  <c r="BE118" i="3"/>
  <c r="BF118" i="3"/>
  <c r="BG118" i="3"/>
  <c r="BH118" i="3"/>
  <c r="BI118" i="3"/>
  <c r="BJ118" i="3"/>
  <c r="BK118" i="3"/>
  <c r="BA118" i="3"/>
  <c r="BB119" i="3"/>
  <c r="BA119" i="3" s="1"/>
  <c r="BC119" i="3"/>
  <c r="BD119" i="3"/>
  <c r="BE119" i="3"/>
  <c r="BF119" i="3"/>
  <c r="BG119" i="3"/>
  <c r="BH119" i="3"/>
  <c r="BI119" i="3"/>
  <c r="BJ119" i="3"/>
  <c r="BK119" i="3"/>
  <c r="BB120" i="3"/>
  <c r="BC120" i="3"/>
  <c r="BD120" i="3"/>
  <c r="BE120" i="3"/>
  <c r="BF120" i="3"/>
  <c r="BG120" i="3"/>
  <c r="BH120" i="3"/>
  <c r="BI120" i="3"/>
  <c r="BJ120" i="3"/>
  <c r="BK120" i="3"/>
  <c r="BB121" i="3"/>
  <c r="BC121" i="3"/>
  <c r="BD121" i="3"/>
  <c r="BE121" i="3"/>
  <c r="BF121" i="3"/>
  <c r="BG121" i="3"/>
  <c r="BH121" i="3"/>
  <c r="BI121" i="3"/>
  <c r="BJ121" i="3"/>
  <c r="BK121" i="3"/>
  <c r="BB122" i="3"/>
  <c r="BC122" i="3"/>
  <c r="BD122" i="3"/>
  <c r="BE122" i="3"/>
  <c r="BF122" i="3"/>
  <c r="BG122" i="3"/>
  <c r="BH122" i="3"/>
  <c r="BI122" i="3"/>
  <c r="BJ122" i="3"/>
  <c r="BK122" i="3"/>
  <c r="BA122" i="3"/>
  <c r="BB123" i="3"/>
  <c r="BA123" i="3" s="1"/>
  <c r="BC123" i="3"/>
  <c r="BD123" i="3"/>
  <c r="BE123" i="3"/>
  <c r="BF123" i="3"/>
  <c r="BG123" i="3"/>
  <c r="BH123" i="3"/>
  <c r="BI123" i="3"/>
  <c r="BJ123" i="3"/>
  <c r="BK123" i="3"/>
  <c r="BB124" i="3"/>
  <c r="BC124" i="3"/>
  <c r="BD124" i="3"/>
  <c r="BE124" i="3"/>
  <c r="BF124" i="3"/>
  <c r="BG124" i="3"/>
  <c r="BH124" i="3"/>
  <c r="BI124" i="3"/>
  <c r="BJ124" i="3"/>
  <c r="BK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B133" i="3"/>
  <c r="BC133" i="3"/>
  <c r="BD133" i="3"/>
  <c r="BE133" i="3"/>
  <c r="BF133" i="3"/>
  <c r="BG133" i="3"/>
  <c r="BH133" i="3"/>
  <c r="BI133" i="3"/>
  <c r="BJ133" i="3"/>
  <c r="BK133" i="3"/>
  <c r="BB134" i="3"/>
  <c r="BC134" i="3"/>
  <c r="BD134" i="3"/>
  <c r="BE134" i="3"/>
  <c r="BF134" i="3"/>
  <c r="BG134" i="3"/>
  <c r="BH134" i="3"/>
  <c r="BI134" i="3"/>
  <c r="BJ134" i="3"/>
  <c r="BK134" i="3"/>
  <c r="BA134" i="3"/>
  <c r="BB135" i="3"/>
  <c r="BA135" i="3" s="1"/>
  <c r="BC135" i="3"/>
  <c r="BD135" i="3"/>
  <c r="BE135" i="3"/>
  <c r="BF135" i="3"/>
  <c r="BG135" i="3"/>
  <c r="BH135" i="3"/>
  <c r="BI135" i="3"/>
  <c r="BJ135" i="3"/>
  <c r="BK135" i="3"/>
  <c r="BB136" i="3"/>
  <c r="BC136" i="3"/>
  <c r="BD136" i="3"/>
  <c r="BE136" i="3"/>
  <c r="BF136" i="3"/>
  <c r="BG136" i="3"/>
  <c r="BH136" i="3"/>
  <c r="BI136" i="3"/>
  <c r="BJ136" i="3"/>
  <c r="BK136" i="3"/>
  <c r="BB137" i="3"/>
  <c r="BC137" i="3"/>
  <c r="BD137" i="3"/>
  <c r="BE137" i="3"/>
  <c r="BF137" i="3"/>
  <c r="BG137" i="3"/>
  <c r="BH137" i="3"/>
  <c r="BI137" i="3"/>
  <c r="BJ137" i="3"/>
  <c r="BK137" i="3"/>
  <c r="BB138" i="3"/>
  <c r="BC138" i="3"/>
  <c r="BD138" i="3"/>
  <c r="BE138" i="3"/>
  <c r="BF138" i="3"/>
  <c r="BG138" i="3"/>
  <c r="BH138" i="3"/>
  <c r="BI138" i="3"/>
  <c r="BJ138" i="3"/>
  <c r="BK138" i="3"/>
  <c r="BA138" i="3"/>
  <c r="BB139" i="3"/>
  <c r="BA139" i="3" s="1"/>
  <c r="BC139" i="3"/>
  <c r="BD139" i="3"/>
  <c r="BE139" i="3"/>
  <c r="BF139" i="3"/>
  <c r="BG139" i="3"/>
  <c r="BH139" i="3"/>
  <c r="BI139" i="3"/>
  <c r="BJ139" i="3"/>
  <c r="BK139" i="3"/>
  <c r="BB140" i="3"/>
  <c r="BC140" i="3"/>
  <c r="BD140" i="3"/>
  <c r="BE140" i="3"/>
  <c r="BF140" i="3"/>
  <c r="BG140" i="3"/>
  <c r="BH140" i="3"/>
  <c r="BI140" i="3"/>
  <c r="BJ140" i="3"/>
  <c r="BK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B149" i="3"/>
  <c r="BC149" i="3"/>
  <c r="BD149" i="3"/>
  <c r="BE149" i="3"/>
  <c r="BF149" i="3"/>
  <c r="BG149" i="3"/>
  <c r="BH149" i="3"/>
  <c r="BI149" i="3"/>
  <c r="BJ149" i="3"/>
  <c r="BK149" i="3"/>
  <c r="BB150" i="3"/>
  <c r="BC150" i="3"/>
  <c r="BD150" i="3"/>
  <c r="BE150" i="3"/>
  <c r="BF150" i="3"/>
  <c r="BG150" i="3"/>
  <c r="BH150" i="3"/>
  <c r="BI150" i="3"/>
  <c r="BJ150" i="3"/>
  <c r="BK150" i="3"/>
  <c r="BA150" i="3"/>
  <c r="BB151" i="3"/>
  <c r="BA151" i="3" s="1"/>
  <c r="BC151" i="3"/>
  <c r="BD151" i="3"/>
  <c r="BE151" i="3"/>
  <c r="BF151" i="3"/>
  <c r="BG151" i="3"/>
  <c r="BH151" i="3"/>
  <c r="BI151" i="3"/>
  <c r="BJ151" i="3"/>
  <c r="BK151" i="3"/>
  <c r="BB152" i="3"/>
  <c r="BC152" i="3"/>
  <c r="BD152" i="3"/>
  <c r="BE152" i="3"/>
  <c r="BF152" i="3"/>
  <c r="BG152" i="3"/>
  <c r="BH152" i="3"/>
  <c r="BI152" i="3"/>
  <c r="BJ152" i="3"/>
  <c r="BK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B157" i="3"/>
  <c r="BC157" i="3"/>
  <c r="BD157" i="3"/>
  <c r="BE157" i="3"/>
  <c r="BF157" i="3"/>
  <c r="BG157" i="3"/>
  <c r="BH157" i="3"/>
  <c r="BI157" i="3"/>
  <c r="BJ157" i="3"/>
  <c r="BK157" i="3"/>
  <c r="BA157" i="3"/>
  <c r="BB158" i="3"/>
  <c r="BC158" i="3"/>
  <c r="BD158" i="3"/>
  <c r="BE158" i="3"/>
  <c r="BF158" i="3"/>
  <c r="BG158" i="3"/>
  <c r="BH158" i="3"/>
  <c r="BI158" i="3"/>
  <c r="BJ158" i="3"/>
  <c r="BK158" i="3"/>
  <c r="BB159" i="3"/>
  <c r="BC159" i="3"/>
  <c r="BD159" i="3"/>
  <c r="BE159" i="3"/>
  <c r="BF159" i="3"/>
  <c r="BG159" i="3"/>
  <c r="BH159" i="3"/>
  <c r="BI159" i="3"/>
  <c r="BJ159" i="3"/>
  <c r="BK159" i="3"/>
  <c r="BB160" i="3"/>
  <c r="BC160" i="3"/>
  <c r="BD160" i="3"/>
  <c r="BE160" i="3"/>
  <c r="BF160" i="3"/>
  <c r="BG160" i="3"/>
  <c r="BH160" i="3"/>
  <c r="BI160" i="3"/>
  <c r="BJ160" i="3"/>
  <c r="BK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B165" i="3"/>
  <c r="BC165" i="3"/>
  <c r="BD165" i="3"/>
  <c r="BE165" i="3"/>
  <c r="BF165" i="3"/>
  <c r="BG165" i="3"/>
  <c r="BH165" i="3"/>
  <c r="BI165" i="3"/>
  <c r="BJ165" i="3"/>
  <c r="BK165" i="3"/>
  <c r="BA165" i="3"/>
  <c r="BB166" i="3"/>
  <c r="BC166" i="3"/>
  <c r="BD166" i="3"/>
  <c r="BE166" i="3"/>
  <c r="BF166" i="3"/>
  <c r="BG166" i="3"/>
  <c r="BH166" i="3"/>
  <c r="BI166" i="3"/>
  <c r="BJ166" i="3"/>
  <c r="BK166" i="3"/>
  <c r="BB167" i="3"/>
  <c r="BC167" i="3"/>
  <c r="BD167" i="3"/>
  <c r="BE167" i="3"/>
  <c r="BF167" i="3"/>
  <c r="BG167" i="3"/>
  <c r="BH167" i="3"/>
  <c r="BI167" i="3"/>
  <c r="BJ167" i="3"/>
  <c r="BK167" i="3"/>
  <c r="BB168" i="3"/>
  <c r="BC168" i="3"/>
  <c r="BD168" i="3"/>
  <c r="BE168" i="3"/>
  <c r="BF168" i="3"/>
  <c r="BG168" i="3"/>
  <c r="BH168" i="3"/>
  <c r="BI168" i="3"/>
  <c r="BJ168" i="3"/>
  <c r="BK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B173" i="3"/>
  <c r="BC173" i="3"/>
  <c r="BD173" i="3"/>
  <c r="BE173" i="3"/>
  <c r="BF173" i="3"/>
  <c r="BG173" i="3"/>
  <c r="BH173" i="3"/>
  <c r="BI173" i="3"/>
  <c r="BJ173" i="3"/>
  <c r="BK173" i="3"/>
  <c r="BA173" i="3"/>
  <c r="BB174" i="3"/>
  <c r="BC174" i="3"/>
  <c r="BD174" i="3"/>
  <c r="BE174" i="3"/>
  <c r="BF174" i="3"/>
  <c r="BG174" i="3"/>
  <c r="BH174" i="3"/>
  <c r="BI174" i="3"/>
  <c r="BJ174" i="3"/>
  <c r="BK174" i="3"/>
  <c r="BB175" i="3"/>
  <c r="BC175" i="3"/>
  <c r="BD175" i="3"/>
  <c r="BE175" i="3"/>
  <c r="BF175" i="3"/>
  <c r="BG175" i="3"/>
  <c r="BH175" i="3"/>
  <c r="BI175" i="3"/>
  <c r="BJ175" i="3"/>
  <c r="BK175" i="3"/>
  <c r="BB176" i="3"/>
  <c r="BC176" i="3"/>
  <c r="BD176" i="3"/>
  <c r="BE176" i="3"/>
  <c r="BF176" i="3"/>
  <c r="BG176" i="3"/>
  <c r="BH176" i="3"/>
  <c r="BI176" i="3"/>
  <c r="BJ176" i="3"/>
  <c r="BK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B181" i="3"/>
  <c r="BC181" i="3"/>
  <c r="BD181" i="3"/>
  <c r="BE181" i="3"/>
  <c r="BF181" i="3"/>
  <c r="BG181" i="3"/>
  <c r="BH181" i="3"/>
  <c r="BI181" i="3"/>
  <c r="BJ181" i="3"/>
  <c r="BK181" i="3"/>
  <c r="BA181" i="3"/>
  <c r="BB182" i="3"/>
  <c r="BC182" i="3"/>
  <c r="BD182" i="3"/>
  <c r="BE182" i="3"/>
  <c r="BF182" i="3"/>
  <c r="BG182" i="3"/>
  <c r="BH182" i="3"/>
  <c r="BI182" i="3"/>
  <c r="BJ182" i="3"/>
  <c r="BK182" i="3"/>
  <c r="BB183" i="3"/>
  <c r="BC183" i="3"/>
  <c r="BD183" i="3"/>
  <c r="BE183" i="3"/>
  <c r="BF183" i="3"/>
  <c r="BG183" i="3"/>
  <c r="BH183" i="3"/>
  <c r="BI183" i="3"/>
  <c r="BJ183" i="3"/>
  <c r="BK183" i="3"/>
  <c r="BB184" i="3"/>
  <c r="BC184" i="3"/>
  <c r="BD184" i="3"/>
  <c r="BE184" i="3"/>
  <c r="BF184" i="3"/>
  <c r="BG184" i="3"/>
  <c r="BH184" i="3"/>
  <c r="BI184" i="3"/>
  <c r="BJ184" i="3"/>
  <c r="BK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B189" i="3"/>
  <c r="BC189" i="3"/>
  <c r="BD189" i="3"/>
  <c r="BE189" i="3"/>
  <c r="BF189" i="3"/>
  <c r="BG189" i="3"/>
  <c r="BH189" i="3"/>
  <c r="BI189" i="3"/>
  <c r="BJ189" i="3"/>
  <c r="BK189" i="3"/>
  <c r="BA189" i="3"/>
  <c r="BB190" i="3"/>
  <c r="BC190" i="3"/>
  <c r="BD190" i="3"/>
  <c r="BE190" i="3"/>
  <c r="BF190" i="3"/>
  <c r="BG190" i="3"/>
  <c r="BH190" i="3"/>
  <c r="BI190" i="3"/>
  <c r="BJ190" i="3"/>
  <c r="BK190" i="3"/>
  <c r="BB191" i="3"/>
  <c r="BC191" i="3"/>
  <c r="BD191" i="3"/>
  <c r="BE191" i="3"/>
  <c r="BF191" i="3"/>
  <c r="BG191" i="3"/>
  <c r="BH191" i="3"/>
  <c r="BI191" i="3"/>
  <c r="BJ191" i="3"/>
  <c r="BK191" i="3"/>
  <c r="BB192" i="3"/>
  <c r="BC192" i="3"/>
  <c r="BD192" i="3"/>
  <c r="BE192" i="3"/>
  <c r="BF192" i="3"/>
  <c r="BG192" i="3"/>
  <c r="BH192" i="3"/>
  <c r="BI192" i="3"/>
  <c r="BJ192" i="3"/>
  <c r="BK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B197" i="3"/>
  <c r="BC197" i="3"/>
  <c r="BD197" i="3"/>
  <c r="BE197" i="3"/>
  <c r="BF197" i="3"/>
  <c r="BG197" i="3"/>
  <c r="BH197" i="3"/>
  <c r="BI197" i="3"/>
  <c r="BJ197" i="3"/>
  <c r="BK197" i="3"/>
  <c r="BA197" i="3"/>
  <c r="BB198" i="3"/>
  <c r="BC198" i="3"/>
  <c r="BD198" i="3"/>
  <c r="BE198" i="3"/>
  <c r="BF198" i="3"/>
  <c r="BG198" i="3"/>
  <c r="BH198" i="3"/>
  <c r="BI198" i="3"/>
  <c r="BJ198" i="3"/>
  <c r="BK198" i="3"/>
  <c r="BB199" i="3"/>
  <c r="BC199" i="3"/>
  <c r="BD199" i="3"/>
  <c r="BE199" i="3"/>
  <c r="BF199" i="3"/>
  <c r="BG199" i="3"/>
  <c r="BH199" i="3"/>
  <c r="BI199" i="3"/>
  <c r="BJ199" i="3"/>
  <c r="BK199" i="3"/>
  <c r="BB200" i="3"/>
  <c r="BC200" i="3"/>
  <c r="BD200" i="3"/>
  <c r="BE200" i="3"/>
  <c r="BF200" i="3"/>
  <c r="BG200" i="3"/>
  <c r="BH200" i="3"/>
  <c r="BI200" i="3"/>
  <c r="BJ200" i="3"/>
  <c r="BK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B205" i="3"/>
  <c r="BC205" i="3"/>
  <c r="BD205" i="3"/>
  <c r="BE205" i="3"/>
  <c r="BF205" i="3"/>
  <c r="BG205" i="3"/>
  <c r="BH205" i="3"/>
  <c r="BI205" i="3"/>
  <c r="BJ205" i="3"/>
  <c r="BK205" i="3"/>
  <c r="BA205" i="3"/>
  <c r="BB206" i="3"/>
  <c r="BC206" i="3"/>
  <c r="BD206" i="3"/>
  <c r="BE206" i="3"/>
  <c r="BF206" i="3"/>
  <c r="BG206" i="3"/>
  <c r="BH206" i="3"/>
  <c r="BI206" i="3"/>
  <c r="BJ206" i="3"/>
  <c r="BK206" i="3"/>
  <c r="BB207" i="3"/>
  <c r="BC207" i="3"/>
  <c r="BD207" i="3"/>
  <c r="BE207" i="3"/>
  <c r="BF207" i="3"/>
  <c r="BG207" i="3"/>
  <c r="BH207" i="3"/>
  <c r="BI207" i="3"/>
  <c r="BJ207" i="3"/>
  <c r="BK207" i="3"/>
  <c r="BB208" i="3"/>
  <c r="BC208" i="3"/>
  <c r="BD208" i="3"/>
  <c r="BE208" i="3"/>
  <c r="BF208" i="3"/>
  <c r="BG208" i="3"/>
  <c r="BH208" i="3"/>
  <c r="BI208" i="3"/>
  <c r="BJ208" i="3"/>
  <c r="BK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B213" i="3"/>
  <c r="BC213" i="3"/>
  <c r="BD213" i="3"/>
  <c r="BE213" i="3"/>
  <c r="BF213" i="3"/>
  <c r="BG213" i="3"/>
  <c r="BH213" i="3"/>
  <c r="BI213" i="3"/>
  <c r="BJ213" i="3"/>
  <c r="BK213" i="3"/>
  <c r="BA213" i="3"/>
  <c r="BB214" i="3"/>
  <c r="BC214" i="3"/>
  <c r="BD214" i="3"/>
  <c r="BE214" i="3"/>
  <c r="BF214" i="3"/>
  <c r="BG214" i="3"/>
  <c r="BH214" i="3"/>
  <c r="BI214" i="3"/>
  <c r="BJ214" i="3"/>
  <c r="BK214" i="3"/>
  <c r="BB215" i="3"/>
  <c r="BC215" i="3"/>
  <c r="BD215" i="3"/>
  <c r="BE215" i="3"/>
  <c r="BF215" i="3"/>
  <c r="BG215" i="3"/>
  <c r="BH215" i="3"/>
  <c r="BI215" i="3"/>
  <c r="BJ215" i="3"/>
  <c r="BK215" i="3"/>
  <c r="BB216" i="3"/>
  <c r="BC216" i="3"/>
  <c r="BD216" i="3"/>
  <c r="BE216" i="3"/>
  <c r="BF216" i="3"/>
  <c r="BG216" i="3"/>
  <c r="BH216" i="3"/>
  <c r="BI216" i="3"/>
  <c r="BJ216" i="3"/>
  <c r="BK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B221" i="3"/>
  <c r="BC221" i="3"/>
  <c r="BD221" i="3"/>
  <c r="BE221" i="3"/>
  <c r="BF221" i="3"/>
  <c r="BG221" i="3"/>
  <c r="BH221" i="3"/>
  <c r="BI221" i="3"/>
  <c r="BJ221" i="3"/>
  <c r="BK221" i="3"/>
  <c r="BA221" i="3"/>
  <c r="BB222" i="3"/>
  <c r="BC222" i="3"/>
  <c r="BD222" i="3"/>
  <c r="BE222" i="3"/>
  <c r="BF222" i="3"/>
  <c r="BG222" i="3"/>
  <c r="BH222" i="3"/>
  <c r="BI222" i="3"/>
  <c r="BJ222" i="3"/>
  <c r="BK222" i="3"/>
  <c r="BB223" i="3"/>
  <c r="BC223" i="3"/>
  <c r="BD223" i="3"/>
  <c r="BE223" i="3"/>
  <c r="BF223" i="3"/>
  <c r="BG223" i="3"/>
  <c r="BH223" i="3"/>
  <c r="BI223" i="3"/>
  <c r="BJ223" i="3"/>
  <c r="BK223" i="3"/>
  <c r="BB224" i="3"/>
  <c r="BC224" i="3"/>
  <c r="BD224" i="3"/>
  <c r="BE224" i="3"/>
  <c r="BF224" i="3"/>
  <c r="BG224" i="3"/>
  <c r="BH224" i="3"/>
  <c r="BI224" i="3"/>
  <c r="BJ224" i="3"/>
  <c r="BK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B229" i="3"/>
  <c r="BC229" i="3"/>
  <c r="BD229" i="3"/>
  <c r="BE229" i="3"/>
  <c r="BF229" i="3"/>
  <c r="BG229" i="3"/>
  <c r="BH229" i="3"/>
  <c r="BI229" i="3"/>
  <c r="BJ229" i="3"/>
  <c r="BK229" i="3"/>
  <c r="BA229" i="3"/>
  <c r="BB230" i="3"/>
  <c r="BC230" i="3"/>
  <c r="BD230" i="3"/>
  <c r="BE230" i="3"/>
  <c r="BF230" i="3"/>
  <c r="BG230" i="3"/>
  <c r="BH230" i="3"/>
  <c r="BI230" i="3"/>
  <c r="BJ230" i="3"/>
  <c r="BK230" i="3"/>
  <c r="BB231" i="3"/>
  <c r="BC231" i="3"/>
  <c r="BD231" i="3"/>
  <c r="BE231" i="3"/>
  <c r="BF231" i="3"/>
  <c r="BG231" i="3"/>
  <c r="BH231" i="3"/>
  <c r="BI231" i="3"/>
  <c r="BJ231" i="3"/>
  <c r="BK231" i="3"/>
  <c r="BB232" i="3"/>
  <c r="BC232" i="3"/>
  <c r="BD232" i="3"/>
  <c r="BE232" i="3"/>
  <c r="BF232" i="3"/>
  <c r="BG232" i="3"/>
  <c r="BH232" i="3"/>
  <c r="BI232" i="3"/>
  <c r="BJ232" i="3"/>
  <c r="BK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B237" i="3"/>
  <c r="BC237" i="3"/>
  <c r="BD237" i="3"/>
  <c r="BE237" i="3"/>
  <c r="BF237" i="3"/>
  <c r="BG237" i="3"/>
  <c r="BH237" i="3"/>
  <c r="BI237" i="3"/>
  <c r="BJ237" i="3"/>
  <c r="BK237" i="3"/>
  <c r="BA237" i="3"/>
  <c r="BB238" i="3"/>
  <c r="BC238" i="3"/>
  <c r="BD238" i="3"/>
  <c r="BE238" i="3"/>
  <c r="BF238" i="3"/>
  <c r="BG238" i="3"/>
  <c r="BH238" i="3"/>
  <c r="BI238" i="3"/>
  <c r="BJ238" i="3"/>
  <c r="BK238" i="3"/>
  <c r="BB239" i="3"/>
  <c r="BC239" i="3"/>
  <c r="BD239" i="3"/>
  <c r="BE239" i="3"/>
  <c r="BF239" i="3"/>
  <c r="BG239" i="3"/>
  <c r="BH239" i="3"/>
  <c r="BI239" i="3"/>
  <c r="BJ239" i="3"/>
  <c r="BK239" i="3"/>
  <c r="BB240" i="3"/>
  <c r="BC240" i="3"/>
  <c r="BD240" i="3"/>
  <c r="BE240" i="3"/>
  <c r="BF240" i="3"/>
  <c r="BG240" i="3"/>
  <c r="BH240" i="3"/>
  <c r="BI240" i="3"/>
  <c r="BJ240" i="3"/>
  <c r="BK240" i="3"/>
  <c r="BB241" i="3"/>
  <c r="BC241" i="3"/>
  <c r="BD241" i="3"/>
  <c r="BE241" i="3"/>
  <c r="BF241" i="3"/>
  <c r="BG241" i="3"/>
  <c r="BH241" i="3"/>
  <c r="BI241" i="3"/>
  <c r="BJ241" i="3"/>
  <c r="BK241" i="3"/>
  <c r="BB242" i="3"/>
  <c r="BC242" i="3"/>
  <c r="BD242" i="3"/>
  <c r="BE242" i="3"/>
  <c r="BF242" i="3"/>
  <c r="BG242" i="3"/>
  <c r="BH242" i="3"/>
  <c r="BI242" i="3"/>
  <c r="BJ242" i="3"/>
  <c r="BK242" i="3"/>
  <c r="BB243" i="3"/>
  <c r="BC243" i="3"/>
  <c r="BD243" i="3"/>
  <c r="BE243" i="3"/>
  <c r="BF243" i="3"/>
  <c r="BG243" i="3"/>
  <c r="BH243" i="3"/>
  <c r="BI243" i="3"/>
  <c r="BJ243" i="3"/>
  <c r="BK243" i="3"/>
  <c r="BA243" i="3"/>
  <c r="BB244" i="3"/>
  <c r="BC244" i="3"/>
  <c r="BD244" i="3"/>
  <c r="BE244" i="3"/>
  <c r="BF244" i="3"/>
  <c r="BG244" i="3"/>
  <c r="BH244" i="3"/>
  <c r="BI244" i="3"/>
  <c r="BJ244" i="3"/>
  <c r="BK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A247" i="3" s="1"/>
  <c r="BF247" i="3"/>
  <c r="BG247" i="3"/>
  <c r="BH247" i="3"/>
  <c r="BI247" i="3"/>
  <c r="BJ247" i="3"/>
  <c r="BK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A250" i="3" s="1"/>
  <c r="BF250" i="3"/>
  <c r="BG250" i="3"/>
  <c r="BH250" i="3"/>
  <c r="BI250" i="3"/>
  <c r="BJ250" i="3"/>
  <c r="BK250" i="3"/>
  <c r="BB251" i="3"/>
  <c r="BC251" i="3"/>
  <c r="BD251" i="3"/>
  <c r="BE251" i="3"/>
  <c r="BF251" i="3"/>
  <c r="BG251" i="3"/>
  <c r="BH251" i="3"/>
  <c r="BI251" i="3"/>
  <c r="BJ251" i="3"/>
  <c r="BK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B256" i="3"/>
  <c r="BC256" i="3"/>
  <c r="BD256" i="3"/>
  <c r="BE256" i="3"/>
  <c r="BF256" i="3"/>
  <c r="BG256" i="3"/>
  <c r="BH256" i="3"/>
  <c r="BI256" i="3"/>
  <c r="BJ256" i="3"/>
  <c r="BK256" i="3"/>
  <c r="BB257" i="3"/>
  <c r="BC257" i="3"/>
  <c r="BD257" i="3"/>
  <c r="BE257" i="3"/>
  <c r="BF257" i="3"/>
  <c r="BG257" i="3"/>
  <c r="BH257" i="3"/>
  <c r="BI257" i="3"/>
  <c r="BJ257" i="3"/>
  <c r="BK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D270" i="3"/>
  <c r="BE270" i="3"/>
  <c r="BF270" i="3"/>
  <c r="BG270" i="3"/>
  <c r="BH270" i="3"/>
  <c r="BI270" i="3"/>
  <c r="BJ270" i="3"/>
  <c r="BK270" i="3"/>
  <c r="BB271" i="3"/>
  <c r="BC271" i="3"/>
  <c r="BD271" i="3"/>
  <c r="BE271" i="3"/>
  <c r="BF271" i="3"/>
  <c r="BG271" i="3"/>
  <c r="BH271" i="3"/>
  <c r="BI271" i="3"/>
  <c r="BJ271" i="3"/>
  <c r="BK271" i="3"/>
  <c r="BB272" i="3"/>
  <c r="BC272" i="3"/>
  <c r="BD272" i="3"/>
  <c r="BE272" i="3"/>
  <c r="BF272" i="3"/>
  <c r="BG272" i="3"/>
  <c r="BH272" i="3"/>
  <c r="BI272" i="3"/>
  <c r="BJ272" i="3"/>
  <c r="BK272" i="3"/>
  <c r="BB273" i="3"/>
  <c r="BC273" i="3"/>
  <c r="BD273" i="3"/>
  <c r="BE273" i="3"/>
  <c r="BF273" i="3"/>
  <c r="BG273" i="3"/>
  <c r="BH273" i="3"/>
  <c r="BI273" i="3"/>
  <c r="BJ273" i="3"/>
  <c r="BK273" i="3"/>
  <c r="BA273" i="3"/>
  <c r="BB274" i="3"/>
  <c r="BC274" i="3"/>
  <c r="BD274" i="3"/>
  <c r="BE274" i="3"/>
  <c r="BF274" i="3"/>
  <c r="BG274" i="3"/>
  <c r="BH274" i="3"/>
  <c r="BI274" i="3"/>
  <c r="BJ274" i="3"/>
  <c r="BK274" i="3"/>
  <c r="BB275" i="3"/>
  <c r="BC275" i="3"/>
  <c r="BD275" i="3"/>
  <c r="BE275" i="3"/>
  <c r="BF275" i="3"/>
  <c r="BG275" i="3"/>
  <c r="BH275" i="3"/>
  <c r="BI275" i="3"/>
  <c r="BJ275" i="3"/>
  <c r="BK275" i="3"/>
  <c r="BB276" i="3"/>
  <c r="BC276" i="3"/>
  <c r="BA276" i="3" s="1"/>
  <c r="BD276" i="3"/>
  <c r="BE276" i="3"/>
  <c r="BF276" i="3"/>
  <c r="BG276" i="3"/>
  <c r="BH276" i="3"/>
  <c r="BI276" i="3"/>
  <c r="BJ276" i="3"/>
  <c r="BK276" i="3"/>
  <c r="BB277" i="3"/>
  <c r="BC277" i="3"/>
  <c r="BD277" i="3"/>
  <c r="BE277" i="3"/>
  <c r="BF277" i="3"/>
  <c r="BG277" i="3"/>
  <c r="BH277" i="3"/>
  <c r="BI277" i="3"/>
  <c r="BJ277" i="3"/>
  <c r="BK277" i="3"/>
  <c r="BA277" i="3"/>
  <c r="BB278" i="3"/>
  <c r="BC278" i="3"/>
  <c r="BD278" i="3"/>
  <c r="BE278" i="3"/>
  <c r="BF278" i="3"/>
  <c r="BG278" i="3"/>
  <c r="BH278" i="3"/>
  <c r="BI278" i="3"/>
  <c r="BJ278" i="3"/>
  <c r="BK278" i="3"/>
  <c r="BB279" i="3"/>
  <c r="BC279" i="3"/>
  <c r="BD279" i="3"/>
  <c r="BE279" i="3"/>
  <c r="BF279" i="3"/>
  <c r="BG279" i="3"/>
  <c r="BH279" i="3"/>
  <c r="BI279" i="3"/>
  <c r="BJ279" i="3"/>
  <c r="BK279" i="3"/>
  <c r="BB280" i="3"/>
  <c r="BC280" i="3"/>
  <c r="BD280" i="3"/>
  <c r="BE280" i="3"/>
  <c r="BF280" i="3"/>
  <c r="BG280" i="3"/>
  <c r="BH280" i="3"/>
  <c r="BI280" i="3"/>
  <c r="BJ280" i="3"/>
  <c r="BK280" i="3"/>
  <c r="BB281" i="3"/>
  <c r="BC281" i="3"/>
  <c r="BD281" i="3"/>
  <c r="BE281" i="3"/>
  <c r="BF281" i="3"/>
  <c r="BG281" i="3"/>
  <c r="BH281" i="3"/>
  <c r="BI281" i="3"/>
  <c r="BJ281" i="3"/>
  <c r="BK281" i="3"/>
  <c r="BA281" i="3"/>
  <c r="BB282" i="3"/>
  <c r="BC282" i="3"/>
  <c r="BD282" i="3"/>
  <c r="BE282" i="3"/>
  <c r="BF282" i="3"/>
  <c r="BG282" i="3"/>
  <c r="BH282" i="3"/>
  <c r="BI282" i="3"/>
  <c r="BJ282" i="3"/>
  <c r="BK282" i="3"/>
  <c r="BB283" i="3"/>
  <c r="BC283" i="3"/>
  <c r="BD283" i="3"/>
  <c r="BE283" i="3"/>
  <c r="BF283" i="3"/>
  <c r="BG283" i="3"/>
  <c r="BH283" i="3"/>
  <c r="BI283" i="3"/>
  <c r="BJ283" i="3"/>
  <c r="BK283" i="3"/>
  <c r="BB284" i="3"/>
  <c r="BC284" i="3"/>
  <c r="BA284" i="3" s="1"/>
  <c r="AZ284" i="3" s="1"/>
  <c r="BD284" i="3"/>
  <c r="BE284" i="3"/>
  <c r="BF284" i="3"/>
  <c r="BG284" i="3"/>
  <c r="BH284" i="3"/>
  <c r="BI284" i="3"/>
  <c r="BJ284" i="3"/>
  <c r="BK284" i="3"/>
  <c r="BB285" i="3"/>
  <c r="BC285" i="3"/>
  <c r="BD285" i="3"/>
  <c r="BE285" i="3"/>
  <c r="BF285" i="3"/>
  <c r="BG285" i="3"/>
  <c r="BH285" i="3"/>
  <c r="BI285" i="3"/>
  <c r="BJ285" i="3"/>
  <c r="BK285" i="3"/>
  <c r="BA285" i="3"/>
  <c r="BB286" i="3"/>
  <c r="BC286" i="3"/>
  <c r="BD286" i="3"/>
  <c r="BE286" i="3"/>
  <c r="BF286" i="3"/>
  <c r="BG286" i="3"/>
  <c r="BH286" i="3"/>
  <c r="BI286" i="3"/>
  <c r="BJ286" i="3"/>
  <c r="BK286" i="3"/>
  <c r="BB287" i="3"/>
  <c r="BC287" i="3"/>
  <c r="BD287" i="3"/>
  <c r="BE287" i="3"/>
  <c r="BF287" i="3"/>
  <c r="BG287" i="3"/>
  <c r="BH287" i="3"/>
  <c r="BI287" i="3"/>
  <c r="BJ287" i="3"/>
  <c r="BK287" i="3"/>
  <c r="BB288" i="3"/>
  <c r="BC288" i="3"/>
  <c r="BD288" i="3"/>
  <c r="BE288" i="3"/>
  <c r="BF288" i="3"/>
  <c r="BG288" i="3"/>
  <c r="BH288" i="3"/>
  <c r="BI288" i="3"/>
  <c r="BJ288" i="3"/>
  <c r="BK288" i="3"/>
  <c r="BB289" i="3"/>
  <c r="BC289" i="3"/>
  <c r="BD289" i="3"/>
  <c r="BE289" i="3"/>
  <c r="BF289" i="3"/>
  <c r="BG289" i="3"/>
  <c r="BH289" i="3"/>
  <c r="BI289" i="3"/>
  <c r="BJ289" i="3"/>
  <c r="BK289" i="3"/>
  <c r="BA289" i="3"/>
  <c r="AZ289" i="3" s="1"/>
  <c r="BB290" i="3"/>
  <c r="BC290" i="3"/>
  <c r="BD290" i="3"/>
  <c r="BE290" i="3"/>
  <c r="BF290" i="3"/>
  <c r="BG290" i="3"/>
  <c r="BH290" i="3"/>
  <c r="BI290" i="3"/>
  <c r="BJ290" i="3"/>
  <c r="BK290" i="3"/>
  <c r="BB291" i="3"/>
  <c r="BC291" i="3"/>
  <c r="BD291" i="3"/>
  <c r="BE291" i="3"/>
  <c r="BF291" i="3"/>
  <c r="BG291" i="3"/>
  <c r="BH291" i="3"/>
  <c r="BI291" i="3"/>
  <c r="BJ291" i="3"/>
  <c r="BK291" i="3"/>
  <c r="BB292" i="3"/>
  <c r="BC292" i="3"/>
  <c r="BA292" i="3" s="1"/>
  <c r="BD292" i="3"/>
  <c r="BE292" i="3"/>
  <c r="BF292" i="3"/>
  <c r="BG292" i="3"/>
  <c r="BH292" i="3"/>
  <c r="BI292" i="3"/>
  <c r="BJ292" i="3"/>
  <c r="BK292" i="3"/>
  <c r="BB293" i="3"/>
  <c r="BC293" i="3"/>
  <c r="BD293" i="3"/>
  <c r="BE293" i="3"/>
  <c r="BF293" i="3"/>
  <c r="BG293" i="3"/>
  <c r="BH293" i="3"/>
  <c r="BI293" i="3"/>
  <c r="BJ293" i="3"/>
  <c r="BK293" i="3"/>
  <c r="BA293" i="3"/>
  <c r="BB294" i="3"/>
  <c r="BC294" i="3"/>
  <c r="BD294" i="3"/>
  <c r="BE294" i="3"/>
  <c r="BF294" i="3"/>
  <c r="BG294" i="3"/>
  <c r="BH294" i="3"/>
  <c r="BI294" i="3"/>
  <c r="BJ294" i="3"/>
  <c r="BK294" i="3"/>
  <c r="BB295" i="3"/>
  <c r="BC295" i="3"/>
  <c r="BD295" i="3"/>
  <c r="BE295" i="3"/>
  <c r="BF295" i="3"/>
  <c r="BG295" i="3"/>
  <c r="BH295" i="3"/>
  <c r="BI295" i="3"/>
  <c r="BJ295" i="3"/>
  <c r="BK295" i="3"/>
  <c r="BB296" i="3"/>
  <c r="BC296" i="3"/>
  <c r="BD296" i="3"/>
  <c r="BE296" i="3"/>
  <c r="BF296" i="3"/>
  <c r="BG296" i="3"/>
  <c r="BH296" i="3"/>
  <c r="BI296" i="3"/>
  <c r="BJ296" i="3"/>
  <c r="BK296" i="3"/>
  <c r="BB297" i="3"/>
  <c r="BC297" i="3"/>
  <c r="BD297" i="3"/>
  <c r="BE297" i="3"/>
  <c r="BF297" i="3"/>
  <c r="BG297" i="3"/>
  <c r="BH297" i="3"/>
  <c r="BI297" i="3"/>
  <c r="BJ297" i="3"/>
  <c r="BK297" i="3"/>
  <c r="BA297" i="3"/>
  <c r="BB298" i="3"/>
  <c r="BC298" i="3"/>
  <c r="BD298" i="3"/>
  <c r="BE298" i="3"/>
  <c r="BF298" i="3"/>
  <c r="BG298" i="3"/>
  <c r="BH298" i="3"/>
  <c r="BI298" i="3"/>
  <c r="BJ298" i="3"/>
  <c r="BK298" i="3"/>
  <c r="BB299" i="3"/>
  <c r="BC299" i="3"/>
  <c r="BD299" i="3"/>
  <c r="BE299" i="3"/>
  <c r="BF299" i="3"/>
  <c r="BG299" i="3"/>
  <c r="BH299" i="3"/>
  <c r="BI299" i="3"/>
  <c r="BJ299" i="3"/>
  <c r="BK299" i="3"/>
  <c r="BB300" i="3"/>
  <c r="BC300" i="3"/>
  <c r="BA300" i="3" s="1"/>
  <c r="AZ300" i="3" s="1"/>
  <c r="BD300" i="3"/>
  <c r="BE300" i="3"/>
  <c r="BF300" i="3"/>
  <c r="BG300" i="3"/>
  <c r="BH300" i="3"/>
  <c r="BI300" i="3"/>
  <c r="BJ300" i="3"/>
  <c r="BK300" i="3"/>
  <c r="BB301" i="3"/>
  <c r="BC301" i="3"/>
  <c r="BD301" i="3"/>
  <c r="BE301" i="3"/>
  <c r="BF301" i="3"/>
  <c r="BG301" i="3"/>
  <c r="BH301" i="3"/>
  <c r="BI301" i="3"/>
  <c r="BJ301" i="3"/>
  <c r="BK301" i="3"/>
  <c r="BA301" i="3"/>
  <c r="BB302" i="3"/>
  <c r="BC302" i="3"/>
  <c r="BD302" i="3"/>
  <c r="BE302" i="3"/>
  <c r="BF302" i="3"/>
  <c r="BG302" i="3"/>
  <c r="BH302" i="3"/>
  <c r="BI302" i="3"/>
  <c r="BJ302" i="3"/>
  <c r="BK302" i="3"/>
  <c r="BB303" i="3"/>
  <c r="BC303" i="3"/>
  <c r="BD303" i="3"/>
  <c r="BE303" i="3"/>
  <c r="BF303" i="3"/>
  <c r="BG303" i="3"/>
  <c r="BH303" i="3"/>
  <c r="BI303" i="3"/>
  <c r="BJ303" i="3"/>
  <c r="BK303" i="3"/>
  <c r="BB304" i="3"/>
  <c r="BC304" i="3"/>
  <c r="BD304" i="3"/>
  <c r="BE304" i="3"/>
  <c r="BF304" i="3"/>
  <c r="BG304" i="3"/>
  <c r="BH304" i="3"/>
  <c r="BI304" i="3"/>
  <c r="BJ304" i="3"/>
  <c r="BK304" i="3"/>
  <c r="BB305" i="3"/>
  <c r="BC305" i="3"/>
  <c r="BD305" i="3"/>
  <c r="BE305" i="3"/>
  <c r="BF305" i="3"/>
  <c r="BG305" i="3"/>
  <c r="BH305" i="3"/>
  <c r="BI305" i="3"/>
  <c r="BJ305" i="3"/>
  <c r="BK305" i="3"/>
  <c r="BA305" i="3"/>
  <c r="AZ305" i="3" s="1"/>
  <c r="BB306" i="3"/>
  <c r="BC306" i="3"/>
  <c r="BD306" i="3"/>
  <c r="BE306" i="3"/>
  <c r="BF306" i="3"/>
  <c r="BG306" i="3"/>
  <c r="BH306" i="3"/>
  <c r="BI306" i="3"/>
  <c r="BJ306" i="3"/>
  <c r="BK306" i="3"/>
  <c r="BB307" i="3"/>
  <c r="BC307" i="3"/>
  <c r="BD307" i="3"/>
  <c r="BE307" i="3"/>
  <c r="BF307" i="3"/>
  <c r="BG307" i="3"/>
  <c r="BH307" i="3"/>
  <c r="BI307" i="3"/>
  <c r="BJ307" i="3"/>
  <c r="BK307" i="3"/>
  <c r="BB308" i="3"/>
  <c r="BC308" i="3"/>
  <c r="BA308" i="3" s="1"/>
  <c r="BD308" i="3"/>
  <c r="BE308" i="3"/>
  <c r="BF308" i="3"/>
  <c r="BG308" i="3"/>
  <c r="BH308" i="3"/>
  <c r="BI308" i="3"/>
  <c r="BJ308" i="3"/>
  <c r="BK308" i="3"/>
  <c r="BB309" i="3"/>
  <c r="BC309" i="3"/>
  <c r="BD309" i="3"/>
  <c r="BE309" i="3"/>
  <c r="BF309" i="3"/>
  <c r="BG309" i="3"/>
  <c r="BH309" i="3"/>
  <c r="BI309" i="3"/>
  <c r="BJ309" i="3"/>
  <c r="BK309" i="3"/>
  <c r="BA309" i="3"/>
  <c r="BB310" i="3"/>
  <c r="BC310" i="3"/>
  <c r="BD310" i="3"/>
  <c r="BE310" i="3"/>
  <c r="BF310" i="3"/>
  <c r="BG310" i="3"/>
  <c r="BH310" i="3"/>
  <c r="BI310" i="3"/>
  <c r="BJ310" i="3"/>
  <c r="BK310" i="3"/>
  <c r="BB311" i="3"/>
  <c r="BC311" i="3"/>
  <c r="BD311" i="3"/>
  <c r="BE311" i="3"/>
  <c r="BF311" i="3"/>
  <c r="BG311" i="3"/>
  <c r="BH311" i="3"/>
  <c r="BI311" i="3"/>
  <c r="BJ311" i="3"/>
  <c r="BK311" i="3"/>
  <c r="BB312" i="3"/>
  <c r="BC312" i="3"/>
  <c r="BD312" i="3"/>
  <c r="BE312" i="3"/>
  <c r="BF312" i="3"/>
  <c r="BG312" i="3"/>
  <c r="BH312" i="3"/>
  <c r="BI312" i="3"/>
  <c r="BJ312" i="3"/>
  <c r="BK312" i="3"/>
  <c r="BB313" i="3"/>
  <c r="BC313" i="3"/>
  <c r="BD313" i="3"/>
  <c r="BE313" i="3"/>
  <c r="BF313" i="3"/>
  <c r="BG313" i="3"/>
  <c r="BH313" i="3"/>
  <c r="BI313" i="3"/>
  <c r="BJ313" i="3"/>
  <c r="BK313" i="3"/>
  <c r="BA313" i="3"/>
  <c r="BB314" i="3"/>
  <c r="BC314" i="3"/>
  <c r="BD314" i="3"/>
  <c r="BE314" i="3"/>
  <c r="BF314" i="3"/>
  <c r="BG314" i="3"/>
  <c r="BH314" i="3"/>
  <c r="BI314" i="3"/>
  <c r="BJ314" i="3"/>
  <c r="BK314" i="3"/>
  <c r="BB315" i="3"/>
  <c r="BC315" i="3"/>
  <c r="BD315" i="3"/>
  <c r="BE315" i="3"/>
  <c r="BF315" i="3"/>
  <c r="BG315" i="3"/>
  <c r="BH315" i="3"/>
  <c r="BI315" i="3"/>
  <c r="BJ315" i="3"/>
  <c r="BK315" i="3"/>
  <c r="BB316" i="3"/>
  <c r="BC316" i="3"/>
  <c r="BA316" i="3" s="1"/>
  <c r="AZ316" i="3" s="1"/>
  <c r="BD316" i="3"/>
  <c r="BE316" i="3"/>
  <c r="BF316" i="3"/>
  <c r="BG316" i="3"/>
  <c r="BH316" i="3"/>
  <c r="BI316" i="3"/>
  <c r="BJ316" i="3"/>
  <c r="BK316" i="3"/>
  <c r="BB317" i="3"/>
  <c r="BC317" i="3"/>
  <c r="BD317" i="3"/>
  <c r="BE317" i="3"/>
  <c r="BF317" i="3"/>
  <c r="BG317" i="3"/>
  <c r="BH317" i="3"/>
  <c r="BI317" i="3"/>
  <c r="BJ317" i="3"/>
  <c r="BK317" i="3"/>
  <c r="BA317" i="3"/>
  <c r="BB318" i="3"/>
  <c r="BC318" i="3"/>
  <c r="BD318" i="3"/>
  <c r="BE318" i="3"/>
  <c r="BF318" i="3"/>
  <c r="BG318" i="3"/>
  <c r="BH318" i="3"/>
  <c r="BI318" i="3"/>
  <c r="BJ318" i="3"/>
  <c r="BK318" i="3"/>
  <c r="BB319" i="3"/>
  <c r="BC319" i="3"/>
  <c r="BD319" i="3"/>
  <c r="BE319" i="3"/>
  <c r="BF319" i="3"/>
  <c r="BG319" i="3"/>
  <c r="BH319" i="3"/>
  <c r="BI319" i="3"/>
  <c r="BJ319" i="3"/>
  <c r="BK319" i="3"/>
  <c r="BB320" i="3"/>
  <c r="BC320" i="3"/>
  <c r="BD320" i="3"/>
  <c r="BE320" i="3"/>
  <c r="BF320" i="3"/>
  <c r="BG320" i="3"/>
  <c r="BH320" i="3"/>
  <c r="BI320" i="3"/>
  <c r="BJ320" i="3"/>
  <c r="BK320" i="3"/>
  <c r="BB321" i="3"/>
  <c r="BC321" i="3"/>
  <c r="BD321" i="3"/>
  <c r="BE321" i="3"/>
  <c r="BF321" i="3"/>
  <c r="BG321" i="3"/>
  <c r="BH321" i="3"/>
  <c r="BI321" i="3"/>
  <c r="BJ321" i="3"/>
  <c r="BK321" i="3"/>
  <c r="BA321" i="3"/>
  <c r="BB322" i="3"/>
  <c r="BC322" i="3"/>
  <c r="BD322" i="3"/>
  <c r="BE322" i="3"/>
  <c r="BF322" i="3"/>
  <c r="BG322" i="3"/>
  <c r="BH322" i="3"/>
  <c r="BI322" i="3"/>
  <c r="BJ322" i="3"/>
  <c r="BK322" i="3"/>
  <c r="BB323" i="3"/>
  <c r="BC323" i="3"/>
  <c r="BD323" i="3"/>
  <c r="BE323" i="3"/>
  <c r="BF323" i="3"/>
  <c r="BG323" i="3"/>
  <c r="BH323" i="3"/>
  <c r="BI323" i="3"/>
  <c r="BJ323" i="3"/>
  <c r="BK323" i="3"/>
  <c r="BB324" i="3"/>
  <c r="BC324" i="3"/>
  <c r="BA324" i="3" s="1"/>
  <c r="BD324" i="3"/>
  <c r="BE324" i="3"/>
  <c r="BF324" i="3"/>
  <c r="BG324" i="3"/>
  <c r="BH324" i="3"/>
  <c r="BI324" i="3"/>
  <c r="BJ324" i="3"/>
  <c r="BK324" i="3"/>
  <c r="BB325" i="3"/>
  <c r="BC325" i="3"/>
  <c r="BD325" i="3"/>
  <c r="BE325" i="3"/>
  <c r="BF325" i="3"/>
  <c r="BG325" i="3"/>
  <c r="BH325" i="3"/>
  <c r="BI325" i="3"/>
  <c r="BJ325" i="3"/>
  <c r="BK325" i="3"/>
  <c r="BA325" i="3"/>
  <c r="BB326" i="3"/>
  <c r="BC326" i="3"/>
  <c r="BD326" i="3"/>
  <c r="BE326" i="3"/>
  <c r="BF326" i="3"/>
  <c r="BG326" i="3"/>
  <c r="BH326" i="3"/>
  <c r="BI326" i="3"/>
  <c r="BJ326" i="3"/>
  <c r="BK326" i="3"/>
  <c r="BB327" i="3"/>
  <c r="BC327" i="3"/>
  <c r="BD327" i="3"/>
  <c r="BE327" i="3"/>
  <c r="BF327" i="3"/>
  <c r="BG327" i="3"/>
  <c r="BH327" i="3"/>
  <c r="BI327" i="3"/>
  <c r="BJ327" i="3"/>
  <c r="BK327" i="3"/>
  <c r="BB328" i="3"/>
  <c r="BC328" i="3"/>
  <c r="BD328" i="3"/>
  <c r="BE328" i="3"/>
  <c r="BF328" i="3"/>
  <c r="BG328" i="3"/>
  <c r="BH328" i="3"/>
  <c r="BI328" i="3"/>
  <c r="BJ328" i="3"/>
  <c r="BK328" i="3"/>
  <c r="BB329" i="3"/>
  <c r="BC329" i="3"/>
  <c r="BD329" i="3"/>
  <c r="BE329" i="3"/>
  <c r="BF329" i="3"/>
  <c r="BG329" i="3"/>
  <c r="BH329" i="3"/>
  <c r="BI329" i="3"/>
  <c r="BJ329" i="3"/>
  <c r="BK329" i="3"/>
  <c r="BA329" i="3"/>
  <c r="BB330" i="3"/>
  <c r="BC330" i="3"/>
  <c r="BD330" i="3"/>
  <c r="BE330" i="3"/>
  <c r="BF330" i="3"/>
  <c r="BG330" i="3"/>
  <c r="BH330" i="3"/>
  <c r="BI330" i="3"/>
  <c r="BJ330" i="3"/>
  <c r="BK330" i="3"/>
  <c r="BB331" i="3"/>
  <c r="BC331" i="3"/>
  <c r="BD331" i="3"/>
  <c r="BE331" i="3"/>
  <c r="BF331" i="3"/>
  <c r="BG331" i="3"/>
  <c r="BH331" i="3"/>
  <c r="BI331" i="3"/>
  <c r="BJ331" i="3"/>
  <c r="BK331" i="3"/>
  <c r="BB332" i="3"/>
  <c r="BC332" i="3"/>
  <c r="BA332" i="3" s="1"/>
  <c r="AZ332" i="3" s="1"/>
  <c r="BD332" i="3"/>
  <c r="BE332" i="3"/>
  <c r="BF332" i="3"/>
  <c r="BG332" i="3"/>
  <c r="BH332" i="3"/>
  <c r="BI332" i="3"/>
  <c r="BJ332" i="3"/>
  <c r="BK332" i="3"/>
  <c r="BB333" i="3"/>
  <c r="BC333" i="3"/>
  <c r="BD333" i="3"/>
  <c r="BE333" i="3"/>
  <c r="BF333" i="3"/>
  <c r="BG333" i="3"/>
  <c r="BH333" i="3"/>
  <c r="BI333" i="3"/>
  <c r="BJ333" i="3"/>
  <c r="BK333" i="3"/>
  <c r="BB334" i="3"/>
  <c r="BC334" i="3"/>
  <c r="BD334" i="3"/>
  <c r="BE334" i="3"/>
  <c r="BF334" i="3"/>
  <c r="BG334" i="3"/>
  <c r="BH334" i="3"/>
  <c r="BI334" i="3"/>
  <c r="BJ334" i="3"/>
  <c r="BK334" i="3"/>
  <c r="BB335" i="3"/>
  <c r="BC335" i="3"/>
  <c r="BD335" i="3"/>
  <c r="BE335" i="3"/>
  <c r="BF335" i="3"/>
  <c r="BG335" i="3"/>
  <c r="BH335" i="3"/>
  <c r="BI335" i="3"/>
  <c r="BJ335" i="3"/>
  <c r="BK335" i="3"/>
  <c r="BA335" i="3"/>
  <c r="BB336" i="3"/>
  <c r="BC336" i="3"/>
  <c r="BA336" i="3" s="1"/>
  <c r="BD336" i="3"/>
  <c r="BE336" i="3"/>
  <c r="BF336" i="3"/>
  <c r="BG336" i="3"/>
  <c r="BH336" i="3"/>
  <c r="BI336" i="3"/>
  <c r="BJ336" i="3"/>
  <c r="BK336" i="3"/>
  <c r="BB337" i="3"/>
  <c r="BC337" i="3"/>
  <c r="BD337" i="3"/>
  <c r="BE337" i="3"/>
  <c r="BF337" i="3"/>
  <c r="BG337" i="3"/>
  <c r="BH337" i="3"/>
  <c r="BI337" i="3"/>
  <c r="BJ337" i="3"/>
  <c r="BK337" i="3"/>
  <c r="BB338" i="3"/>
  <c r="BA338" i="3" s="1"/>
  <c r="AZ338" i="3" s="1"/>
  <c r="BC338" i="3"/>
  <c r="BD338" i="3"/>
  <c r="BE338" i="3"/>
  <c r="BF338" i="3"/>
  <c r="BG338" i="3"/>
  <c r="BH338" i="3"/>
  <c r="BI338" i="3"/>
  <c r="BJ338" i="3"/>
  <c r="BK338" i="3"/>
  <c r="BB339" i="3"/>
  <c r="BC339" i="3"/>
  <c r="BD339" i="3"/>
  <c r="BE339" i="3"/>
  <c r="BF339" i="3"/>
  <c r="BG339" i="3"/>
  <c r="BH339" i="3"/>
  <c r="BI339" i="3"/>
  <c r="BJ339" i="3"/>
  <c r="BK339" i="3"/>
  <c r="BA339" i="3"/>
  <c r="BB340" i="3"/>
  <c r="BC340" i="3"/>
  <c r="BD340" i="3"/>
  <c r="BE340" i="3"/>
  <c r="BF340" i="3"/>
  <c r="BG340" i="3"/>
  <c r="BH340" i="3"/>
  <c r="BI340" i="3"/>
  <c r="BJ340" i="3"/>
  <c r="BK340" i="3"/>
  <c r="BB341" i="3"/>
  <c r="BC341" i="3"/>
  <c r="BD341" i="3"/>
  <c r="BE341" i="3"/>
  <c r="BF341" i="3"/>
  <c r="BG341" i="3"/>
  <c r="BH341" i="3"/>
  <c r="BI341" i="3"/>
  <c r="BJ341" i="3"/>
  <c r="BK341" i="3"/>
  <c r="BB342" i="3"/>
  <c r="BA342" i="3" s="1"/>
  <c r="BC342" i="3"/>
  <c r="BD342" i="3"/>
  <c r="BE342" i="3"/>
  <c r="BF342" i="3"/>
  <c r="BG342" i="3"/>
  <c r="BH342" i="3"/>
  <c r="BI342" i="3"/>
  <c r="BJ342" i="3"/>
  <c r="BK342" i="3"/>
  <c r="BB343" i="3"/>
  <c r="BC343" i="3"/>
  <c r="BD343" i="3"/>
  <c r="BE343" i="3"/>
  <c r="BF343" i="3"/>
  <c r="BG343" i="3"/>
  <c r="BH343" i="3"/>
  <c r="BI343" i="3"/>
  <c r="BJ343" i="3"/>
  <c r="BK343" i="3"/>
  <c r="BA343" i="3"/>
  <c r="BB344" i="3"/>
  <c r="BC344" i="3"/>
  <c r="BD344" i="3"/>
  <c r="BE344" i="3"/>
  <c r="BF344" i="3"/>
  <c r="BG344" i="3"/>
  <c r="BH344" i="3"/>
  <c r="BI344" i="3"/>
  <c r="BJ344" i="3"/>
  <c r="BK344" i="3"/>
  <c r="BB345" i="3"/>
  <c r="BC345" i="3"/>
  <c r="BD345" i="3"/>
  <c r="BE345" i="3"/>
  <c r="BF345" i="3"/>
  <c r="BG345" i="3"/>
  <c r="BH345" i="3"/>
  <c r="BI345" i="3"/>
  <c r="BJ345" i="3"/>
  <c r="BK345" i="3"/>
  <c r="BB346" i="3"/>
  <c r="BA346" i="3" s="1"/>
  <c r="BC346" i="3"/>
  <c r="BD346" i="3"/>
  <c r="BE346" i="3"/>
  <c r="BF346" i="3"/>
  <c r="BG346" i="3"/>
  <c r="BH346" i="3"/>
  <c r="BI346" i="3"/>
  <c r="BJ346" i="3"/>
  <c r="BK346" i="3"/>
  <c r="BB347" i="3"/>
  <c r="BC347" i="3"/>
  <c r="BD347" i="3"/>
  <c r="BE347" i="3"/>
  <c r="BF347" i="3"/>
  <c r="BG347" i="3"/>
  <c r="BH347" i="3"/>
  <c r="BI347" i="3"/>
  <c r="BJ347" i="3"/>
  <c r="BK347" i="3"/>
  <c r="BA347" i="3"/>
  <c r="BB348" i="3"/>
  <c r="BC348" i="3"/>
  <c r="BA348" i="3" s="1"/>
  <c r="AZ348" i="3" s="1"/>
  <c r="BD348" i="3"/>
  <c r="BE348" i="3"/>
  <c r="BF348" i="3"/>
  <c r="BG348" i="3"/>
  <c r="BH348" i="3"/>
  <c r="BI348" i="3"/>
  <c r="BJ348" i="3"/>
  <c r="BK348" i="3"/>
  <c r="BB349" i="3"/>
  <c r="BC349" i="3"/>
  <c r="BD349" i="3"/>
  <c r="BE349" i="3"/>
  <c r="BF349" i="3"/>
  <c r="BG349" i="3"/>
  <c r="BH349" i="3"/>
  <c r="BI349" i="3"/>
  <c r="BJ349" i="3"/>
  <c r="BK349" i="3"/>
  <c r="BB350" i="3"/>
  <c r="BC350" i="3"/>
  <c r="BD350" i="3"/>
  <c r="BE350" i="3"/>
  <c r="BF350" i="3"/>
  <c r="BG350" i="3"/>
  <c r="BH350" i="3"/>
  <c r="BI350" i="3"/>
  <c r="BJ350" i="3"/>
  <c r="BK350" i="3"/>
  <c r="BB351" i="3"/>
  <c r="BC351" i="3"/>
  <c r="BD351" i="3"/>
  <c r="BE351" i="3"/>
  <c r="BF351" i="3"/>
  <c r="BG351" i="3"/>
  <c r="BH351" i="3"/>
  <c r="BI351" i="3"/>
  <c r="BJ351" i="3"/>
  <c r="BK351" i="3"/>
  <c r="BA351" i="3"/>
  <c r="BB352" i="3"/>
  <c r="BC352" i="3"/>
  <c r="BA352" i="3" s="1"/>
  <c r="BD352" i="3"/>
  <c r="BE352" i="3"/>
  <c r="BF352" i="3"/>
  <c r="BG352" i="3"/>
  <c r="BH352" i="3"/>
  <c r="BI352" i="3"/>
  <c r="BJ352" i="3"/>
  <c r="BK352" i="3"/>
  <c r="BB353" i="3"/>
  <c r="BC353" i="3"/>
  <c r="BD353" i="3"/>
  <c r="BE353" i="3"/>
  <c r="BF353" i="3"/>
  <c r="BG353" i="3"/>
  <c r="BH353" i="3"/>
  <c r="BI353" i="3"/>
  <c r="BJ353" i="3"/>
  <c r="BK353" i="3"/>
  <c r="BB354" i="3"/>
  <c r="BA354" i="3" s="1"/>
  <c r="AZ354" i="3" s="1"/>
  <c r="BC354" i="3"/>
  <c r="BD354" i="3"/>
  <c r="BE354" i="3"/>
  <c r="BF354" i="3"/>
  <c r="BG354" i="3"/>
  <c r="BH354" i="3"/>
  <c r="BI354" i="3"/>
  <c r="BJ354" i="3"/>
  <c r="BK354" i="3"/>
  <c r="BB355" i="3"/>
  <c r="BC355" i="3"/>
  <c r="BD355" i="3"/>
  <c r="BE355" i="3"/>
  <c r="BF355" i="3"/>
  <c r="BG355" i="3"/>
  <c r="BH355" i="3"/>
  <c r="BI355" i="3"/>
  <c r="BJ355" i="3"/>
  <c r="BK355" i="3"/>
  <c r="BA355" i="3"/>
  <c r="AZ355" i="3" s="1"/>
  <c r="BB356" i="3"/>
  <c r="BC356" i="3"/>
  <c r="BD356" i="3"/>
  <c r="BE356" i="3"/>
  <c r="BF356" i="3"/>
  <c r="BG356" i="3"/>
  <c r="BH356" i="3"/>
  <c r="BI356" i="3"/>
  <c r="BJ356" i="3"/>
  <c r="BK356" i="3"/>
  <c r="BB357" i="3"/>
  <c r="BC357" i="3"/>
  <c r="BD357" i="3"/>
  <c r="BE357" i="3"/>
  <c r="BF357" i="3"/>
  <c r="BG357" i="3"/>
  <c r="BH357" i="3"/>
  <c r="BI357" i="3"/>
  <c r="BJ357" i="3"/>
  <c r="BK357" i="3"/>
  <c r="BB358" i="3"/>
  <c r="BA358" i="3" s="1"/>
  <c r="BC358" i="3"/>
  <c r="BD358" i="3"/>
  <c r="BE358" i="3"/>
  <c r="BF358" i="3"/>
  <c r="BG358" i="3"/>
  <c r="BH358" i="3"/>
  <c r="BI358" i="3"/>
  <c r="BJ358" i="3"/>
  <c r="BK358" i="3"/>
  <c r="BB359" i="3"/>
  <c r="BC359" i="3"/>
  <c r="BD359" i="3"/>
  <c r="BE359" i="3"/>
  <c r="BF359" i="3"/>
  <c r="BG359" i="3"/>
  <c r="BH359" i="3"/>
  <c r="BI359" i="3"/>
  <c r="BJ359" i="3"/>
  <c r="BK359" i="3"/>
  <c r="BA359" i="3"/>
  <c r="BB360" i="3"/>
  <c r="BC360" i="3"/>
  <c r="BD360" i="3"/>
  <c r="BE360" i="3"/>
  <c r="BF360" i="3"/>
  <c r="BG360" i="3"/>
  <c r="BH360" i="3"/>
  <c r="BI360" i="3"/>
  <c r="BJ360" i="3"/>
  <c r="BK360" i="3"/>
  <c r="BB361" i="3"/>
  <c r="BC361" i="3"/>
  <c r="BD361" i="3"/>
  <c r="BE361" i="3"/>
  <c r="BF361" i="3"/>
  <c r="BG361" i="3"/>
  <c r="BH361" i="3"/>
  <c r="BI361" i="3"/>
  <c r="BJ361" i="3"/>
  <c r="BK361" i="3"/>
  <c r="BB362" i="3"/>
  <c r="BA362" i="3" s="1"/>
  <c r="BC362" i="3"/>
  <c r="BD362" i="3"/>
  <c r="BE362" i="3"/>
  <c r="BF362" i="3"/>
  <c r="BG362" i="3"/>
  <c r="BH362" i="3"/>
  <c r="BI362" i="3"/>
  <c r="BJ362" i="3"/>
  <c r="BK362" i="3"/>
  <c r="BB363" i="3"/>
  <c r="BC363" i="3"/>
  <c r="BD363" i="3"/>
  <c r="BE363" i="3"/>
  <c r="BF363" i="3"/>
  <c r="BG363" i="3"/>
  <c r="BH363" i="3"/>
  <c r="BI363" i="3"/>
  <c r="BJ363" i="3"/>
  <c r="BK363" i="3"/>
  <c r="BA363" i="3"/>
  <c r="BB364" i="3"/>
  <c r="BC364" i="3"/>
  <c r="BA364" i="3" s="1"/>
  <c r="AZ364" i="3" s="1"/>
  <c r="BD364" i="3"/>
  <c r="BE364" i="3"/>
  <c r="BF364" i="3"/>
  <c r="BG364" i="3"/>
  <c r="BH364" i="3"/>
  <c r="BI364" i="3"/>
  <c r="BJ364" i="3"/>
  <c r="BK364" i="3"/>
  <c r="BB365" i="3"/>
  <c r="BA365" i="3" s="1"/>
  <c r="BC365" i="3"/>
  <c r="BD365" i="3"/>
  <c r="BE365" i="3"/>
  <c r="BF365" i="3"/>
  <c r="BG365" i="3"/>
  <c r="BH365" i="3"/>
  <c r="BI365" i="3"/>
  <c r="BJ365" i="3"/>
  <c r="BK365" i="3"/>
  <c r="BB366" i="3"/>
  <c r="BA366" i="3" s="1"/>
  <c r="BC366" i="3"/>
  <c r="BD366" i="3"/>
  <c r="BE366" i="3"/>
  <c r="BF366" i="3"/>
  <c r="BG366" i="3"/>
  <c r="BH366" i="3"/>
  <c r="BI366" i="3"/>
  <c r="BJ366" i="3"/>
  <c r="BK366" i="3"/>
  <c r="BB367" i="3"/>
  <c r="BC367" i="3"/>
  <c r="BD367" i="3"/>
  <c r="BE367" i="3"/>
  <c r="BF367" i="3"/>
  <c r="BG367" i="3"/>
  <c r="BH367" i="3"/>
  <c r="BI367" i="3"/>
  <c r="BJ367" i="3"/>
  <c r="BK367" i="3"/>
  <c r="BA367" i="3"/>
  <c r="BB368" i="3"/>
  <c r="BC368" i="3"/>
  <c r="BD368" i="3"/>
  <c r="BE368" i="3"/>
  <c r="BF368" i="3"/>
  <c r="BG368" i="3"/>
  <c r="BH368" i="3"/>
  <c r="BI368" i="3"/>
  <c r="BJ368" i="3"/>
  <c r="BK368" i="3"/>
  <c r="BB369" i="3"/>
  <c r="BC369" i="3"/>
  <c r="BD369" i="3"/>
  <c r="BE369" i="3"/>
  <c r="BF369" i="3"/>
  <c r="BG369" i="3"/>
  <c r="BH369" i="3"/>
  <c r="BI369" i="3"/>
  <c r="BJ369" i="3"/>
  <c r="BK369" i="3"/>
  <c r="BA369" i="3"/>
  <c r="BB370" i="3"/>
  <c r="BC370" i="3"/>
  <c r="BD370" i="3"/>
  <c r="BE370" i="3"/>
  <c r="BF370" i="3"/>
  <c r="BG370" i="3"/>
  <c r="BH370" i="3"/>
  <c r="BI370" i="3"/>
  <c r="BJ370" i="3"/>
  <c r="BK370" i="3"/>
  <c r="BB371" i="3"/>
  <c r="BC371" i="3"/>
  <c r="BD371" i="3"/>
  <c r="BE371" i="3"/>
  <c r="BF371" i="3"/>
  <c r="BG371" i="3"/>
  <c r="BH371" i="3"/>
  <c r="BI371" i="3"/>
  <c r="BJ371" i="3"/>
  <c r="BK371" i="3"/>
  <c r="BB372" i="3"/>
  <c r="BC372" i="3"/>
  <c r="BD372" i="3"/>
  <c r="BE372" i="3"/>
  <c r="BF372" i="3"/>
  <c r="BG372" i="3"/>
  <c r="BH372" i="3"/>
  <c r="BI372" i="3"/>
  <c r="BJ372" i="3"/>
  <c r="BK372" i="3"/>
  <c r="BB373" i="3"/>
  <c r="BA373" i="3" s="1"/>
  <c r="BC373" i="3"/>
  <c r="BD373" i="3"/>
  <c r="BE373" i="3"/>
  <c r="BF373" i="3"/>
  <c r="BG373" i="3"/>
  <c r="BH373" i="3"/>
  <c r="BI373" i="3"/>
  <c r="BJ373" i="3"/>
  <c r="BK373" i="3"/>
  <c r="BB374" i="3"/>
  <c r="BA374" i="3" s="1"/>
  <c r="BC374" i="3"/>
  <c r="BD374" i="3"/>
  <c r="BE374" i="3"/>
  <c r="BF374" i="3"/>
  <c r="BG374" i="3"/>
  <c r="BH374" i="3"/>
  <c r="BI374" i="3"/>
  <c r="BJ374" i="3"/>
  <c r="BK374" i="3"/>
  <c r="BB375" i="3"/>
  <c r="BC375" i="3"/>
  <c r="BD375" i="3"/>
  <c r="BE375" i="3"/>
  <c r="BF375" i="3"/>
  <c r="BG375" i="3"/>
  <c r="BH375" i="3"/>
  <c r="BI375" i="3"/>
  <c r="BJ375" i="3"/>
  <c r="BK375" i="3"/>
  <c r="BA375" i="3"/>
  <c r="BB376" i="3"/>
  <c r="BC376" i="3"/>
  <c r="BD376" i="3"/>
  <c r="BE376" i="3"/>
  <c r="BF376" i="3"/>
  <c r="BG376" i="3"/>
  <c r="BH376" i="3"/>
  <c r="BI376" i="3"/>
  <c r="BJ376" i="3"/>
  <c r="BK376" i="3"/>
  <c r="BB377" i="3"/>
  <c r="BC377" i="3"/>
  <c r="BD377" i="3"/>
  <c r="BE377" i="3"/>
  <c r="BF377" i="3"/>
  <c r="BG377" i="3"/>
  <c r="BH377" i="3"/>
  <c r="BI377" i="3"/>
  <c r="BJ377" i="3"/>
  <c r="BK377" i="3"/>
  <c r="BA377" i="3"/>
  <c r="BB378" i="3"/>
  <c r="BC378" i="3"/>
  <c r="BD378" i="3"/>
  <c r="BE378" i="3"/>
  <c r="BF378" i="3"/>
  <c r="BG378" i="3"/>
  <c r="BH378" i="3"/>
  <c r="BI378" i="3"/>
  <c r="BJ378" i="3"/>
  <c r="BK378" i="3"/>
  <c r="BB379" i="3"/>
  <c r="BC379" i="3"/>
  <c r="BD379" i="3"/>
  <c r="BE379" i="3"/>
  <c r="BF379" i="3"/>
  <c r="BG379" i="3"/>
  <c r="BH379" i="3"/>
  <c r="BI379" i="3"/>
  <c r="BJ379" i="3"/>
  <c r="BK379" i="3"/>
  <c r="BB380" i="3"/>
  <c r="BC380" i="3"/>
  <c r="BD380" i="3"/>
  <c r="BE380" i="3"/>
  <c r="BF380" i="3"/>
  <c r="BG380" i="3"/>
  <c r="BH380" i="3"/>
  <c r="BI380" i="3"/>
  <c r="BJ380" i="3"/>
  <c r="BK380" i="3"/>
  <c r="BB381" i="3"/>
  <c r="BA381" i="3" s="1"/>
  <c r="BC381" i="3"/>
  <c r="BD381" i="3"/>
  <c r="BE381" i="3"/>
  <c r="BF381" i="3"/>
  <c r="BG381" i="3"/>
  <c r="BH381" i="3"/>
  <c r="BI381" i="3"/>
  <c r="BJ381" i="3"/>
  <c r="BK381" i="3"/>
  <c r="BB382" i="3"/>
  <c r="BA382" i="3" s="1"/>
  <c r="BC382" i="3"/>
  <c r="BD382" i="3"/>
  <c r="BE382" i="3"/>
  <c r="BF382" i="3"/>
  <c r="BG382" i="3"/>
  <c r="BH382" i="3"/>
  <c r="BI382" i="3"/>
  <c r="BJ382" i="3"/>
  <c r="BK382" i="3"/>
  <c r="BB383" i="3"/>
  <c r="BC383" i="3"/>
  <c r="BD383" i="3"/>
  <c r="BE383" i="3"/>
  <c r="BF383" i="3"/>
  <c r="BG383" i="3"/>
  <c r="BH383" i="3"/>
  <c r="BI383" i="3"/>
  <c r="BJ383" i="3"/>
  <c r="BK383" i="3"/>
  <c r="BA383" i="3"/>
  <c r="BB384" i="3"/>
  <c r="BC384" i="3"/>
  <c r="BD384" i="3"/>
  <c r="BE384" i="3"/>
  <c r="BF384" i="3"/>
  <c r="BG384" i="3"/>
  <c r="BH384" i="3"/>
  <c r="BI384" i="3"/>
  <c r="BJ384" i="3"/>
  <c r="BK384" i="3"/>
  <c r="BB385" i="3"/>
  <c r="BC385" i="3"/>
  <c r="BD385" i="3"/>
  <c r="BE385" i="3"/>
  <c r="BF385" i="3"/>
  <c r="BG385" i="3"/>
  <c r="BH385" i="3"/>
  <c r="BI385" i="3"/>
  <c r="BJ385" i="3"/>
  <c r="BK385" i="3"/>
  <c r="BA385" i="3"/>
  <c r="BB386" i="3"/>
  <c r="BC386" i="3"/>
  <c r="BD386" i="3"/>
  <c r="BE386" i="3"/>
  <c r="BF386" i="3"/>
  <c r="BG386" i="3"/>
  <c r="BH386" i="3"/>
  <c r="BI386" i="3"/>
  <c r="BJ386" i="3"/>
  <c r="BK386" i="3"/>
  <c r="BB387" i="3"/>
  <c r="BC387" i="3"/>
  <c r="BD387" i="3"/>
  <c r="BE387" i="3"/>
  <c r="BF387" i="3"/>
  <c r="BG387" i="3"/>
  <c r="BH387" i="3"/>
  <c r="BI387" i="3"/>
  <c r="BJ387" i="3"/>
  <c r="BK387" i="3"/>
  <c r="BB388" i="3"/>
  <c r="BC388" i="3"/>
  <c r="BD388" i="3"/>
  <c r="BE388" i="3"/>
  <c r="BF388" i="3"/>
  <c r="BG388" i="3"/>
  <c r="BH388" i="3"/>
  <c r="BI388" i="3"/>
  <c r="BJ388" i="3"/>
  <c r="BK388" i="3"/>
  <c r="BB389" i="3"/>
  <c r="BA389" i="3" s="1"/>
  <c r="BC389" i="3"/>
  <c r="BD389" i="3"/>
  <c r="BE389" i="3"/>
  <c r="BF389" i="3"/>
  <c r="BG389" i="3"/>
  <c r="BH389" i="3"/>
  <c r="BI389" i="3"/>
  <c r="BJ389" i="3"/>
  <c r="BK389" i="3"/>
  <c r="BB390" i="3"/>
  <c r="BC390" i="3"/>
  <c r="BD390" i="3"/>
  <c r="BE390" i="3"/>
  <c r="BF390" i="3"/>
  <c r="BG390" i="3"/>
  <c r="BH390" i="3"/>
  <c r="BI390" i="3"/>
  <c r="BJ390" i="3"/>
  <c r="BK390" i="3"/>
  <c r="BB391" i="3"/>
  <c r="BC391" i="3"/>
  <c r="BD391" i="3"/>
  <c r="BE391" i="3"/>
  <c r="BF391" i="3"/>
  <c r="BG391" i="3"/>
  <c r="BH391" i="3"/>
  <c r="BI391" i="3"/>
  <c r="BJ391" i="3"/>
  <c r="BK391" i="3"/>
  <c r="BA391" i="3"/>
  <c r="BB392" i="3"/>
  <c r="BC392" i="3"/>
  <c r="BD392" i="3"/>
  <c r="BE392" i="3"/>
  <c r="BF392" i="3"/>
  <c r="BG392" i="3"/>
  <c r="BH392" i="3"/>
  <c r="BI392" i="3"/>
  <c r="BJ392" i="3"/>
  <c r="BK392" i="3"/>
  <c r="BB393" i="3"/>
  <c r="BC393" i="3"/>
  <c r="BD393" i="3"/>
  <c r="BE393" i="3"/>
  <c r="BF393" i="3"/>
  <c r="BG393" i="3"/>
  <c r="BH393" i="3"/>
  <c r="BI393" i="3"/>
  <c r="BJ393" i="3"/>
  <c r="BK393" i="3"/>
  <c r="BA393" i="3"/>
  <c r="BB394" i="3"/>
  <c r="BC394" i="3"/>
  <c r="BD394" i="3"/>
  <c r="BE394" i="3"/>
  <c r="BF394" i="3"/>
  <c r="BG394" i="3"/>
  <c r="BH394" i="3"/>
  <c r="BI394" i="3"/>
  <c r="BJ394" i="3"/>
  <c r="BK394" i="3"/>
  <c r="BB395" i="3"/>
  <c r="BC395" i="3"/>
  <c r="BD395" i="3"/>
  <c r="BE395" i="3"/>
  <c r="BF395" i="3"/>
  <c r="BG395" i="3"/>
  <c r="BH395" i="3"/>
  <c r="BI395" i="3"/>
  <c r="BJ395" i="3"/>
  <c r="BK395" i="3"/>
  <c r="BB396" i="3"/>
  <c r="BC396" i="3"/>
  <c r="BD396" i="3"/>
  <c r="BE396" i="3"/>
  <c r="BF396" i="3"/>
  <c r="BG396" i="3"/>
  <c r="BH396" i="3"/>
  <c r="BI396" i="3"/>
  <c r="BJ396" i="3"/>
  <c r="BK396" i="3"/>
  <c r="BB397" i="3"/>
  <c r="BA397" i="3" s="1"/>
  <c r="BC397" i="3"/>
  <c r="BD397" i="3"/>
  <c r="BE397" i="3"/>
  <c r="BF397" i="3"/>
  <c r="BG397" i="3"/>
  <c r="BH397" i="3"/>
  <c r="BI397" i="3"/>
  <c r="BJ397" i="3"/>
  <c r="BK397" i="3"/>
  <c r="BB398" i="3"/>
  <c r="BC398" i="3"/>
  <c r="BD398" i="3"/>
  <c r="BE398" i="3"/>
  <c r="BF398" i="3"/>
  <c r="BG398" i="3"/>
  <c r="BH398" i="3"/>
  <c r="BI398" i="3"/>
  <c r="BJ398" i="3"/>
  <c r="BK398" i="3"/>
  <c r="BB399" i="3"/>
  <c r="BC399" i="3"/>
  <c r="BD399" i="3"/>
  <c r="BE399" i="3"/>
  <c r="BF399" i="3"/>
  <c r="BG399" i="3"/>
  <c r="BH399" i="3"/>
  <c r="BI399" i="3"/>
  <c r="BJ399" i="3"/>
  <c r="BK399" i="3"/>
  <c r="BA399" i="3"/>
  <c r="BB400" i="3"/>
  <c r="BC400" i="3"/>
  <c r="BD400" i="3"/>
  <c r="BE400" i="3"/>
  <c r="BF400" i="3"/>
  <c r="BG400" i="3"/>
  <c r="BH400" i="3"/>
  <c r="BI400" i="3"/>
  <c r="BJ400" i="3"/>
  <c r="BK400" i="3"/>
  <c r="BB401" i="3"/>
  <c r="BC401" i="3"/>
  <c r="BD401" i="3"/>
  <c r="BE401" i="3"/>
  <c r="BF401" i="3"/>
  <c r="BG401" i="3"/>
  <c r="BH401" i="3"/>
  <c r="BI401" i="3"/>
  <c r="BJ401" i="3"/>
  <c r="BK401" i="3"/>
  <c r="BA401" i="3"/>
  <c r="BB402" i="3"/>
  <c r="BC402" i="3"/>
  <c r="BD402" i="3"/>
  <c r="BE402" i="3"/>
  <c r="BF402" i="3"/>
  <c r="BG402" i="3"/>
  <c r="BH402" i="3"/>
  <c r="BI402" i="3"/>
  <c r="BJ402" i="3"/>
  <c r="BK402" i="3"/>
  <c r="BB403" i="3"/>
  <c r="BC403" i="3"/>
  <c r="BD403" i="3"/>
  <c r="BE403" i="3"/>
  <c r="BF403" i="3"/>
  <c r="BG403" i="3"/>
  <c r="BH403" i="3"/>
  <c r="BI403" i="3"/>
  <c r="BJ403" i="3"/>
  <c r="BK403" i="3"/>
  <c r="BB404" i="3"/>
  <c r="BC404" i="3"/>
  <c r="BD404" i="3"/>
  <c r="BE404" i="3"/>
  <c r="BF404" i="3"/>
  <c r="BG404" i="3"/>
  <c r="BH404" i="3"/>
  <c r="BI404" i="3"/>
  <c r="BJ404" i="3"/>
  <c r="BK404" i="3"/>
  <c r="BB405" i="3"/>
  <c r="BA405" i="3" s="1"/>
  <c r="BC405" i="3"/>
  <c r="BD405" i="3"/>
  <c r="BE405" i="3"/>
  <c r="BF405" i="3"/>
  <c r="BG405" i="3"/>
  <c r="BH405" i="3"/>
  <c r="BI405" i="3"/>
  <c r="BJ405" i="3"/>
  <c r="BK405" i="3"/>
  <c r="BB406" i="3"/>
  <c r="BC406" i="3"/>
  <c r="BD406" i="3"/>
  <c r="BE406" i="3"/>
  <c r="BF406" i="3"/>
  <c r="BG406" i="3"/>
  <c r="BH406" i="3"/>
  <c r="BI406" i="3"/>
  <c r="BJ406" i="3"/>
  <c r="BK406" i="3"/>
  <c r="BB407" i="3"/>
  <c r="BC407" i="3"/>
  <c r="BD407" i="3"/>
  <c r="BE407" i="3"/>
  <c r="BF407" i="3"/>
  <c r="BG407" i="3"/>
  <c r="BH407" i="3"/>
  <c r="BI407" i="3"/>
  <c r="BJ407" i="3"/>
  <c r="BK407" i="3"/>
  <c r="BA407" i="3"/>
  <c r="BB408" i="3"/>
  <c r="BC408" i="3"/>
  <c r="BD408" i="3"/>
  <c r="BE408" i="3"/>
  <c r="BF408" i="3"/>
  <c r="BG408" i="3"/>
  <c r="BH408" i="3"/>
  <c r="BI408" i="3"/>
  <c r="BJ408" i="3"/>
  <c r="BK408" i="3"/>
  <c r="BB409" i="3"/>
  <c r="BC409" i="3"/>
  <c r="BD409" i="3"/>
  <c r="BE409" i="3"/>
  <c r="BF409" i="3"/>
  <c r="BG409" i="3"/>
  <c r="BH409" i="3"/>
  <c r="BI409" i="3"/>
  <c r="BJ409" i="3"/>
  <c r="BK409" i="3"/>
  <c r="BA409" i="3"/>
  <c r="BB410" i="3"/>
  <c r="BC410" i="3"/>
  <c r="BD410" i="3"/>
  <c r="BE410" i="3"/>
  <c r="BF410" i="3"/>
  <c r="BG410" i="3"/>
  <c r="BH410" i="3"/>
  <c r="BI410" i="3"/>
  <c r="BJ410" i="3"/>
  <c r="BK410" i="3"/>
  <c r="BB411" i="3"/>
  <c r="BC411" i="3"/>
  <c r="BD411" i="3"/>
  <c r="BE411" i="3"/>
  <c r="BF411" i="3"/>
  <c r="BG411" i="3"/>
  <c r="BH411" i="3"/>
  <c r="BI411" i="3"/>
  <c r="BJ411" i="3"/>
  <c r="BK411" i="3"/>
  <c r="BB412" i="3"/>
  <c r="BC412" i="3"/>
  <c r="BD412" i="3"/>
  <c r="BE412" i="3"/>
  <c r="BF412" i="3"/>
  <c r="BG412" i="3"/>
  <c r="BH412" i="3"/>
  <c r="BI412" i="3"/>
  <c r="BJ412" i="3"/>
  <c r="BK412" i="3"/>
  <c r="BB413" i="3"/>
  <c r="BA413" i="3" s="1"/>
  <c r="BC413" i="3"/>
  <c r="BD413" i="3"/>
  <c r="BE413" i="3"/>
  <c r="BF413" i="3"/>
  <c r="BG413" i="3"/>
  <c r="BH413" i="3"/>
  <c r="BI413" i="3"/>
  <c r="BJ413" i="3"/>
  <c r="BK413" i="3"/>
  <c r="BB414" i="3"/>
  <c r="BC414" i="3"/>
  <c r="BD414" i="3"/>
  <c r="BE414" i="3"/>
  <c r="BF414" i="3"/>
  <c r="BG414" i="3"/>
  <c r="BH414" i="3"/>
  <c r="BI414" i="3"/>
  <c r="BJ414" i="3"/>
  <c r="BK414" i="3"/>
  <c r="BB415" i="3"/>
  <c r="BC415" i="3"/>
  <c r="BD415" i="3"/>
  <c r="BE415" i="3"/>
  <c r="BF415" i="3"/>
  <c r="BG415" i="3"/>
  <c r="BH415" i="3"/>
  <c r="BI415" i="3"/>
  <c r="BJ415" i="3"/>
  <c r="BK415" i="3"/>
  <c r="BA415" i="3"/>
  <c r="BB416" i="3"/>
  <c r="BC416" i="3"/>
  <c r="BD416" i="3"/>
  <c r="BE416" i="3"/>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H418" i="3"/>
  <c r="BI418" i="3"/>
  <c r="BJ418" i="3"/>
  <c r="BK418" i="3"/>
  <c r="BB419" i="3"/>
  <c r="BC419" i="3"/>
  <c r="BD419" i="3"/>
  <c r="BE419" i="3"/>
  <c r="BF419" i="3"/>
  <c r="BG419" i="3"/>
  <c r="BH419" i="3"/>
  <c r="BI419" i="3"/>
  <c r="BJ419" i="3"/>
  <c r="BK419" i="3"/>
  <c r="BB420" i="3"/>
  <c r="BC420" i="3"/>
  <c r="BD420" i="3"/>
  <c r="BE420" i="3"/>
  <c r="BF420" i="3"/>
  <c r="BG420" i="3"/>
  <c r="BH420" i="3"/>
  <c r="BI420" i="3"/>
  <c r="BJ420" i="3"/>
  <c r="BK420" i="3"/>
  <c r="BB421" i="3"/>
  <c r="BA421" i="3" s="1"/>
  <c r="BC421" i="3"/>
  <c r="BD421" i="3"/>
  <c r="BE421" i="3"/>
  <c r="BF421" i="3"/>
  <c r="BG421" i="3"/>
  <c r="BH421" i="3"/>
  <c r="BI421" i="3"/>
  <c r="BJ421" i="3"/>
  <c r="BK421" i="3"/>
  <c r="BB422" i="3"/>
  <c r="BC422" i="3"/>
  <c r="BD422" i="3"/>
  <c r="BE422" i="3"/>
  <c r="BF422" i="3"/>
  <c r="BG422" i="3"/>
  <c r="BH422" i="3"/>
  <c r="BI422" i="3"/>
  <c r="BJ422" i="3"/>
  <c r="BK422" i="3"/>
  <c r="BB423" i="3"/>
  <c r="BC423" i="3"/>
  <c r="BD423" i="3"/>
  <c r="BE423" i="3"/>
  <c r="BF423" i="3"/>
  <c r="BG423" i="3"/>
  <c r="BH423" i="3"/>
  <c r="BI423" i="3"/>
  <c r="BJ423" i="3"/>
  <c r="BK423" i="3"/>
  <c r="BA423" i="3"/>
  <c r="BB424" i="3"/>
  <c r="BC424" i="3"/>
  <c r="BD424" i="3"/>
  <c r="BE424" i="3"/>
  <c r="BF424" i="3"/>
  <c r="BG424" i="3"/>
  <c r="BH424" i="3"/>
  <c r="BI424" i="3"/>
  <c r="BJ424" i="3"/>
  <c r="BK424" i="3"/>
  <c r="BB425" i="3"/>
  <c r="BC425" i="3"/>
  <c r="BD425" i="3"/>
  <c r="BE425" i="3"/>
  <c r="BF425" i="3"/>
  <c r="BG425" i="3"/>
  <c r="BH425" i="3"/>
  <c r="BI425" i="3"/>
  <c r="BJ425" i="3"/>
  <c r="BK425" i="3"/>
  <c r="BA425" i="3"/>
  <c r="BB426" i="3"/>
  <c r="BC426" i="3"/>
  <c r="BD426" i="3"/>
  <c r="BE426" i="3"/>
  <c r="BF426" i="3"/>
  <c r="BG426" i="3"/>
  <c r="BH426" i="3"/>
  <c r="BI426" i="3"/>
  <c r="BJ426" i="3"/>
  <c r="BK426" i="3"/>
  <c r="BB427" i="3"/>
  <c r="BC427" i="3"/>
  <c r="BD427" i="3"/>
  <c r="BE427" i="3"/>
  <c r="BF427" i="3"/>
  <c r="BG427" i="3"/>
  <c r="BH427" i="3"/>
  <c r="BI427" i="3"/>
  <c r="BJ427" i="3"/>
  <c r="BK427" i="3"/>
  <c r="BB428" i="3"/>
  <c r="BC428" i="3"/>
  <c r="BD428" i="3"/>
  <c r="BE428" i="3"/>
  <c r="BF428" i="3"/>
  <c r="BG428" i="3"/>
  <c r="BH428" i="3"/>
  <c r="BI428" i="3"/>
  <c r="BJ428" i="3"/>
  <c r="BK428" i="3"/>
  <c r="BB429" i="3"/>
  <c r="BA429" i="3" s="1"/>
  <c r="BC429" i="3"/>
  <c r="BD429" i="3"/>
  <c r="BE429" i="3"/>
  <c r="BF429" i="3"/>
  <c r="BG429" i="3"/>
  <c r="BH429" i="3"/>
  <c r="BI429" i="3"/>
  <c r="BJ429" i="3"/>
  <c r="BK429" i="3"/>
  <c r="BB430" i="3"/>
  <c r="BC430" i="3"/>
  <c r="BD430" i="3"/>
  <c r="BE430" i="3"/>
  <c r="BF430" i="3"/>
  <c r="BG430" i="3"/>
  <c r="BH430" i="3"/>
  <c r="BI430" i="3"/>
  <c r="BJ430" i="3"/>
  <c r="BK430" i="3"/>
  <c r="BB431" i="3"/>
  <c r="BC431" i="3"/>
  <c r="BD431" i="3"/>
  <c r="BE431" i="3"/>
  <c r="BF431" i="3"/>
  <c r="BG431" i="3"/>
  <c r="BH431" i="3"/>
  <c r="BI431" i="3"/>
  <c r="BJ431" i="3"/>
  <c r="BK431" i="3"/>
  <c r="BA431" i="3"/>
  <c r="BB432" i="3"/>
  <c r="BC432" i="3"/>
  <c r="BD432" i="3"/>
  <c r="BE432" i="3"/>
  <c r="BF432" i="3"/>
  <c r="BG432" i="3"/>
  <c r="BH432" i="3"/>
  <c r="BI432" i="3"/>
  <c r="BJ432" i="3"/>
  <c r="BK432" i="3"/>
  <c r="BB433" i="3"/>
  <c r="BC433" i="3"/>
  <c r="BD433" i="3"/>
  <c r="BE433" i="3"/>
  <c r="BF433" i="3"/>
  <c r="BG433" i="3"/>
  <c r="BH433" i="3"/>
  <c r="BI433" i="3"/>
  <c r="BJ433" i="3"/>
  <c r="BK433" i="3"/>
  <c r="BA433" i="3"/>
  <c r="BB434" i="3"/>
  <c r="BC434" i="3"/>
  <c r="BD434" i="3"/>
  <c r="BE434" i="3"/>
  <c r="BF434" i="3"/>
  <c r="BG434" i="3"/>
  <c r="BH434" i="3"/>
  <c r="BI434" i="3"/>
  <c r="BJ434" i="3"/>
  <c r="BK434" i="3"/>
  <c r="BB435" i="3"/>
  <c r="BC435" i="3"/>
  <c r="BD435" i="3"/>
  <c r="BE435" i="3"/>
  <c r="BF435" i="3"/>
  <c r="BG435" i="3"/>
  <c r="BH435" i="3"/>
  <c r="BI435" i="3"/>
  <c r="BJ435" i="3"/>
  <c r="BK435" i="3"/>
  <c r="BB436" i="3"/>
  <c r="BC436" i="3"/>
  <c r="BD436" i="3"/>
  <c r="BE436" i="3"/>
  <c r="BF436" i="3"/>
  <c r="BG436" i="3"/>
  <c r="BH436" i="3"/>
  <c r="BI436" i="3"/>
  <c r="BJ436" i="3"/>
  <c r="BK436" i="3"/>
  <c r="BB437" i="3"/>
  <c r="BA437" i="3" s="1"/>
  <c r="BC437" i="3"/>
  <c r="BD437" i="3"/>
  <c r="BE437" i="3"/>
  <c r="BF437" i="3"/>
  <c r="BG437" i="3"/>
  <c r="BH437" i="3"/>
  <c r="BI437" i="3"/>
  <c r="BJ437" i="3"/>
  <c r="BK437" i="3"/>
  <c r="BB438" i="3"/>
  <c r="BC438" i="3"/>
  <c r="BD438" i="3"/>
  <c r="BE438" i="3"/>
  <c r="BF438" i="3"/>
  <c r="BG438" i="3"/>
  <c r="BH438" i="3"/>
  <c r="BI438" i="3"/>
  <c r="BJ438" i="3"/>
  <c r="BK438" i="3"/>
  <c r="BB439" i="3"/>
  <c r="BC439" i="3"/>
  <c r="BD439" i="3"/>
  <c r="BE439" i="3"/>
  <c r="BF439" i="3"/>
  <c r="BG439" i="3"/>
  <c r="BH439" i="3"/>
  <c r="BI439" i="3"/>
  <c r="BJ439" i="3"/>
  <c r="BK439" i="3"/>
  <c r="BA439" i="3"/>
  <c r="BB440" i="3"/>
  <c r="BC440" i="3"/>
  <c r="BD440" i="3"/>
  <c r="BE440" i="3"/>
  <c r="BF440" i="3"/>
  <c r="BG440" i="3"/>
  <c r="BH440" i="3"/>
  <c r="BI440" i="3"/>
  <c r="BJ440" i="3"/>
  <c r="BK440" i="3"/>
  <c r="BB441" i="3"/>
  <c r="BC441" i="3"/>
  <c r="BD441" i="3"/>
  <c r="BE441" i="3"/>
  <c r="BF441" i="3"/>
  <c r="BG441" i="3"/>
  <c r="BH441" i="3"/>
  <c r="BI441" i="3"/>
  <c r="BJ441" i="3"/>
  <c r="BK441" i="3"/>
  <c r="BA441" i="3"/>
  <c r="BB442" i="3"/>
  <c r="BC442" i="3"/>
  <c r="BD442" i="3"/>
  <c r="BE442" i="3"/>
  <c r="BF442" i="3"/>
  <c r="BG442" i="3"/>
  <c r="BH442" i="3"/>
  <c r="BI442" i="3"/>
  <c r="BJ442" i="3"/>
  <c r="BK442" i="3"/>
  <c r="BB443" i="3"/>
  <c r="BC443" i="3"/>
  <c r="BD443" i="3"/>
  <c r="BE443" i="3"/>
  <c r="BF443" i="3"/>
  <c r="BG443" i="3"/>
  <c r="BH443" i="3"/>
  <c r="BI443" i="3"/>
  <c r="BJ443" i="3"/>
  <c r="BK443" i="3"/>
  <c r="BB444" i="3"/>
  <c r="BC444" i="3"/>
  <c r="BD444" i="3"/>
  <c r="BE444" i="3"/>
  <c r="BF444" i="3"/>
  <c r="BG444" i="3"/>
  <c r="BH444" i="3"/>
  <c r="BI444" i="3"/>
  <c r="BJ444" i="3"/>
  <c r="BK444" i="3"/>
  <c r="BB445" i="3"/>
  <c r="BA445" i="3" s="1"/>
  <c r="BC445" i="3"/>
  <c r="BD445" i="3"/>
  <c r="BE445" i="3"/>
  <c r="BF445" i="3"/>
  <c r="BG445" i="3"/>
  <c r="BH445" i="3"/>
  <c r="BI445" i="3"/>
  <c r="BJ445" i="3"/>
  <c r="BK445" i="3"/>
  <c r="BB446" i="3"/>
  <c r="BC446" i="3"/>
  <c r="BD446" i="3"/>
  <c r="BE446" i="3"/>
  <c r="BF446" i="3"/>
  <c r="BG446" i="3"/>
  <c r="BH446" i="3"/>
  <c r="BI446" i="3"/>
  <c r="BJ446" i="3"/>
  <c r="BK446" i="3"/>
  <c r="BB447" i="3"/>
  <c r="BC447" i="3"/>
  <c r="BD447" i="3"/>
  <c r="BE447" i="3"/>
  <c r="BF447" i="3"/>
  <c r="BG447" i="3"/>
  <c r="BH447" i="3"/>
  <c r="BI447" i="3"/>
  <c r="BJ447" i="3"/>
  <c r="BK447" i="3"/>
  <c r="BA447" i="3"/>
  <c r="BB448" i="3"/>
  <c r="BC448" i="3"/>
  <c r="BD448" i="3"/>
  <c r="BE448" i="3"/>
  <c r="BF448" i="3"/>
  <c r="BG448" i="3"/>
  <c r="BH448" i="3"/>
  <c r="BI448" i="3"/>
  <c r="BJ448" i="3"/>
  <c r="BK448" i="3"/>
  <c r="BB449" i="3"/>
  <c r="BC449" i="3"/>
  <c r="BD449" i="3"/>
  <c r="BE449" i="3"/>
  <c r="BF449" i="3"/>
  <c r="BG449" i="3"/>
  <c r="BH449" i="3"/>
  <c r="BI449" i="3"/>
  <c r="BJ449" i="3"/>
  <c r="BK449" i="3"/>
  <c r="BA449" i="3"/>
  <c r="BB450" i="3"/>
  <c r="BC450" i="3"/>
  <c r="BD450" i="3"/>
  <c r="BE450" i="3"/>
  <c r="BF450" i="3"/>
  <c r="BG450" i="3"/>
  <c r="BH450" i="3"/>
  <c r="BI450" i="3"/>
  <c r="BJ450" i="3"/>
  <c r="BK450" i="3"/>
  <c r="BB451" i="3"/>
  <c r="BC451" i="3"/>
  <c r="BD451" i="3"/>
  <c r="BE451" i="3"/>
  <c r="BF451" i="3"/>
  <c r="BG451" i="3"/>
  <c r="BH451" i="3"/>
  <c r="BI451" i="3"/>
  <c r="BJ451" i="3"/>
  <c r="BK451" i="3"/>
  <c r="BB452" i="3"/>
  <c r="BC452" i="3"/>
  <c r="BD452" i="3"/>
  <c r="BE452" i="3"/>
  <c r="BF452" i="3"/>
  <c r="BG452" i="3"/>
  <c r="BH452" i="3"/>
  <c r="BI452" i="3"/>
  <c r="BJ452" i="3"/>
  <c r="BK452" i="3"/>
  <c r="BB453" i="3"/>
  <c r="BA453" i="3" s="1"/>
  <c r="BC453" i="3"/>
  <c r="BD453" i="3"/>
  <c r="BE453" i="3"/>
  <c r="BF453" i="3"/>
  <c r="BG453" i="3"/>
  <c r="BH453" i="3"/>
  <c r="BI453" i="3"/>
  <c r="BJ453" i="3"/>
  <c r="BK453" i="3"/>
  <c r="BB454" i="3"/>
  <c r="BC454" i="3"/>
  <c r="BD454" i="3"/>
  <c r="BE454" i="3"/>
  <c r="BF454" i="3"/>
  <c r="BG454" i="3"/>
  <c r="BH454" i="3"/>
  <c r="BI454" i="3"/>
  <c r="BJ454" i="3"/>
  <c r="BK454" i="3"/>
  <c r="BB455" i="3"/>
  <c r="BC455" i="3"/>
  <c r="BD455" i="3"/>
  <c r="BE455" i="3"/>
  <c r="BF455" i="3"/>
  <c r="BG455" i="3"/>
  <c r="BH455" i="3"/>
  <c r="BI455" i="3"/>
  <c r="BJ455" i="3"/>
  <c r="BK455" i="3"/>
  <c r="BA455" i="3"/>
  <c r="BB456" i="3"/>
  <c r="BC456" i="3"/>
  <c r="BD456" i="3"/>
  <c r="BE456" i="3"/>
  <c r="BF456" i="3"/>
  <c r="BG456" i="3"/>
  <c r="BH456" i="3"/>
  <c r="BI456" i="3"/>
  <c r="BJ456" i="3"/>
  <c r="BK456" i="3"/>
  <c r="BB457" i="3"/>
  <c r="BC457" i="3"/>
  <c r="BD457" i="3"/>
  <c r="BE457" i="3"/>
  <c r="BF457" i="3"/>
  <c r="BG457" i="3"/>
  <c r="BH457" i="3"/>
  <c r="BI457" i="3"/>
  <c r="BJ457" i="3"/>
  <c r="BK457" i="3"/>
  <c r="BA457" i="3"/>
  <c r="BB458" i="3"/>
  <c r="BC458" i="3"/>
  <c r="BD458" i="3"/>
  <c r="BE458" i="3"/>
  <c r="BF458" i="3"/>
  <c r="BG458" i="3"/>
  <c r="BH458" i="3"/>
  <c r="BI458" i="3"/>
  <c r="BJ458" i="3"/>
  <c r="BK458" i="3"/>
  <c r="BB459" i="3"/>
  <c r="BC459" i="3"/>
  <c r="BD459" i="3"/>
  <c r="BE459" i="3"/>
  <c r="BF459" i="3"/>
  <c r="BG459" i="3"/>
  <c r="BH459" i="3"/>
  <c r="BI459" i="3"/>
  <c r="BJ459" i="3"/>
  <c r="BK459" i="3"/>
  <c r="BB460" i="3"/>
  <c r="BC460" i="3"/>
  <c r="BD460" i="3"/>
  <c r="BE460" i="3"/>
  <c r="BF460" i="3"/>
  <c r="BG460" i="3"/>
  <c r="BH460" i="3"/>
  <c r="BI460" i="3"/>
  <c r="BJ460" i="3"/>
  <c r="BK460" i="3"/>
  <c r="BB461" i="3"/>
  <c r="BA461" i="3" s="1"/>
  <c r="BC461" i="3"/>
  <c r="BD461" i="3"/>
  <c r="BE461" i="3"/>
  <c r="BF461" i="3"/>
  <c r="BG461" i="3"/>
  <c r="BH461" i="3"/>
  <c r="BI461" i="3"/>
  <c r="BJ461" i="3"/>
  <c r="BK461" i="3"/>
  <c r="BB462" i="3"/>
  <c r="BC462" i="3"/>
  <c r="BD462" i="3"/>
  <c r="BE462" i="3"/>
  <c r="BF462" i="3"/>
  <c r="BG462" i="3"/>
  <c r="BH462" i="3"/>
  <c r="BI462" i="3"/>
  <c r="BJ462" i="3"/>
  <c r="BK462" i="3"/>
  <c r="BB463" i="3"/>
  <c r="BC463" i="3"/>
  <c r="BD463" i="3"/>
  <c r="BE463" i="3"/>
  <c r="BF463" i="3"/>
  <c r="BG463" i="3"/>
  <c r="BH463" i="3"/>
  <c r="BI463" i="3"/>
  <c r="BJ463" i="3"/>
  <c r="BK463" i="3"/>
  <c r="BA463" i="3"/>
  <c r="BB464" i="3"/>
  <c r="BC464" i="3"/>
  <c r="BD464" i="3"/>
  <c r="BE464" i="3"/>
  <c r="BF464" i="3"/>
  <c r="BG464" i="3"/>
  <c r="BH464" i="3"/>
  <c r="BI464" i="3"/>
  <c r="BJ464" i="3"/>
  <c r="BK464" i="3"/>
  <c r="BB465" i="3"/>
  <c r="BC465" i="3"/>
  <c r="BD465" i="3"/>
  <c r="BE465" i="3"/>
  <c r="BF465" i="3"/>
  <c r="BG465" i="3"/>
  <c r="BH465" i="3"/>
  <c r="BI465" i="3"/>
  <c r="BJ465" i="3"/>
  <c r="BK465" i="3"/>
  <c r="BA465" i="3"/>
  <c r="BB466" i="3"/>
  <c r="BC466" i="3"/>
  <c r="BD466" i="3"/>
  <c r="BE466" i="3"/>
  <c r="BF466" i="3"/>
  <c r="BG466" i="3"/>
  <c r="BH466" i="3"/>
  <c r="BI466" i="3"/>
  <c r="BJ466" i="3"/>
  <c r="BK466" i="3"/>
  <c r="BB467" i="3"/>
  <c r="BC467" i="3"/>
  <c r="BD467" i="3"/>
  <c r="BE467" i="3"/>
  <c r="BF467" i="3"/>
  <c r="BG467" i="3"/>
  <c r="BH467" i="3"/>
  <c r="BI467" i="3"/>
  <c r="BJ467" i="3"/>
  <c r="BK467" i="3"/>
  <c r="BB468" i="3"/>
  <c r="BC468" i="3"/>
  <c r="BD468" i="3"/>
  <c r="BE468" i="3"/>
  <c r="BF468" i="3"/>
  <c r="BG468" i="3"/>
  <c r="BH468" i="3"/>
  <c r="BI468" i="3"/>
  <c r="BJ468" i="3"/>
  <c r="BK468" i="3"/>
  <c r="BB469" i="3"/>
  <c r="BA469" i="3" s="1"/>
  <c r="BC469" i="3"/>
  <c r="BD469" i="3"/>
  <c r="BE469" i="3"/>
  <c r="BF469" i="3"/>
  <c r="BG469" i="3"/>
  <c r="BH469" i="3"/>
  <c r="BI469" i="3"/>
  <c r="BJ469" i="3"/>
  <c r="BK469" i="3"/>
  <c r="BB470" i="3"/>
  <c r="BC470" i="3"/>
  <c r="BD470" i="3"/>
  <c r="BE470" i="3"/>
  <c r="BF470" i="3"/>
  <c r="BG470" i="3"/>
  <c r="BH470" i="3"/>
  <c r="BI470" i="3"/>
  <c r="BJ470" i="3"/>
  <c r="BK470" i="3"/>
  <c r="BB471" i="3"/>
  <c r="BC471" i="3"/>
  <c r="BD471" i="3"/>
  <c r="BE471" i="3"/>
  <c r="BF471" i="3"/>
  <c r="BG471" i="3"/>
  <c r="BH471" i="3"/>
  <c r="BI471" i="3"/>
  <c r="BJ471" i="3"/>
  <c r="BK471" i="3"/>
  <c r="BA471" i="3"/>
  <c r="BB472" i="3"/>
  <c r="BC472" i="3"/>
  <c r="BD472" i="3"/>
  <c r="BE472" i="3"/>
  <c r="BF472" i="3"/>
  <c r="BG472" i="3"/>
  <c r="BH472" i="3"/>
  <c r="BI472" i="3"/>
  <c r="BJ472" i="3"/>
  <c r="BK472" i="3"/>
  <c r="BB473" i="3"/>
  <c r="BC473" i="3"/>
  <c r="BD473" i="3"/>
  <c r="BE473" i="3"/>
  <c r="BF473" i="3"/>
  <c r="BG473" i="3"/>
  <c r="BH473" i="3"/>
  <c r="BI473" i="3"/>
  <c r="BJ473" i="3"/>
  <c r="BK473" i="3"/>
  <c r="BB474" i="3"/>
  <c r="BC474" i="3"/>
  <c r="BD474" i="3"/>
  <c r="BE474" i="3"/>
  <c r="BF474" i="3"/>
  <c r="BG474" i="3"/>
  <c r="BH474" i="3"/>
  <c r="BI474" i="3"/>
  <c r="BJ474" i="3"/>
  <c r="BK474" i="3"/>
  <c r="BA474" i="3"/>
  <c r="AZ474" i="3" s="1"/>
  <c r="BB475" i="3"/>
  <c r="BC475" i="3"/>
  <c r="BD475" i="3"/>
  <c r="BE475" i="3"/>
  <c r="BF475" i="3"/>
  <c r="BG475" i="3"/>
  <c r="BH475" i="3"/>
  <c r="BI475" i="3"/>
  <c r="BJ475" i="3"/>
  <c r="BK475" i="3"/>
  <c r="BB476" i="3"/>
  <c r="BC476" i="3"/>
  <c r="BD476" i="3"/>
  <c r="BE476" i="3"/>
  <c r="BF476" i="3"/>
  <c r="BG476" i="3"/>
  <c r="BH476" i="3"/>
  <c r="BI476" i="3"/>
  <c r="BJ476" i="3"/>
  <c r="BK476" i="3"/>
  <c r="BB477" i="3"/>
  <c r="BC477" i="3"/>
  <c r="BD477" i="3"/>
  <c r="BE477" i="3"/>
  <c r="BF477" i="3"/>
  <c r="BG477" i="3"/>
  <c r="BH477" i="3"/>
  <c r="BI477" i="3"/>
  <c r="BJ477" i="3"/>
  <c r="BK477" i="3"/>
  <c r="BB478" i="3"/>
  <c r="BC478" i="3"/>
  <c r="BD478" i="3"/>
  <c r="BE478" i="3"/>
  <c r="BF478" i="3"/>
  <c r="BG478" i="3"/>
  <c r="BH478" i="3"/>
  <c r="BI478" i="3"/>
  <c r="BJ478" i="3"/>
  <c r="BK478" i="3"/>
  <c r="BA478" i="3"/>
  <c r="BB479" i="3"/>
  <c r="BA479" i="3" s="1"/>
  <c r="BC479" i="3"/>
  <c r="BD479" i="3"/>
  <c r="BE479" i="3"/>
  <c r="BF479" i="3"/>
  <c r="BG479" i="3"/>
  <c r="BH479" i="3"/>
  <c r="BI479" i="3"/>
  <c r="BJ479" i="3"/>
  <c r="BK479" i="3"/>
  <c r="BB480" i="3"/>
  <c r="BC480" i="3"/>
  <c r="BD480" i="3"/>
  <c r="BE480" i="3"/>
  <c r="BF480" i="3"/>
  <c r="BG480" i="3"/>
  <c r="BH480" i="3"/>
  <c r="BI480" i="3"/>
  <c r="BJ480" i="3"/>
  <c r="BK480" i="3"/>
  <c r="BB481" i="3"/>
  <c r="BC481" i="3"/>
  <c r="BD481" i="3"/>
  <c r="BE481" i="3"/>
  <c r="BF481" i="3"/>
  <c r="BG481" i="3"/>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J483" i="3"/>
  <c r="BK483" i="3"/>
  <c r="BB484" i="3"/>
  <c r="BC484" i="3"/>
  <c r="BD484" i="3"/>
  <c r="BE484" i="3"/>
  <c r="BF484" i="3"/>
  <c r="BG484" i="3"/>
  <c r="BH484" i="3"/>
  <c r="BI484" i="3"/>
  <c r="BJ484" i="3"/>
  <c r="BK484" i="3"/>
  <c r="BB485" i="3"/>
  <c r="BC485" i="3"/>
  <c r="BD485" i="3"/>
  <c r="BE485" i="3"/>
  <c r="BF485" i="3"/>
  <c r="BG485" i="3"/>
  <c r="BH485" i="3"/>
  <c r="BI485" i="3"/>
  <c r="BJ485" i="3"/>
  <c r="BK485" i="3"/>
  <c r="BB486" i="3"/>
  <c r="BC486" i="3"/>
  <c r="BD486" i="3"/>
  <c r="BE486" i="3"/>
  <c r="BF486" i="3"/>
  <c r="BG486" i="3"/>
  <c r="BH486" i="3"/>
  <c r="BI486" i="3"/>
  <c r="BJ486" i="3"/>
  <c r="BK486" i="3"/>
  <c r="BA486" i="3"/>
  <c r="BB487" i="3"/>
  <c r="BA487" i="3" s="1"/>
  <c r="AZ487" i="3" s="1"/>
  <c r="BC487" i="3"/>
  <c r="BD487" i="3"/>
  <c r="BE487" i="3"/>
  <c r="BF487" i="3"/>
  <c r="BG487" i="3"/>
  <c r="BH487" i="3"/>
  <c r="BI487" i="3"/>
  <c r="BJ487" i="3"/>
  <c r="BK487" i="3"/>
  <c r="BB488" i="3"/>
  <c r="BC488" i="3"/>
  <c r="BD488" i="3"/>
  <c r="BE488" i="3"/>
  <c r="BF488" i="3"/>
  <c r="BG488" i="3"/>
  <c r="BH488" i="3"/>
  <c r="BI488" i="3"/>
  <c r="BJ488" i="3"/>
  <c r="BK488" i="3"/>
  <c r="BB489" i="3"/>
  <c r="BC489" i="3"/>
  <c r="BD489" i="3"/>
  <c r="BE489" i="3"/>
  <c r="BF489" i="3"/>
  <c r="BG489" i="3"/>
  <c r="BH489" i="3"/>
  <c r="BI489" i="3"/>
  <c r="BJ489" i="3"/>
  <c r="BK489" i="3"/>
  <c r="BB490" i="3"/>
  <c r="BC490" i="3"/>
  <c r="BD490" i="3"/>
  <c r="BE490" i="3"/>
  <c r="BF490" i="3"/>
  <c r="BG490" i="3"/>
  <c r="BH490" i="3"/>
  <c r="BI490" i="3"/>
  <c r="BJ490" i="3"/>
  <c r="BK490" i="3"/>
  <c r="BA490" i="3"/>
  <c r="AZ490" i="3" s="1"/>
  <c r="BB491" i="3"/>
  <c r="BC491" i="3"/>
  <c r="BD491" i="3"/>
  <c r="BE491" i="3"/>
  <c r="BF491" i="3"/>
  <c r="BG491" i="3"/>
  <c r="BH491" i="3"/>
  <c r="BI491" i="3"/>
  <c r="BJ491" i="3"/>
  <c r="BK491" i="3"/>
  <c r="BB492" i="3"/>
  <c r="BC492" i="3"/>
  <c r="BD492" i="3"/>
  <c r="BE492" i="3"/>
  <c r="BF492" i="3"/>
  <c r="BG492" i="3"/>
  <c r="BH492" i="3"/>
  <c r="BI492" i="3"/>
  <c r="BJ492" i="3"/>
  <c r="BK492" i="3"/>
  <c r="BB493" i="3"/>
  <c r="BC493" i="3"/>
  <c r="BD493" i="3"/>
  <c r="BE493" i="3"/>
  <c r="BF493" i="3"/>
  <c r="BG493" i="3"/>
  <c r="BH493" i="3"/>
  <c r="BI493" i="3"/>
  <c r="BJ493" i="3"/>
  <c r="BK493" i="3"/>
  <c r="BB494" i="3"/>
  <c r="BC494" i="3"/>
  <c r="BD494" i="3"/>
  <c r="BE494" i="3"/>
  <c r="BF494" i="3"/>
  <c r="BG494" i="3"/>
  <c r="BH494" i="3"/>
  <c r="BI494" i="3"/>
  <c r="BJ494" i="3"/>
  <c r="BK494" i="3"/>
  <c r="BA494" i="3"/>
  <c r="BB495" i="3"/>
  <c r="BA495" i="3" s="1"/>
  <c r="BC495" i="3"/>
  <c r="BD495" i="3"/>
  <c r="BE495" i="3"/>
  <c r="BF495" i="3"/>
  <c r="BG495" i="3"/>
  <c r="BH495" i="3"/>
  <c r="BI495" i="3"/>
  <c r="BJ495" i="3"/>
  <c r="BK495" i="3"/>
  <c r="BB496" i="3"/>
  <c r="BC496" i="3"/>
  <c r="BD496" i="3"/>
  <c r="BE496" i="3"/>
  <c r="BF496" i="3"/>
  <c r="BG496" i="3"/>
  <c r="BH496" i="3"/>
  <c r="BI496" i="3"/>
  <c r="BJ496" i="3"/>
  <c r="BK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B501" i="3"/>
  <c r="BC501" i="3"/>
  <c r="BD501" i="3"/>
  <c r="BE501" i="3"/>
  <c r="BF501" i="3"/>
  <c r="BG501" i="3"/>
  <c r="BH501" i="3"/>
  <c r="BI501" i="3"/>
  <c r="BJ501" i="3"/>
  <c r="BK501" i="3"/>
  <c r="BB502" i="3"/>
  <c r="BC502" i="3"/>
  <c r="BD502" i="3"/>
  <c r="BE502" i="3"/>
  <c r="BF502" i="3"/>
  <c r="BG502" i="3"/>
  <c r="BH502" i="3"/>
  <c r="BI502" i="3"/>
  <c r="BJ502" i="3"/>
  <c r="BK502" i="3"/>
  <c r="BA502" i="3"/>
  <c r="BB503" i="3"/>
  <c r="BA503" i="3" s="1"/>
  <c r="AZ503" i="3" s="1"/>
  <c r="BC503" i="3"/>
  <c r="BD503" i="3"/>
  <c r="BE503" i="3"/>
  <c r="BF503" i="3"/>
  <c r="BG503" i="3"/>
  <c r="BH503" i="3"/>
  <c r="BI503" i="3"/>
  <c r="BJ503" i="3"/>
  <c r="BK503" i="3"/>
  <c r="BB504" i="3"/>
  <c r="BC504" i="3"/>
  <c r="BD504" i="3"/>
  <c r="BE504" i="3"/>
  <c r="BF504" i="3"/>
  <c r="BG504" i="3"/>
  <c r="BH504" i="3"/>
  <c r="BI504" i="3"/>
  <c r="BJ504" i="3"/>
  <c r="BK504" i="3"/>
  <c r="BB505" i="3"/>
  <c r="BC505" i="3"/>
  <c r="BD505" i="3"/>
  <c r="BE505" i="3"/>
  <c r="BF505" i="3"/>
  <c r="BG505" i="3"/>
  <c r="BH505" i="3"/>
  <c r="BI505" i="3"/>
  <c r="BJ505" i="3"/>
  <c r="BK505" i="3"/>
  <c r="BB506" i="3"/>
  <c r="BC506" i="3"/>
  <c r="BD506" i="3"/>
  <c r="BE506" i="3"/>
  <c r="BF506" i="3"/>
  <c r="BG506" i="3"/>
  <c r="BH506" i="3"/>
  <c r="BI506" i="3"/>
  <c r="BJ506" i="3"/>
  <c r="BK506" i="3"/>
  <c r="BA506" i="3"/>
  <c r="AZ506" i="3" s="1"/>
  <c r="BB507" i="3"/>
  <c r="BC507" i="3"/>
  <c r="BD507" i="3"/>
  <c r="BE507" i="3"/>
  <c r="BF507" i="3"/>
  <c r="BG507" i="3"/>
  <c r="BH507" i="3"/>
  <c r="BI507" i="3"/>
  <c r="BJ507" i="3"/>
  <c r="BK507" i="3"/>
  <c r="BB508" i="3"/>
  <c r="BC508" i="3"/>
  <c r="BD508" i="3"/>
  <c r="BE508" i="3"/>
  <c r="BF508" i="3"/>
  <c r="BG508" i="3"/>
  <c r="BH508" i="3"/>
  <c r="BI508" i="3"/>
  <c r="BJ508" i="3"/>
  <c r="BK508" i="3"/>
  <c r="BB509" i="3"/>
  <c r="BC509" i="3"/>
  <c r="BD509" i="3"/>
  <c r="BE509" i="3"/>
  <c r="BF509" i="3"/>
  <c r="BG509" i="3"/>
  <c r="BH509" i="3"/>
  <c r="BI509" i="3"/>
  <c r="BJ509" i="3"/>
  <c r="BK509" i="3"/>
  <c r="BB510" i="3"/>
  <c r="BC510" i="3"/>
  <c r="BD510" i="3"/>
  <c r="BE510" i="3"/>
  <c r="BF510" i="3"/>
  <c r="BG510" i="3"/>
  <c r="BH510" i="3"/>
  <c r="BI510" i="3"/>
  <c r="BJ510" i="3"/>
  <c r="BK510" i="3"/>
  <c r="BA510" i="3"/>
  <c r="BB511" i="3"/>
  <c r="BA511" i="3" s="1"/>
  <c r="BC511" i="3"/>
  <c r="BD511" i="3"/>
  <c r="BE511" i="3"/>
  <c r="BF511" i="3"/>
  <c r="BG511" i="3"/>
  <c r="BH511" i="3"/>
  <c r="BI511" i="3"/>
  <c r="BJ511" i="3"/>
  <c r="BK511" i="3"/>
  <c r="BB512" i="3"/>
  <c r="BC512" i="3"/>
  <c r="BD512" i="3"/>
  <c r="BE512" i="3"/>
  <c r="BF512" i="3"/>
  <c r="BG512" i="3"/>
  <c r="BH512" i="3"/>
  <c r="BI512" i="3"/>
  <c r="BJ512" i="3"/>
  <c r="BK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B517" i="3"/>
  <c r="BC517" i="3"/>
  <c r="BD517" i="3"/>
  <c r="BE517" i="3"/>
  <c r="BF517" i="3"/>
  <c r="BG517" i="3"/>
  <c r="BH517" i="3"/>
  <c r="BI517" i="3"/>
  <c r="BJ517" i="3"/>
  <c r="BK517" i="3"/>
  <c r="BB518" i="3"/>
  <c r="BC518" i="3"/>
  <c r="BD518" i="3"/>
  <c r="BE518" i="3"/>
  <c r="BF518" i="3"/>
  <c r="BG518" i="3"/>
  <c r="BH518" i="3"/>
  <c r="BI518" i="3"/>
  <c r="BJ518" i="3"/>
  <c r="BK518" i="3"/>
  <c r="BA518" i="3"/>
  <c r="BB519" i="3"/>
  <c r="BA519" i="3" s="1"/>
  <c r="AZ519" i="3" s="1"/>
  <c r="BC519" i="3"/>
  <c r="BD519" i="3"/>
  <c r="BE519" i="3"/>
  <c r="BF519" i="3"/>
  <c r="BG519" i="3"/>
  <c r="BH519" i="3"/>
  <c r="BI519" i="3"/>
  <c r="BJ519" i="3"/>
  <c r="BK519" i="3"/>
  <c r="BB520" i="3"/>
  <c r="BC520" i="3"/>
  <c r="BD520" i="3"/>
  <c r="BE520" i="3"/>
  <c r="BF520" i="3"/>
  <c r="BG520" i="3"/>
  <c r="BH520" i="3"/>
  <c r="BI520" i="3"/>
  <c r="BJ520" i="3"/>
  <c r="BK520" i="3"/>
  <c r="BB521" i="3"/>
  <c r="BC521" i="3"/>
  <c r="BD521" i="3"/>
  <c r="BE521" i="3"/>
  <c r="BF521" i="3"/>
  <c r="BG521" i="3"/>
  <c r="BH521" i="3"/>
  <c r="BI521" i="3"/>
  <c r="BJ521" i="3"/>
  <c r="BK521" i="3"/>
  <c r="BB522" i="3"/>
  <c r="BC522" i="3"/>
  <c r="BD522" i="3"/>
  <c r="BE522" i="3"/>
  <c r="BF522" i="3"/>
  <c r="BG522" i="3"/>
  <c r="BH522" i="3"/>
  <c r="BI522" i="3"/>
  <c r="BJ522" i="3"/>
  <c r="BK522" i="3"/>
  <c r="BA522" i="3"/>
  <c r="AZ522" i="3" s="1"/>
  <c r="BB523" i="3"/>
  <c r="BC523" i="3"/>
  <c r="BD523" i="3"/>
  <c r="BE523" i="3"/>
  <c r="BF523" i="3"/>
  <c r="BG523" i="3"/>
  <c r="BH523" i="3"/>
  <c r="BI523" i="3"/>
  <c r="BJ523" i="3"/>
  <c r="BK523" i="3"/>
  <c r="BB524" i="3"/>
  <c r="BC524" i="3"/>
  <c r="BD524" i="3"/>
  <c r="BE524" i="3"/>
  <c r="BF524" i="3"/>
  <c r="BG524" i="3"/>
  <c r="BH524" i="3"/>
  <c r="BI524" i="3"/>
  <c r="BJ524" i="3"/>
  <c r="BK524" i="3"/>
  <c r="BB525" i="3"/>
  <c r="BC525" i="3"/>
  <c r="BD525" i="3"/>
  <c r="BE525" i="3"/>
  <c r="BF525" i="3"/>
  <c r="BG525" i="3"/>
  <c r="BH525" i="3"/>
  <c r="BI525" i="3"/>
  <c r="BJ525" i="3"/>
  <c r="BK525" i="3"/>
  <c r="BB526" i="3"/>
  <c r="BC526" i="3"/>
  <c r="BD526" i="3"/>
  <c r="BE526" i="3"/>
  <c r="BF526" i="3"/>
  <c r="BG526" i="3"/>
  <c r="BH526" i="3"/>
  <c r="BI526" i="3"/>
  <c r="BJ526" i="3"/>
  <c r="BK526" i="3"/>
  <c r="BA526" i="3"/>
  <c r="BB527" i="3"/>
  <c r="BA527" i="3" s="1"/>
  <c r="BC527" i="3"/>
  <c r="BD527" i="3"/>
  <c r="BE527" i="3"/>
  <c r="BF527" i="3"/>
  <c r="BG527" i="3"/>
  <c r="BH527" i="3"/>
  <c r="BI527" i="3"/>
  <c r="BJ527" i="3"/>
  <c r="BK527" i="3"/>
  <c r="BB528" i="3"/>
  <c r="BC528" i="3"/>
  <c r="BD528" i="3"/>
  <c r="BE528" i="3"/>
  <c r="BF528" i="3"/>
  <c r="BG528" i="3"/>
  <c r="BH528" i="3"/>
  <c r="BI528" i="3"/>
  <c r="BJ528" i="3"/>
  <c r="BK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B533" i="3"/>
  <c r="BC533" i="3"/>
  <c r="BD533" i="3"/>
  <c r="BE533" i="3"/>
  <c r="BF533" i="3"/>
  <c r="BG533" i="3"/>
  <c r="BH533" i="3"/>
  <c r="BI533" i="3"/>
  <c r="BJ533" i="3"/>
  <c r="BK533" i="3"/>
  <c r="BB534" i="3"/>
  <c r="BC534" i="3"/>
  <c r="BD534" i="3"/>
  <c r="BE534" i="3"/>
  <c r="BF534" i="3"/>
  <c r="BG534" i="3"/>
  <c r="BH534" i="3"/>
  <c r="BI534" i="3"/>
  <c r="BJ534" i="3"/>
  <c r="BK534" i="3"/>
  <c r="BA534" i="3"/>
  <c r="BB535" i="3"/>
  <c r="BA535" i="3" s="1"/>
  <c r="AZ535" i="3" s="1"/>
  <c r="BC535" i="3"/>
  <c r="BD535" i="3"/>
  <c r="BE535" i="3"/>
  <c r="BF535" i="3"/>
  <c r="BG535" i="3"/>
  <c r="BH535" i="3"/>
  <c r="BI535" i="3"/>
  <c r="BJ535" i="3"/>
  <c r="BK535" i="3"/>
  <c r="BB536" i="3"/>
  <c r="BC536" i="3"/>
  <c r="BD536" i="3"/>
  <c r="BE536" i="3"/>
  <c r="BF536" i="3"/>
  <c r="BG536" i="3"/>
  <c r="BH536" i="3"/>
  <c r="BI536" i="3"/>
  <c r="BJ536" i="3"/>
  <c r="BK536" i="3"/>
  <c r="BB537" i="3"/>
  <c r="BC537" i="3"/>
  <c r="BD537" i="3"/>
  <c r="BE537" i="3"/>
  <c r="BF537" i="3"/>
  <c r="BG537" i="3"/>
  <c r="BH537" i="3"/>
  <c r="BI537" i="3"/>
  <c r="BJ537" i="3"/>
  <c r="BK537" i="3"/>
  <c r="BB538" i="3"/>
  <c r="BC538" i="3"/>
  <c r="BD538" i="3"/>
  <c r="BE538" i="3"/>
  <c r="BF538" i="3"/>
  <c r="BG538" i="3"/>
  <c r="BH538" i="3"/>
  <c r="BI538" i="3"/>
  <c r="BJ538" i="3"/>
  <c r="BK538" i="3"/>
  <c r="BA538" i="3"/>
  <c r="AZ538" i="3" s="1"/>
  <c r="BB539" i="3"/>
  <c r="BC539" i="3"/>
  <c r="BD539" i="3"/>
  <c r="BE539" i="3"/>
  <c r="BF539" i="3"/>
  <c r="BG539" i="3"/>
  <c r="BH539" i="3"/>
  <c r="BI539" i="3"/>
  <c r="BJ539" i="3"/>
  <c r="BK539" i="3"/>
  <c r="BB540" i="3"/>
  <c r="BC540" i="3"/>
  <c r="BD540" i="3"/>
  <c r="BE540" i="3"/>
  <c r="BF540" i="3"/>
  <c r="BG540" i="3"/>
  <c r="BH540" i="3"/>
  <c r="BI540" i="3"/>
  <c r="BJ540" i="3"/>
  <c r="BK540" i="3"/>
  <c r="BB541" i="3"/>
  <c r="BC541" i="3"/>
  <c r="BD541" i="3"/>
  <c r="BE541" i="3"/>
  <c r="BF541" i="3"/>
  <c r="BG541" i="3"/>
  <c r="BH541" i="3"/>
  <c r="BI541" i="3"/>
  <c r="BJ541" i="3"/>
  <c r="BK541" i="3"/>
  <c r="BB542" i="3"/>
  <c r="BC542" i="3"/>
  <c r="BD542" i="3"/>
  <c r="BE542" i="3"/>
  <c r="BF542" i="3"/>
  <c r="BG542" i="3"/>
  <c r="BH542" i="3"/>
  <c r="BI542" i="3"/>
  <c r="BJ542" i="3"/>
  <c r="BK542" i="3"/>
  <c r="BA542" i="3"/>
  <c r="BB543" i="3"/>
  <c r="BA543" i="3" s="1"/>
  <c r="BC543" i="3"/>
  <c r="BD543" i="3"/>
  <c r="BE543" i="3"/>
  <c r="BF543" i="3"/>
  <c r="BG543" i="3"/>
  <c r="BH543" i="3"/>
  <c r="BI543" i="3"/>
  <c r="BJ543" i="3"/>
  <c r="BK543" i="3"/>
  <c r="BB544" i="3"/>
  <c r="BC544" i="3"/>
  <c r="BD544" i="3"/>
  <c r="BE544" i="3"/>
  <c r="BF544" i="3"/>
  <c r="BG544" i="3"/>
  <c r="BH544" i="3"/>
  <c r="BI544" i="3"/>
  <c r="BJ544" i="3"/>
  <c r="BK544" i="3"/>
  <c r="BB545" i="3"/>
  <c r="BC545" i="3"/>
  <c r="BD545" i="3"/>
  <c r="BE545" i="3"/>
  <c r="BF545" i="3"/>
  <c r="BG545" i="3"/>
  <c r="BH545" i="3"/>
  <c r="BI545" i="3"/>
  <c r="BJ545" i="3"/>
  <c r="BK545" i="3"/>
  <c r="BB546" i="3"/>
  <c r="BC546" i="3"/>
  <c r="BD546" i="3"/>
  <c r="BE546" i="3"/>
  <c r="BF546" i="3"/>
  <c r="BG546" i="3"/>
  <c r="BH546" i="3"/>
  <c r="BI546" i="3"/>
  <c r="BJ546" i="3"/>
  <c r="BK546" i="3"/>
  <c r="BA546" i="3"/>
  <c r="BB547" i="3"/>
  <c r="BC547" i="3"/>
  <c r="BD547" i="3"/>
  <c r="BE547" i="3"/>
  <c r="BF547" i="3"/>
  <c r="BG547" i="3"/>
  <c r="BH547" i="3"/>
  <c r="BI547" i="3"/>
  <c r="BJ547" i="3"/>
  <c r="BK547" i="3"/>
  <c r="BB548" i="3"/>
  <c r="BC548" i="3"/>
  <c r="BD548" i="3"/>
  <c r="BE548" i="3"/>
  <c r="BF548" i="3"/>
  <c r="BG548" i="3"/>
  <c r="BH548" i="3"/>
  <c r="BI548" i="3"/>
  <c r="BJ548" i="3"/>
  <c r="BK548" i="3"/>
  <c r="BB549" i="3"/>
  <c r="BC549" i="3"/>
  <c r="BD549" i="3"/>
  <c r="BE549" i="3"/>
  <c r="BF549" i="3"/>
  <c r="BG549" i="3"/>
  <c r="BH549" i="3"/>
  <c r="BI549" i="3"/>
  <c r="BJ549" i="3"/>
  <c r="BK549" i="3"/>
  <c r="BB550" i="3"/>
  <c r="BC550" i="3"/>
  <c r="BD550" i="3"/>
  <c r="BE550" i="3"/>
  <c r="BF550" i="3"/>
  <c r="BG550" i="3"/>
  <c r="BH550" i="3"/>
  <c r="BI550" i="3"/>
  <c r="BJ550" i="3"/>
  <c r="BK550" i="3"/>
  <c r="BA550" i="3"/>
  <c r="BB551" i="3"/>
  <c r="BA551" i="3" s="1"/>
  <c r="AZ551" i="3" s="1"/>
  <c r="BC551" i="3"/>
  <c r="BD551" i="3"/>
  <c r="BE551" i="3"/>
  <c r="BF551" i="3"/>
  <c r="BG551" i="3"/>
  <c r="BH551" i="3"/>
  <c r="BI551" i="3"/>
  <c r="BJ551" i="3"/>
  <c r="BK551" i="3"/>
  <c r="BB552" i="3"/>
  <c r="BC552" i="3"/>
  <c r="BD552" i="3"/>
  <c r="BE552" i="3"/>
  <c r="BF552" i="3"/>
  <c r="BG552" i="3"/>
  <c r="BH552" i="3"/>
  <c r="BI552" i="3"/>
  <c r="BJ552" i="3"/>
  <c r="BK552" i="3"/>
  <c r="BB553" i="3"/>
  <c r="BC553" i="3"/>
  <c r="BD553" i="3"/>
  <c r="BE553" i="3"/>
  <c r="BF553" i="3"/>
  <c r="BG553" i="3"/>
  <c r="BH553" i="3"/>
  <c r="BI553" i="3"/>
  <c r="BJ553" i="3"/>
  <c r="BK553" i="3"/>
  <c r="BB554" i="3"/>
  <c r="BC554" i="3"/>
  <c r="BD554" i="3"/>
  <c r="BE554" i="3"/>
  <c r="BF554" i="3"/>
  <c r="BG554" i="3"/>
  <c r="BH554" i="3"/>
  <c r="BI554" i="3"/>
  <c r="BJ554" i="3"/>
  <c r="BK554" i="3"/>
  <c r="BA554" i="3"/>
  <c r="AZ554" i="3" s="1"/>
  <c r="BB555" i="3"/>
  <c r="BC555" i="3"/>
  <c r="BD555" i="3"/>
  <c r="BE555" i="3"/>
  <c r="BF555" i="3"/>
  <c r="BG555" i="3"/>
  <c r="BH555" i="3"/>
  <c r="BI555" i="3"/>
  <c r="BJ555" i="3"/>
  <c r="BK555" i="3"/>
  <c r="BB556" i="3"/>
  <c r="BC556" i="3"/>
  <c r="BD556" i="3"/>
  <c r="BE556" i="3"/>
  <c r="BF556" i="3"/>
  <c r="BG556" i="3"/>
  <c r="BH556" i="3"/>
  <c r="BI556" i="3"/>
  <c r="BJ556" i="3"/>
  <c r="BK556" i="3"/>
  <c r="BB557" i="3"/>
  <c r="BC557" i="3"/>
  <c r="BD557" i="3"/>
  <c r="BE557" i="3"/>
  <c r="BF557" i="3"/>
  <c r="BG557" i="3"/>
  <c r="BH557" i="3"/>
  <c r="BI557" i="3"/>
  <c r="BJ557" i="3"/>
  <c r="BK557" i="3"/>
  <c r="BB558" i="3"/>
  <c r="BC558" i="3"/>
  <c r="BD558" i="3"/>
  <c r="BE558" i="3"/>
  <c r="BF558" i="3"/>
  <c r="BG558" i="3"/>
  <c r="BH558" i="3"/>
  <c r="BI558" i="3"/>
  <c r="BJ558" i="3"/>
  <c r="BK558" i="3"/>
  <c r="BA558" i="3"/>
  <c r="BB559" i="3"/>
  <c r="BA559" i="3" s="1"/>
  <c r="BC559" i="3"/>
  <c r="BD559" i="3"/>
  <c r="BE559" i="3"/>
  <c r="BF559" i="3"/>
  <c r="BG559" i="3"/>
  <c r="BH559" i="3"/>
  <c r="BI559" i="3"/>
  <c r="BJ559" i="3"/>
  <c r="BK559" i="3"/>
  <c r="BB560" i="3"/>
  <c r="BC560" i="3"/>
  <c r="BD560" i="3"/>
  <c r="BE560" i="3"/>
  <c r="BF560" i="3"/>
  <c r="BG560" i="3"/>
  <c r="BH560" i="3"/>
  <c r="BI560" i="3"/>
  <c r="BJ560" i="3"/>
  <c r="BK560" i="3"/>
  <c r="BB561" i="3"/>
  <c r="BC561" i="3"/>
  <c r="BD561" i="3"/>
  <c r="BE561" i="3"/>
  <c r="BF561" i="3"/>
  <c r="BG561" i="3"/>
  <c r="BH561" i="3"/>
  <c r="BI561" i="3"/>
  <c r="BJ561" i="3"/>
  <c r="BK561" i="3"/>
  <c r="BB562" i="3"/>
  <c r="BC562" i="3"/>
  <c r="BD562" i="3"/>
  <c r="BE562" i="3"/>
  <c r="BF562" i="3"/>
  <c r="BG562" i="3"/>
  <c r="BH562" i="3"/>
  <c r="BI562" i="3"/>
  <c r="BJ562" i="3"/>
  <c r="BK562" i="3"/>
  <c r="BA562" i="3"/>
  <c r="BB563" i="3"/>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H565" i="3"/>
  <c r="BI565" i="3"/>
  <c r="BJ565" i="3"/>
  <c r="BK565" i="3"/>
  <c r="BB566" i="3"/>
  <c r="BC566" i="3"/>
  <c r="BD566" i="3"/>
  <c r="BE566" i="3"/>
  <c r="BF566" i="3"/>
  <c r="BG566" i="3"/>
  <c r="BH566" i="3"/>
  <c r="BI566" i="3"/>
  <c r="BJ566" i="3"/>
  <c r="BK566" i="3"/>
  <c r="BA566" i="3"/>
  <c r="BB567" i="3"/>
  <c r="BA567" i="3" s="1"/>
  <c r="AZ567" i="3" s="1"/>
  <c r="BC567" i="3"/>
  <c r="BD567" i="3"/>
  <c r="BE567" i="3"/>
  <c r="BF567" i="3"/>
  <c r="BG567" i="3"/>
  <c r="BH567" i="3"/>
  <c r="BI567" i="3"/>
  <c r="BJ567" i="3"/>
  <c r="BK567" i="3"/>
  <c r="BB568" i="3"/>
  <c r="BC568" i="3"/>
  <c r="BD568" i="3"/>
  <c r="BE568" i="3"/>
  <c r="BF568" i="3"/>
  <c r="BG568" i="3"/>
  <c r="BH568" i="3"/>
  <c r="BI568" i="3"/>
  <c r="BJ568" i="3"/>
  <c r="BK568" i="3"/>
  <c r="BB569" i="3"/>
  <c r="BC569" i="3"/>
  <c r="BD569" i="3"/>
  <c r="BE569" i="3"/>
  <c r="BF569" i="3"/>
  <c r="BG569" i="3"/>
  <c r="BH569" i="3"/>
  <c r="BI569" i="3"/>
  <c r="BJ569" i="3"/>
  <c r="BK569" i="3"/>
  <c r="BB570" i="3"/>
  <c r="BC570" i="3"/>
  <c r="BD570" i="3"/>
  <c r="BE570" i="3"/>
  <c r="BF570" i="3"/>
  <c r="BG570" i="3"/>
  <c r="BH570" i="3"/>
  <c r="BI570" i="3"/>
  <c r="BJ570" i="3"/>
  <c r="BK570" i="3"/>
  <c r="BA570" i="3"/>
  <c r="AZ570" i="3" s="1"/>
  <c r="BB571" i="3"/>
  <c r="BC571" i="3"/>
  <c r="BD571" i="3"/>
  <c r="BE571" i="3"/>
  <c r="BF571" i="3"/>
  <c r="BG571" i="3"/>
  <c r="BH571" i="3"/>
  <c r="BI571" i="3"/>
  <c r="BJ571" i="3"/>
  <c r="BK571" i="3"/>
  <c r="BB572" i="3"/>
  <c r="BC572" i="3"/>
  <c r="BD572" i="3"/>
  <c r="BE572" i="3"/>
  <c r="BF572" i="3"/>
  <c r="BG572" i="3"/>
  <c r="BH572" i="3"/>
  <c r="BI572" i="3"/>
  <c r="BJ572"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L23" i="3" s="1"/>
  <c r="AZ23" i="3" s="1"/>
  <c r="BS24" i="3"/>
  <c r="BS25" i="3"/>
  <c r="BS26" i="3"/>
  <c r="BS27" i="3"/>
  <c r="BS28" i="3"/>
  <c r="BS29" i="3"/>
  <c r="BS30" i="3"/>
  <c r="BS31" i="3"/>
  <c r="BL31" i="3" s="1"/>
  <c r="BS32" i="3"/>
  <c r="BS33" i="3"/>
  <c r="BS34" i="3"/>
  <c r="BS35" i="3"/>
  <c r="BS36" i="3"/>
  <c r="BS37" i="3"/>
  <c r="BS38" i="3"/>
  <c r="BS39" i="3"/>
  <c r="BL39" i="3" s="1"/>
  <c r="AZ39" i="3" s="1"/>
  <c r="BS40" i="3"/>
  <c r="BS41" i="3"/>
  <c r="BS42" i="3"/>
  <c r="BS43" i="3"/>
  <c r="BS44" i="3"/>
  <c r="BS45" i="3"/>
  <c r="BS46" i="3"/>
  <c r="BS47" i="3"/>
  <c r="BL47" i="3" s="1"/>
  <c r="BS48" i="3"/>
  <c r="BS49" i="3"/>
  <c r="BS50" i="3"/>
  <c r="BS51" i="3"/>
  <c r="BS52" i="3"/>
  <c r="BS53" i="3"/>
  <c r="BS54" i="3"/>
  <c r="BS55" i="3"/>
  <c r="BL55" i="3" s="1"/>
  <c r="AZ55" i="3" s="1"/>
  <c r="BS56" i="3"/>
  <c r="BS57" i="3"/>
  <c r="BS58" i="3"/>
  <c r="BS59" i="3"/>
  <c r="BS60" i="3"/>
  <c r="BS61" i="3"/>
  <c r="BS62" i="3"/>
  <c r="BS63" i="3"/>
  <c r="BL63" i="3" s="1"/>
  <c r="BS64" i="3"/>
  <c r="BS65" i="3"/>
  <c r="BS66" i="3"/>
  <c r="BS67" i="3"/>
  <c r="BS68" i="3"/>
  <c r="BS69" i="3"/>
  <c r="BS70" i="3"/>
  <c r="BS71" i="3"/>
  <c r="BL71" i="3" s="1"/>
  <c r="AZ71" i="3" s="1"/>
  <c r="BS72" i="3"/>
  <c r="BS73" i="3"/>
  <c r="BS74" i="3"/>
  <c r="BS75" i="3"/>
  <c r="BS76" i="3"/>
  <c r="BS77" i="3"/>
  <c r="BS78" i="3"/>
  <c r="BS79" i="3"/>
  <c r="BL79" i="3" s="1"/>
  <c r="BS80" i="3"/>
  <c r="BS81" i="3"/>
  <c r="BS82" i="3"/>
  <c r="BS83" i="3"/>
  <c r="BS84" i="3"/>
  <c r="BS85" i="3"/>
  <c r="BS86" i="3"/>
  <c r="BS87" i="3"/>
  <c r="BL87" i="3" s="1"/>
  <c r="AZ87" i="3" s="1"/>
  <c r="BS88" i="3"/>
  <c r="BS89" i="3"/>
  <c r="BS90" i="3"/>
  <c r="BS91" i="3"/>
  <c r="BS92" i="3"/>
  <c r="BS93" i="3"/>
  <c r="BS94" i="3"/>
  <c r="BS95" i="3"/>
  <c r="BL95" i="3" s="1"/>
  <c r="BS96" i="3"/>
  <c r="BS97" i="3"/>
  <c r="BS98" i="3"/>
  <c r="BS99" i="3"/>
  <c r="BS100" i="3"/>
  <c r="BS101" i="3"/>
  <c r="BS102" i="3"/>
  <c r="BS103" i="3"/>
  <c r="BL103" i="3" s="1"/>
  <c r="AZ103" i="3" s="1"/>
  <c r="BS104" i="3"/>
  <c r="BS105" i="3"/>
  <c r="BS106" i="3"/>
  <c r="BS107" i="3"/>
  <c r="BS108" i="3"/>
  <c r="BS109" i="3"/>
  <c r="BS110" i="3"/>
  <c r="BS111" i="3"/>
  <c r="BL111" i="3" s="1"/>
  <c r="BS112" i="3"/>
  <c r="BS113" i="3"/>
  <c r="BS114" i="3"/>
  <c r="BS115" i="3"/>
  <c r="BS116" i="3"/>
  <c r="BS117" i="3"/>
  <c r="BS118" i="3"/>
  <c r="BS119" i="3"/>
  <c r="BL119" i="3" s="1"/>
  <c r="AZ119" i="3" s="1"/>
  <c r="BS120" i="3"/>
  <c r="BS121" i="3"/>
  <c r="BS122" i="3"/>
  <c r="BS123" i="3"/>
  <c r="BS124" i="3"/>
  <c r="BS125" i="3"/>
  <c r="BS126" i="3"/>
  <c r="BS127" i="3"/>
  <c r="BL127" i="3" s="1"/>
  <c r="BS128" i="3"/>
  <c r="BS129" i="3"/>
  <c r="BS130" i="3"/>
  <c r="BS131" i="3"/>
  <c r="BS132" i="3"/>
  <c r="BS133" i="3"/>
  <c r="BS134" i="3"/>
  <c r="BS135" i="3"/>
  <c r="BL135" i="3" s="1"/>
  <c r="AZ135" i="3" s="1"/>
  <c r="BS136" i="3"/>
  <c r="BS137" i="3"/>
  <c r="BS138" i="3"/>
  <c r="BS139" i="3"/>
  <c r="BS140" i="3"/>
  <c r="BS141" i="3"/>
  <c r="BS142" i="3"/>
  <c r="BS143" i="3"/>
  <c r="BL143" i="3" s="1"/>
  <c r="BS144" i="3"/>
  <c r="BS145" i="3"/>
  <c r="BS146" i="3"/>
  <c r="BS147" i="3"/>
  <c r="BS148" i="3"/>
  <c r="BS149" i="3"/>
  <c r="BS150" i="3"/>
  <c r="BS151" i="3"/>
  <c r="BL151" i="3" s="1"/>
  <c r="AZ151" i="3" s="1"/>
  <c r="BS152" i="3"/>
  <c r="BS153" i="3"/>
  <c r="BS154" i="3"/>
  <c r="BS155" i="3"/>
  <c r="BS156" i="3"/>
  <c r="BS157" i="3"/>
  <c r="BS158" i="3"/>
  <c r="BS159" i="3"/>
  <c r="BL159" i="3" s="1"/>
  <c r="BS160" i="3"/>
  <c r="BS161" i="3"/>
  <c r="BS162" i="3"/>
  <c r="BS163" i="3"/>
  <c r="BS164" i="3"/>
  <c r="BS165" i="3"/>
  <c r="BS166" i="3"/>
  <c r="BS167" i="3"/>
  <c r="BL167" i="3" s="1"/>
  <c r="BS168" i="3"/>
  <c r="BS169" i="3"/>
  <c r="BS170" i="3"/>
  <c r="BS171" i="3"/>
  <c r="BS172" i="3"/>
  <c r="BS173" i="3"/>
  <c r="BS174" i="3"/>
  <c r="BS175" i="3"/>
  <c r="BL175" i="3" s="1"/>
  <c r="BS176" i="3"/>
  <c r="BS177" i="3"/>
  <c r="BS178" i="3"/>
  <c r="BS179" i="3"/>
  <c r="BS180" i="3"/>
  <c r="BS181" i="3"/>
  <c r="BS182" i="3"/>
  <c r="BS183" i="3"/>
  <c r="BL183" i="3" s="1"/>
  <c r="BS184" i="3"/>
  <c r="BS185" i="3"/>
  <c r="BS186" i="3"/>
  <c r="BS187" i="3"/>
  <c r="BS188" i="3"/>
  <c r="BS189" i="3"/>
  <c r="BS190" i="3"/>
  <c r="BS191" i="3"/>
  <c r="BL191" i="3" s="1"/>
  <c r="BS192" i="3"/>
  <c r="BS193" i="3"/>
  <c r="BS194" i="3"/>
  <c r="BS195" i="3"/>
  <c r="BS196" i="3"/>
  <c r="BS197" i="3"/>
  <c r="BS198" i="3"/>
  <c r="BS199" i="3"/>
  <c r="BL199" i="3" s="1"/>
  <c r="BS200" i="3"/>
  <c r="BS201" i="3"/>
  <c r="BS202" i="3"/>
  <c r="BS203" i="3"/>
  <c r="BS204" i="3"/>
  <c r="BS205" i="3"/>
  <c r="BS206" i="3"/>
  <c r="BS207" i="3"/>
  <c r="BL207" i="3" s="1"/>
  <c r="BS208" i="3"/>
  <c r="BS209" i="3"/>
  <c r="BS210" i="3"/>
  <c r="BS211" i="3"/>
  <c r="BS212" i="3"/>
  <c r="BS213" i="3"/>
  <c r="BS214" i="3"/>
  <c r="BS215" i="3"/>
  <c r="BL215" i="3" s="1"/>
  <c r="BS216" i="3"/>
  <c r="BS217" i="3"/>
  <c r="BS218" i="3"/>
  <c r="BS219" i="3"/>
  <c r="BL219" i="3" s="1"/>
  <c r="BS220" i="3"/>
  <c r="BS221" i="3"/>
  <c r="BS222" i="3"/>
  <c r="BS223" i="3"/>
  <c r="BL223" i="3" s="1"/>
  <c r="BS224" i="3"/>
  <c r="BS225" i="3"/>
  <c r="BS226" i="3"/>
  <c r="BS227" i="3"/>
  <c r="BL227" i="3" s="1"/>
  <c r="BS228" i="3"/>
  <c r="BS229" i="3"/>
  <c r="BS230" i="3"/>
  <c r="BS231" i="3"/>
  <c r="BL231" i="3" s="1"/>
  <c r="BS232" i="3"/>
  <c r="BS233" i="3"/>
  <c r="BS234" i="3"/>
  <c r="BS235" i="3"/>
  <c r="BL235" i="3" s="1"/>
  <c r="BS236" i="3"/>
  <c r="BS237" i="3"/>
  <c r="BS238" i="3"/>
  <c r="BS239" i="3"/>
  <c r="BL239" i="3" s="1"/>
  <c r="BS240" i="3"/>
  <c r="BS241" i="3"/>
  <c r="BS242" i="3"/>
  <c r="BS243" i="3"/>
  <c r="BL243" i="3" s="1"/>
  <c r="BS244" i="3"/>
  <c r="BS245" i="3"/>
  <c r="BS246" i="3"/>
  <c r="BS247" i="3"/>
  <c r="BL247" i="3" s="1"/>
  <c r="BS248" i="3"/>
  <c r="BS249" i="3"/>
  <c r="BS250" i="3"/>
  <c r="BS251" i="3"/>
  <c r="BL251" i="3" s="1"/>
  <c r="BS252" i="3"/>
  <c r="BS253" i="3"/>
  <c r="BS254" i="3"/>
  <c r="BS255" i="3"/>
  <c r="BL255" i="3" s="1"/>
  <c r="BS256" i="3"/>
  <c r="BS257" i="3"/>
  <c r="BS258" i="3"/>
  <c r="BS259" i="3"/>
  <c r="BL259" i="3" s="1"/>
  <c r="BS260" i="3"/>
  <c r="BS261" i="3"/>
  <c r="BS262" i="3"/>
  <c r="BS263" i="3"/>
  <c r="BL263" i="3" s="1"/>
  <c r="BS264" i="3"/>
  <c r="BS265" i="3"/>
  <c r="BS266" i="3"/>
  <c r="BS267" i="3"/>
  <c r="BL267" i="3" s="1"/>
  <c r="BS268" i="3"/>
  <c r="BS269" i="3"/>
  <c r="BS270" i="3"/>
  <c r="BS271" i="3"/>
  <c r="BL271" i="3" s="1"/>
  <c r="BS272" i="3"/>
  <c r="BS273" i="3"/>
  <c r="BS274" i="3"/>
  <c r="BS275" i="3"/>
  <c r="BL275" i="3" s="1"/>
  <c r="BS276" i="3"/>
  <c r="BS277" i="3"/>
  <c r="BS278" i="3"/>
  <c r="BS279" i="3"/>
  <c r="BL279" i="3" s="1"/>
  <c r="BS280" i="3"/>
  <c r="BS281" i="3"/>
  <c r="BS282" i="3"/>
  <c r="BS283" i="3"/>
  <c r="BL283" i="3" s="1"/>
  <c r="BS284" i="3"/>
  <c r="BS285" i="3"/>
  <c r="BS286" i="3"/>
  <c r="BS287" i="3"/>
  <c r="BL287" i="3" s="1"/>
  <c r="BS288" i="3"/>
  <c r="BS289" i="3"/>
  <c r="BS290" i="3"/>
  <c r="BS291" i="3"/>
  <c r="BL291" i="3" s="1"/>
  <c r="BS292" i="3"/>
  <c r="BS293" i="3"/>
  <c r="BS294" i="3"/>
  <c r="BS295" i="3"/>
  <c r="BL295" i="3" s="1"/>
  <c r="BS296" i="3"/>
  <c r="BS297" i="3"/>
  <c r="BS298" i="3"/>
  <c r="BS299" i="3"/>
  <c r="BL299" i="3" s="1"/>
  <c r="BS300" i="3"/>
  <c r="BS301" i="3"/>
  <c r="BS302" i="3"/>
  <c r="BS303" i="3"/>
  <c r="BL303" i="3" s="1"/>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P13" i="3"/>
  <c r="BL13" i="3" s="1"/>
  <c r="BP14" i="3"/>
  <c r="BP15" i="3"/>
  <c r="BP16" i="3"/>
  <c r="BP17" i="3"/>
  <c r="BL17" i="3" s="1"/>
  <c r="BP18" i="3"/>
  <c r="BP19" i="3"/>
  <c r="BP20" i="3"/>
  <c r="BP21" i="3"/>
  <c r="BL21" i="3" s="1"/>
  <c r="BP22" i="3"/>
  <c r="BP23" i="3"/>
  <c r="BP24" i="3"/>
  <c r="BP25" i="3"/>
  <c r="BL25" i="3" s="1"/>
  <c r="BP26" i="3"/>
  <c r="BP27" i="3"/>
  <c r="BP28" i="3"/>
  <c r="BP29" i="3"/>
  <c r="BL29" i="3" s="1"/>
  <c r="BP30" i="3"/>
  <c r="BP31" i="3"/>
  <c r="BP32" i="3"/>
  <c r="BP33" i="3"/>
  <c r="BL33" i="3" s="1"/>
  <c r="BP34" i="3"/>
  <c r="BP35" i="3"/>
  <c r="BP36" i="3"/>
  <c r="BP37" i="3"/>
  <c r="BL37" i="3" s="1"/>
  <c r="BP38" i="3"/>
  <c r="BP39" i="3"/>
  <c r="BP40" i="3"/>
  <c r="BP41" i="3"/>
  <c r="BL41" i="3" s="1"/>
  <c r="BP42" i="3"/>
  <c r="BP43" i="3"/>
  <c r="BP44" i="3"/>
  <c r="BP45" i="3"/>
  <c r="BL45" i="3" s="1"/>
  <c r="BP46" i="3"/>
  <c r="BP47" i="3"/>
  <c r="BP48" i="3"/>
  <c r="BP49" i="3"/>
  <c r="BL49" i="3" s="1"/>
  <c r="BP50" i="3"/>
  <c r="BP51" i="3"/>
  <c r="BP52" i="3"/>
  <c r="BP53" i="3"/>
  <c r="BL53" i="3" s="1"/>
  <c r="BP54" i="3"/>
  <c r="BP55" i="3"/>
  <c r="BP56" i="3"/>
  <c r="BP57" i="3"/>
  <c r="BL57" i="3" s="1"/>
  <c r="BP58" i="3"/>
  <c r="BP59" i="3"/>
  <c r="BP60" i="3"/>
  <c r="BP61" i="3"/>
  <c r="BL61" i="3" s="1"/>
  <c r="BP62" i="3"/>
  <c r="BP63" i="3"/>
  <c r="BP64" i="3"/>
  <c r="BP65" i="3"/>
  <c r="BL65" i="3" s="1"/>
  <c r="BP66" i="3"/>
  <c r="BP67" i="3"/>
  <c r="BP68" i="3"/>
  <c r="BP69" i="3"/>
  <c r="BL69" i="3" s="1"/>
  <c r="BP70" i="3"/>
  <c r="BP71" i="3"/>
  <c r="BP72" i="3"/>
  <c r="BP73" i="3"/>
  <c r="BL73" i="3" s="1"/>
  <c r="BP74" i="3"/>
  <c r="BP75" i="3"/>
  <c r="BP76" i="3"/>
  <c r="BP77" i="3"/>
  <c r="BL77" i="3" s="1"/>
  <c r="BP78" i="3"/>
  <c r="BP79" i="3"/>
  <c r="BP80" i="3"/>
  <c r="BP81" i="3"/>
  <c r="BL81" i="3" s="1"/>
  <c r="BP82" i="3"/>
  <c r="BP83" i="3"/>
  <c r="BP84" i="3"/>
  <c r="BP85" i="3"/>
  <c r="BL85" i="3" s="1"/>
  <c r="BP86" i="3"/>
  <c r="BP87" i="3"/>
  <c r="BP88" i="3"/>
  <c r="BP89" i="3"/>
  <c r="BL89" i="3" s="1"/>
  <c r="BP90" i="3"/>
  <c r="BP91" i="3"/>
  <c r="BP92" i="3"/>
  <c r="BP93" i="3"/>
  <c r="BL93" i="3" s="1"/>
  <c r="BP94" i="3"/>
  <c r="BP95" i="3"/>
  <c r="BP96" i="3"/>
  <c r="BP97" i="3"/>
  <c r="BL97" i="3" s="1"/>
  <c r="BP98" i="3"/>
  <c r="BP99" i="3"/>
  <c r="BP100" i="3"/>
  <c r="BP101" i="3"/>
  <c r="BL101" i="3" s="1"/>
  <c r="BP102" i="3"/>
  <c r="BP103" i="3"/>
  <c r="BP104" i="3"/>
  <c r="BP105" i="3"/>
  <c r="BL105" i="3" s="1"/>
  <c r="BP106" i="3"/>
  <c r="BP107" i="3"/>
  <c r="BP108" i="3"/>
  <c r="BP109" i="3"/>
  <c r="BL109" i="3" s="1"/>
  <c r="BP110" i="3"/>
  <c r="BP111" i="3"/>
  <c r="BP112" i="3"/>
  <c r="BP113" i="3"/>
  <c r="BL113" i="3" s="1"/>
  <c r="BP114" i="3"/>
  <c r="BP115" i="3"/>
  <c r="BP116" i="3"/>
  <c r="BP117" i="3"/>
  <c r="BL117" i="3" s="1"/>
  <c r="BP118" i="3"/>
  <c r="BP119" i="3"/>
  <c r="BP120" i="3"/>
  <c r="BP121" i="3"/>
  <c r="BL121" i="3" s="1"/>
  <c r="BP122" i="3"/>
  <c r="BP123" i="3"/>
  <c r="BP124" i="3"/>
  <c r="BP125" i="3"/>
  <c r="BL125" i="3" s="1"/>
  <c r="BP126" i="3"/>
  <c r="BP127" i="3"/>
  <c r="BP128" i="3"/>
  <c r="BP129" i="3"/>
  <c r="BL129" i="3" s="1"/>
  <c r="BP130" i="3"/>
  <c r="BP131" i="3"/>
  <c r="BP132" i="3"/>
  <c r="BP133" i="3"/>
  <c r="BL133" i="3" s="1"/>
  <c r="BP134" i="3"/>
  <c r="BP135" i="3"/>
  <c r="BP136" i="3"/>
  <c r="BP137" i="3"/>
  <c r="BL137" i="3" s="1"/>
  <c r="BP138" i="3"/>
  <c r="BP139" i="3"/>
  <c r="BP140" i="3"/>
  <c r="BP141" i="3"/>
  <c r="BL141" i="3" s="1"/>
  <c r="BP142" i="3"/>
  <c r="BP143" i="3"/>
  <c r="BP144" i="3"/>
  <c r="BP145" i="3"/>
  <c r="BL145" i="3" s="1"/>
  <c r="BP146" i="3"/>
  <c r="BP147" i="3"/>
  <c r="BP148" i="3"/>
  <c r="BP149" i="3"/>
  <c r="BL149" i="3" s="1"/>
  <c r="BP150" i="3"/>
  <c r="BP151" i="3"/>
  <c r="BP152" i="3"/>
  <c r="BP153" i="3"/>
  <c r="BL153" i="3" s="1"/>
  <c r="BP154" i="3"/>
  <c r="BP155" i="3"/>
  <c r="BP156" i="3"/>
  <c r="BP157" i="3"/>
  <c r="BL157" i="3" s="1"/>
  <c r="AZ157" i="3" s="1"/>
  <c r="BP158" i="3"/>
  <c r="BP159" i="3"/>
  <c r="BP160" i="3"/>
  <c r="BP161" i="3"/>
  <c r="BL161" i="3" s="1"/>
  <c r="BP162" i="3"/>
  <c r="BP163" i="3"/>
  <c r="BP164" i="3"/>
  <c r="BP165" i="3"/>
  <c r="BL165" i="3" s="1"/>
  <c r="AZ165" i="3" s="1"/>
  <c r="BP166" i="3"/>
  <c r="BP167" i="3"/>
  <c r="BP168" i="3"/>
  <c r="BP169" i="3"/>
  <c r="BL169" i="3" s="1"/>
  <c r="BP170" i="3"/>
  <c r="BP171" i="3"/>
  <c r="BP172" i="3"/>
  <c r="BP173" i="3"/>
  <c r="BL173" i="3" s="1"/>
  <c r="AZ173" i="3" s="1"/>
  <c r="BP174" i="3"/>
  <c r="BP175" i="3"/>
  <c r="BP176" i="3"/>
  <c r="BP177" i="3"/>
  <c r="BL177" i="3" s="1"/>
  <c r="BP178" i="3"/>
  <c r="BP179" i="3"/>
  <c r="BP180" i="3"/>
  <c r="BP181" i="3"/>
  <c r="BL181" i="3" s="1"/>
  <c r="AZ181" i="3" s="1"/>
  <c r="BP182" i="3"/>
  <c r="BP183" i="3"/>
  <c r="BP184" i="3"/>
  <c r="BP185" i="3"/>
  <c r="BL185" i="3" s="1"/>
  <c r="BP186" i="3"/>
  <c r="BP187" i="3"/>
  <c r="BP188" i="3"/>
  <c r="BP189" i="3"/>
  <c r="BL189" i="3" s="1"/>
  <c r="AZ189" i="3" s="1"/>
  <c r="BP190" i="3"/>
  <c r="BP191" i="3"/>
  <c r="BP192" i="3"/>
  <c r="BP193" i="3"/>
  <c r="BL193" i="3" s="1"/>
  <c r="BP194" i="3"/>
  <c r="BP195" i="3"/>
  <c r="BP196" i="3"/>
  <c r="BP197" i="3"/>
  <c r="BL197" i="3" s="1"/>
  <c r="AZ197" i="3" s="1"/>
  <c r="BP198" i="3"/>
  <c r="BP199" i="3"/>
  <c r="BP200" i="3"/>
  <c r="BP201" i="3"/>
  <c r="BL201" i="3" s="1"/>
  <c r="BP202" i="3"/>
  <c r="BP203" i="3"/>
  <c r="BP204" i="3"/>
  <c r="BP205" i="3"/>
  <c r="BL205" i="3" s="1"/>
  <c r="AZ205" i="3" s="1"/>
  <c r="BP206" i="3"/>
  <c r="BP207" i="3"/>
  <c r="BP208" i="3"/>
  <c r="BP209" i="3"/>
  <c r="BL209" i="3" s="1"/>
  <c r="BP210" i="3"/>
  <c r="BP211" i="3"/>
  <c r="BP212" i="3"/>
  <c r="BP213" i="3"/>
  <c r="BL213" i="3" s="1"/>
  <c r="AZ213" i="3" s="1"/>
  <c r="BP214" i="3"/>
  <c r="BP215" i="3"/>
  <c r="BP216" i="3"/>
  <c r="BP217" i="3"/>
  <c r="BL217" i="3" s="1"/>
  <c r="BP218" i="3"/>
  <c r="BP219" i="3"/>
  <c r="BP220" i="3"/>
  <c r="BP221" i="3"/>
  <c r="BL221" i="3" s="1"/>
  <c r="BP222" i="3"/>
  <c r="BP223" i="3"/>
  <c r="BP224" i="3"/>
  <c r="BP225" i="3"/>
  <c r="BL225" i="3" s="1"/>
  <c r="BP226" i="3"/>
  <c r="BP227" i="3"/>
  <c r="BP228" i="3"/>
  <c r="BP229" i="3"/>
  <c r="BL229" i="3" s="1"/>
  <c r="BP230" i="3"/>
  <c r="BP231" i="3"/>
  <c r="BP232" i="3"/>
  <c r="BP233" i="3"/>
  <c r="BL233" i="3" s="1"/>
  <c r="BP234" i="3"/>
  <c r="BP235" i="3"/>
  <c r="BP236" i="3"/>
  <c r="BP237" i="3"/>
  <c r="BL237" i="3" s="1"/>
  <c r="AZ237" i="3" s="1"/>
  <c r="BP238" i="3"/>
  <c r="BP239" i="3"/>
  <c r="BP240" i="3"/>
  <c r="BP241" i="3"/>
  <c r="BL241" i="3" s="1"/>
  <c r="BP242" i="3"/>
  <c r="BP243" i="3"/>
  <c r="BP244" i="3"/>
  <c r="BP245" i="3"/>
  <c r="BL245" i="3" s="1"/>
  <c r="BP246" i="3"/>
  <c r="BP247" i="3"/>
  <c r="BP248" i="3"/>
  <c r="BP249" i="3"/>
  <c r="BL249" i="3" s="1"/>
  <c r="AZ249" i="3" s="1"/>
  <c r="BP250" i="3"/>
  <c r="BP251" i="3"/>
  <c r="BP252" i="3"/>
  <c r="BP253" i="3"/>
  <c r="BL253" i="3" s="1"/>
  <c r="BP254" i="3"/>
  <c r="BP255" i="3"/>
  <c r="BP256" i="3"/>
  <c r="BP257" i="3"/>
  <c r="BL257" i="3" s="1"/>
  <c r="BP258" i="3"/>
  <c r="BP259" i="3"/>
  <c r="BP260" i="3"/>
  <c r="BP261" i="3"/>
  <c r="BL261" i="3" s="1"/>
  <c r="BP262" i="3"/>
  <c r="BP263" i="3"/>
  <c r="BP264" i="3"/>
  <c r="BP265" i="3"/>
  <c r="BL265" i="3" s="1"/>
  <c r="BP266" i="3"/>
  <c r="BP267" i="3"/>
  <c r="BP268" i="3"/>
  <c r="BP269" i="3"/>
  <c r="BL269" i="3" s="1"/>
  <c r="BP270" i="3"/>
  <c r="BP271" i="3"/>
  <c r="BP272" i="3"/>
  <c r="BP273" i="3"/>
  <c r="BL273" i="3" s="1"/>
  <c r="BP274" i="3"/>
  <c r="BP275" i="3"/>
  <c r="BP276" i="3"/>
  <c r="BP277" i="3"/>
  <c r="BL277" i="3" s="1"/>
  <c r="AZ277" i="3" s="1"/>
  <c r="BP278" i="3"/>
  <c r="BP279" i="3"/>
  <c r="BP280" i="3"/>
  <c r="BP281" i="3"/>
  <c r="BL281" i="3" s="1"/>
  <c r="AZ281" i="3" s="1"/>
  <c r="BP282" i="3"/>
  <c r="BP283" i="3"/>
  <c r="BP284" i="3"/>
  <c r="BP285" i="3"/>
  <c r="BL285" i="3" s="1"/>
  <c r="AZ285" i="3" s="1"/>
  <c r="BP286" i="3"/>
  <c r="BP287" i="3"/>
  <c r="BP288" i="3"/>
  <c r="BP289" i="3"/>
  <c r="BL289" i="3" s="1"/>
  <c r="BP290" i="3"/>
  <c r="BP291" i="3"/>
  <c r="BP292" i="3"/>
  <c r="BP293" i="3"/>
  <c r="BL293" i="3" s="1"/>
  <c r="AZ293" i="3" s="1"/>
  <c r="BP294" i="3"/>
  <c r="BP295" i="3"/>
  <c r="BP296" i="3"/>
  <c r="BP297" i="3"/>
  <c r="BL297" i="3" s="1"/>
  <c r="AZ297" i="3" s="1"/>
  <c r="BP298" i="3"/>
  <c r="BP299" i="3"/>
  <c r="BP300" i="3"/>
  <c r="BP301" i="3"/>
  <c r="BL301" i="3" s="1"/>
  <c r="AZ301" i="3" s="1"/>
  <c r="BP302" i="3"/>
  <c r="BP303" i="3"/>
  <c r="BP304" i="3"/>
  <c r="BP305" i="3"/>
  <c r="BL305" i="3" s="1"/>
  <c r="BP306" i="3"/>
  <c r="BP307" i="3"/>
  <c r="BP308" i="3"/>
  <c r="BP309" i="3"/>
  <c r="BP310" i="3"/>
  <c r="BP311" i="3"/>
  <c r="BP312" i="3"/>
  <c r="BP313" i="3"/>
  <c r="BL313" i="3" s="1"/>
  <c r="AZ313" i="3" s="1"/>
  <c r="BP314" i="3"/>
  <c r="BP315" i="3"/>
  <c r="BP316" i="3"/>
  <c r="BP317" i="3"/>
  <c r="BP318" i="3"/>
  <c r="BP319" i="3"/>
  <c r="BP320" i="3"/>
  <c r="BP321" i="3"/>
  <c r="BL321" i="3" s="1"/>
  <c r="BP322" i="3"/>
  <c r="BP323" i="3"/>
  <c r="BP324" i="3"/>
  <c r="BP325" i="3"/>
  <c r="BL325" i="3" s="1"/>
  <c r="AZ325" i="3" s="1"/>
  <c r="BP326" i="3"/>
  <c r="BP327" i="3"/>
  <c r="BP328" i="3"/>
  <c r="BP329" i="3"/>
  <c r="BP330" i="3"/>
  <c r="BP331" i="3"/>
  <c r="BP332" i="3"/>
  <c r="BP333" i="3"/>
  <c r="BL333" i="3" s="1"/>
  <c r="BP334" i="3"/>
  <c r="BP335" i="3"/>
  <c r="BP336" i="3"/>
  <c r="BP337" i="3"/>
  <c r="BP338" i="3"/>
  <c r="BP339" i="3"/>
  <c r="BP340" i="3"/>
  <c r="BP341" i="3"/>
  <c r="BL341" i="3" s="1"/>
  <c r="BP342" i="3"/>
  <c r="BP343" i="3"/>
  <c r="BP344" i="3"/>
  <c r="BP345" i="3"/>
  <c r="BL345" i="3" s="1"/>
  <c r="BP346" i="3"/>
  <c r="BP347" i="3"/>
  <c r="BP348" i="3"/>
  <c r="BP349" i="3"/>
  <c r="BP350" i="3"/>
  <c r="BP351" i="3"/>
  <c r="BP352" i="3"/>
  <c r="BP353" i="3"/>
  <c r="BP354" i="3"/>
  <c r="BP355" i="3"/>
  <c r="BP356" i="3"/>
  <c r="BP357" i="3"/>
  <c r="BL357" i="3" s="1"/>
  <c r="BP358" i="3"/>
  <c r="BP359" i="3"/>
  <c r="BP360" i="3"/>
  <c r="BP361" i="3"/>
  <c r="BP362" i="3"/>
  <c r="BP363" i="3"/>
  <c r="BP364" i="3"/>
  <c r="BP365" i="3"/>
  <c r="BP366" i="3"/>
  <c r="BP367" i="3"/>
  <c r="BP368" i="3"/>
  <c r="BP369" i="3"/>
  <c r="BL369" i="3" s="1"/>
  <c r="AZ369" i="3" s="1"/>
  <c r="BP370" i="3"/>
  <c r="BP371" i="3"/>
  <c r="BP372" i="3"/>
  <c r="BP373" i="3"/>
  <c r="BP374" i="3"/>
  <c r="BP375" i="3"/>
  <c r="BP376" i="3"/>
  <c r="BP377" i="3"/>
  <c r="BP378" i="3"/>
  <c r="BP379" i="3"/>
  <c r="BP380" i="3"/>
  <c r="BP381" i="3"/>
  <c r="BL381" i="3" s="1"/>
  <c r="AZ381" i="3" s="1"/>
  <c r="BP382" i="3"/>
  <c r="BP383" i="3"/>
  <c r="BP384" i="3"/>
  <c r="BP385" i="3"/>
  <c r="BP386" i="3"/>
  <c r="BP387" i="3"/>
  <c r="BP388" i="3"/>
  <c r="BP389" i="3"/>
  <c r="BL389" i="3" s="1"/>
  <c r="AZ389" i="3" s="1"/>
  <c r="BP390" i="3"/>
  <c r="BP391" i="3"/>
  <c r="BP392" i="3"/>
  <c r="BP393" i="3"/>
  <c r="BP394" i="3"/>
  <c r="BP395" i="3"/>
  <c r="BP396" i="3"/>
  <c r="BP397" i="3"/>
  <c r="BL397" i="3" s="1"/>
  <c r="AZ397" i="3" s="1"/>
  <c r="BP398" i="3"/>
  <c r="BP399" i="3"/>
  <c r="BP400" i="3"/>
  <c r="BP401" i="3"/>
  <c r="BP402" i="3"/>
  <c r="BP403" i="3"/>
  <c r="BP404" i="3"/>
  <c r="BP405" i="3"/>
  <c r="BL405" i="3" s="1"/>
  <c r="AZ405" i="3" s="1"/>
  <c r="BP406" i="3"/>
  <c r="BP407" i="3"/>
  <c r="BP408" i="3"/>
  <c r="BP409" i="3"/>
  <c r="BP410" i="3"/>
  <c r="BP411" i="3"/>
  <c r="BP412" i="3"/>
  <c r="BP413" i="3"/>
  <c r="BL413" i="3" s="1"/>
  <c r="AZ413" i="3" s="1"/>
  <c r="BP414" i="3"/>
  <c r="BP415" i="3"/>
  <c r="BP416" i="3"/>
  <c r="BP417" i="3"/>
  <c r="BP418" i="3"/>
  <c r="BP419" i="3"/>
  <c r="BP420" i="3"/>
  <c r="BP421" i="3"/>
  <c r="BL421" i="3" s="1"/>
  <c r="AZ421" i="3" s="1"/>
  <c r="BP422" i="3"/>
  <c r="BP423" i="3"/>
  <c r="BP424" i="3"/>
  <c r="BP425" i="3"/>
  <c r="BP426" i="3"/>
  <c r="BP427" i="3"/>
  <c r="BP428" i="3"/>
  <c r="BP429" i="3"/>
  <c r="BL429" i="3" s="1"/>
  <c r="AZ429" i="3" s="1"/>
  <c r="BP430" i="3"/>
  <c r="BP431" i="3"/>
  <c r="BP432" i="3"/>
  <c r="BP433" i="3"/>
  <c r="BP434" i="3"/>
  <c r="BP435" i="3"/>
  <c r="BP436" i="3"/>
  <c r="BP437" i="3"/>
  <c r="BL437" i="3" s="1"/>
  <c r="AZ437" i="3" s="1"/>
  <c r="BP438" i="3"/>
  <c r="BP439" i="3"/>
  <c r="BP440" i="3"/>
  <c r="BP441" i="3"/>
  <c r="BP442" i="3"/>
  <c r="BP443" i="3"/>
  <c r="BP444" i="3"/>
  <c r="BP445" i="3"/>
  <c r="BL445" i="3" s="1"/>
  <c r="AZ445" i="3" s="1"/>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E32" i="6"/>
  <c r="K6" i="1"/>
  <c r="D3" i="4"/>
  <c r="C1" i="65"/>
  <c r="N1" i="65"/>
  <c r="B43" i="1"/>
  <c r="B41" i="1" s="1"/>
  <c r="F32" i="15" s="1"/>
  <c r="F33" i="15"/>
  <c r="BL14" i="3"/>
  <c r="AZ14" i="3" s="1"/>
  <c r="BL16" i="3"/>
  <c r="BL18" i="3"/>
  <c r="AZ18" i="3"/>
  <c r="BL19" i="3"/>
  <c r="BL20" i="3"/>
  <c r="BL22" i="3"/>
  <c r="AZ22" i="3" s="1"/>
  <c r="BL24" i="3"/>
  <c r="BL26" i="3"/>
  <c r="AZ26" i="3"/>
  <c r="BL27" i="3"/>
  <c r="AZ27" i="3" s="1"/>
  <c r="BL28" i="3"/>
  <c r="BL30" i="3"/>
  <c r="AZ30" i="3" s="1"/>
  <c r="BL32" i="3"/>
  <c r="BL34" i="3"/>
  <c r="AZ34" i="3"/>
  <c r="BL35" i="3"/>
  <c r="BL36" i="3"/>
  <c r="BL38" i="3"/>
  <c r="AZ38" i="3" s="1"/>
  <c r="BL40" i="3"/>
  <c r="BL42" i="3"/>
  <c r="AZ42" i="3"/>
  <c r="BL43" i="3"/>
  <c r="AZ43" i="3" s="1"/>
  <c r="BL44" i="3"/>
  <c r="BL46" i="3"/>
  <c r="AZ46" i="3" s="1"/>
  <c r="BL48" i="3"/>
  <c r="BL50" i="3"/>
  <c r="AZ50" i="3"/>
  <c r="BL51" i="3"/>
  <c r="BL52" i="3"/>
  <c r="BL54" i="3"/>
  <c r="AZ54" i="3" s="1"/>
  <c r="BL56" i="3"/>
  <c r="BL58" i="3"/>
  <c r="AZ58" i="3"/>
  <c r="BL59" i="3"/>
  <c r="AZ59" i="3" s="1"/>
  <c r="BL60" i="3"/>
  <c r="BL62" i="3"/>
  <c r="AZ62" i="3" s="1"/>
  <c r="BL64" i="3"/>
  <c r="BL66" i="3"/>
  <c r="AZ66" i="3"/>
  <c r="BL67" i="3"/>
  <c r="BL68" i="3"/>
  <c r="BL70" i="3"/>
  <c r="AZ70" i="3" s="1"/>
  <c r="BL72" i="3"/>
  <c r="BL74" i="3"/>
  <c r="AZ74" i="3"/>
  <c r="BL75" i="3"/>
  <c r="AZ75" i="3" s="1"/>
  <c r="BL76" i="3"/>
  <c r="BL78" i="3"/>
  <c r="AZ78" i="3" s="1"/>
  <c r="BL80" i="3"/>
  <c r="BL82" i="3"/>
  <c r="AZ82" i="3"/>
  <c r="BL83" i="3"/>
  <c r="BL84" i="3"/>
  <c r="BL86" i="3"/>
  <c r="AZ86" i="3" s="1"/>
  <c r="BL88" i="3"/>
  <c r="BL90" i="3"/>
  <c r="AZ90" i="3"/>
  <c r="BL91" i="3"/>
  <c r="AZ91" i="3" s="1"/>
  <c r="BL92" i="3"/>
  <c r="BL94" i="3"/>
  <c r="AZ94" i="3" s="1"/>
  <c r="BL96" i="3"/>
  <c r="BL98" i="3"/>
  <c r="AZ98" i="3"/>
  <c r="BL99" i="3"/>
  <c r="BL100" i="3"/>
  <c r="BL102" i="3"/>
  <c r="AZ102" i="3" s="1"/>
  <c r="BL104" i="3"/>
  <c r="BL106" i="3"/>
  <c r="AZ106" i="3"/>
  <c r="BL107" i="3"/>
  <c r="AZ107" i="3" s="1"/>
  <c r="BL108" i="3"/>
  <c r="BL110" i="3"/>
  <c r="AZ110" i="3" s="1"/>
  <c r="BL112" i="3"/>
  <c r="BL114" i="3"/>
  <c r="AZ114" i="3"/>
  <c r="BL115" i="3"/>
  <c r="BL116" i="3"/>
  <c r="BL118" i="3"/>
  <c r="AZ118" i="3" s="1"/>
  <c r="BL120" i="3"/>
  <c r="BL122" i="3"/>
  <c r="AZ122" i="3"/>
  <c r="BL123" i="3"/>
  <c r="AZ123" i="3" s="1"/>
  <c r="BL124" i="3"/>
  <c r="BL126" i="3"/>
  <c r="AZ126" i="3" s="1"/>
  <c r="BL128" i="3"/>
  <c r="BL130" i="3"/>
  <c r="AZ130" i="3"/>
  <c r="BL131" i="3"/>
  <c r="BL132" i="3"/>
  <c r="BL134" i="3"/>
  <c r="AZ134" i="3" s="1"/>
  <c r="BL136" i="3"/>
  <c r="BL138" i="3"/>
  <c r="AZ138" i="3"/>
  <c r="BL139" i="3"/>
  <c r="AZ139" i="3" s="1"/>
  <c r="BL140" i="3"/>
  <c r="BL142" i="3"/>
  <c r="AZ142" i="3" s="1"/>
  <c r="BL144" i="3"/>
  <c r="BL146" i="3"/>
  <c r="AZ146" i="3"/>
  <c r="BL147" i="3"/>
  <c r="BL148" i="3"/>
  <c r="BL150" i="3"/>
  <c r="AZ150" i="3" s="1"/>
  <c r="BL152" i="3"/>
  <c r="BL154" i="3"/>
  <c r="AZ154" i="3"/>
  <c r="BL155" i="3"/>
  <c r="BL156" i="3"/>
  <c r="BL158" i="3"/>
  <c r="BL160" i="3"/>
  <c r="BL162" i="3"/>
  <c r="AZ162" i="3"/>
  <c r="BL163" i="3"/>
  <c r="BL164" i="3"/>
  <c r="BL166" i="3"/>
  <c r="BL168" i="3"/>
  <c r="BL170" i="3"/>
  <c r="AZ170" i="3"/>
  <c r="BL171" i="3"/>
  <c r="BL172" i="3"/>
  <c r="BL174" i="3"/>
  <c r="BL176" i="3"/>
  <c r="BL178" i="3"/>
  <c r="AZ178" i="3"/>
  <c r="BL179" i="3"/>
  <c r="BL180" i="3"/>
  <c r="BL182" i="3"/>
  <c r="BL184" i="3"/>
  <c r="BL186" i="3"/>
  <c r="AZ186" i="3"/>
  <c r="BL187" i="3"/>
  <c r="BL188" i="3"/>
  <c r="BL190" i="3"/>
  <c r="BL192" i="3"/>
  <c r="BL194" i="3"/>
  <c r="AZ194" i="3"/>
  <c r="BL195" i="3"/>
  <c r="BL196" i="3"/>
  <c r="BL198" i="3"/>
  <c r="BL200" i="3"/>
  <c r="BL202" i="3"/>
  <c r="AZ202" i="3"/>
  <c r="BL203" i="3"/>
  <c r="BL204" i="3"/>
  <c r="BL206" i="3"/>
  <c r="BL208" i="3"/>
  <c r="BL210" i="3"/>
  <c r="AZ210" i="3"/>
  <c r="BL211" i="3"/>
  <c r="BL212" i="3"/>
  <c r="BL214" i="3"/>
  <c r="BL216" i="3"/>
  <c r="BL218" i="3"/>
  <c r="AZ218" i="3"/>
  <c r="BL220" i="3"/>
  <c r="AZ221" i="3"/>
  <c r="BL222" i="3"/>
  <c r="BL224" i="3"/>
  <c r="BL226" i="3"/>
  <c r="AZ226" i="3"/>
  <c r="BL228" i="3"/>
  <c r="AZ229" i="3"/>
  <c r="BL230" i="3"/>
  <c r="BL232" i="3"/>
  <c r="BL234" i="3"/>
  <c r="AZ234" i="3"/>
  <c r="BL236" i="3"/>
  <c r="BL238" i="3"/>
  <c r="BL240" i="3"/>
  <c r="BL242" i="3"/>
  <c r="AZ243" i="3"/>
  <c r="BL244" i="3"/>
  <c r="BL246" i="3"/>
  <c r="AZ246" i="3"/>
  <c r="AZ247" i="3"/>
  <c r="BL248" i="3"/>
  <c r="BL250" i="3"/>
  <c r="AZ250" i="3"/>
  <c r="BL252" i="3"/>
  <c r="AZ253" i="3"/>
  <c r="BL254" i="3"/>
  <c r="BL256" i="3"/>
  <c r="BL258" i="3"/>
  <c r="AZ259" i="3"/>
  <c r="BL260" i="3"/>
  <c r="BL262" i="3"/>
  <c r="AZ262" i="3"/>
  <c r="BL264" i="3"/>
  <c r="AZ265" i="3"/>
  <c r="BL266" i="3"/>
  <c r="BL268" i="3"/>
  <c r="AZ269" i="3"/>
  <c r="BL270" i="3"/>
  <c r="BL272" i="3"/>
  <c r="AZ273" i="3"/>
  <c r="BL274" i="3"/>
  <c r="BL276" i="3"/>
  <c r="AZ276" i="3"/>
  <c r="BL278" i="3"/>
  <c r="BL280" i="3"/>
  <c r="BL282" i="3"/>
  <c r="BL284" i="3"/>
  <c r="BL286" i="3"/>
  <c r="BL288" i="3"/>
  <c r="BL290" i="3"/>
  <c r="BL292" i="3"/>
  <c r="AZ292" i="3"/>
  <c r="BL294" i="3"/>
  <c r="BL296" i="3"/>
  <c r="BL298" i="3"/>
  <c r="BL300" i="3"/>
  <c r="BL302" i="3"/>
  <c r="BL304" i="3"/>
  <c r="BL306" i="3"/>
  <c r="BL307" i="3"/>
  <c r="BL308" i="3"/>
  <c r="AZ308" i="3"/>
  <c r="BL309" i="3"/>
  <c r="AZ309" i="3" s="1"/>
  <c r="BL310" i="3"/>
  <c r="BL311" i="3"/>
  <c r="BL312" i="3"/>
  <c r="BL314" i="3"/>
  <c r="BL315" i="3"/>
  <c r="BL316" i="3"/>
  <c r="BL317" i="3"/>
  <c r="AZ317" i="3" s="1"/>
  <c r="BL318" i="3"/>
  <c r="BL319" i="3"/>
  <c r="BL320" i="3"/>
  <c r="BL322" i="3"/>
  <c r="BL323" i="3"/>
  <c r="BL324" i="3"/>
  <c r="AZ324" i="3"/>
  <c r="BL326" i="3"/>
  <c r="BL327" i="3"/>
  <c r="BL328" i="3"/>
  <c r="BL329" i="3"/>
  <c r="AZ329" i="3"/>
  <c r="BL330" i="3"/>
  <c r="BL331" i="3"/>
  <c r="BL332" i="3"/>
  <c r="BL334" i="3"/>
  <c r="BL335" i="3"/>
  <c r="AZ335" i="3" s="1"/>
  <c r="BL336" i="3"/>
  <c r="AZ336" i="3"/>
  <c r="BL337" i="3"/>
  <c r="BL338" i="3"/>
  <c r="BL339" i="3"/>
  <c r="AZ339" i="3"/>
  <c r="BL340" i="3"/>
  <c r="BL342" i="3"/>
  <c r="AZ342" i="3"/>
  <c r="BL343" i="3"/>
  <c r="AZ343" i="3"/>
  <c r="BL344" i="3"/>
  <c r="BL346" i="3"/>
  <c r="AZ346" i="3"/>
  <c r="BL347" i="3"/>
  <c r="AZ347" i="3"/>
  <c r="BL348" i="3"/>
  <c r="BL349" i="3"/>
  <c r="BL350" i="3"/>
  <c r="BL351" i="3"/>
  <c r="AZ351" i="3"/>
  <c r="BL352" i="3"/>
  <c r="AZ352" i="3"/>
  <c r="BL353" i="3"/>
  <c r="BL354" i="3"/>
  <c r="BL355" i="3"/>
  <c r="BL356" i="3"/>
  <c r="BL358" i="3"/>
  <c r="AZ358" i="3"/>
  <c r="BL359" i="3"/>
  <c r="AZ359" i="3"/>
  <c r="BL360" i="3"/>
  <c r="BL361" i="3"/>
  <c r="BL362" i="3"/>
  <c r="AZ362" i="3"/>
  <c r="BL363" i="3"/>
  <c r="AZ363" i="3" s="1"/>
  <c r="BL364" i="3"/>
  <c r="BL365" i="3"/>
  <c r="AZ365" i="3"/>
  <c r="BL366" i="3"/>
  <c r="AZ366" i="3"/>
  <c r="BL367" i="3"/>
  <c r="AZ367" i="3"/>
  <c r="BL368" i="3"/>
  <c r="BL370" i="3"/>
  <c r="BL371" i="3"/>
  <c r="BL372" i="3"/>
  <c r="BL373" i="3"/>
  <c r="AZ373" i="3" s="1"/>
  <c r="BL374" i="3"/>
  <c r="AZ374" i="3"/>
  <c r="BL375" i="3"/>
  <c r="AZ375" i="3" s="1"/>
  <c r="BL376" i="3"/>
  <c r="BL377" i="3"/>
  <c r="AZ377" i="3"/>
  <c r="BL378" i="3"/>
  <c r="BL379" i="3"/>
  <c r="BL380" i="3"/>
  <c r="BL382" i="3"/>
  <c r="AZ382" i="3"/>
  <c r="BL383" i="3"/>
  <c r="AZ383" i="3"/>
  <c r="BL384" i="3"/>
  <c r="BL385" i="3"/>
  <c r="AZ385" i="3" s="1"/>
  <c r="BL386" i="3"/>
  <c r="BL387" i="3"/>
  <c r="BL388" i="3"/>
  <c r="BL390" i="3"/>
  <c r="BL391" i="3"/>
  <c r="AZ391" i="3"/>
  <c r="BL392" i="3"/>
  <c r="BL393" i="3"/>
  <c r="AZ393" i="3" s="1"/>
  <c r="BL394" i="3"/>
  <c r="BL395" i="3"/>
  <c r="BL396" i="3"/>
  <c r="BL398" i="3"/>
  <c r="BL399" i="3"/>
  <c r="AZ399" i="3"/>
  <c r="BL400" i="3"/>
  <c r="BL401" i="3"/>
  <c r="AZ401" i="3" s="1"/>
  <c r="BL402" i="3"/>
  <c r="BL403" i="3"/>
  <c r="BL404" i="3"/>
  <c r="BL406" i="3"/>
  <c r="BL407" i="3"/>
  <c r="AZ407" i="3"/>
  <c r="BL408" i="3"/>
  <c r="BL409" i="3"/>
  <c r="AZ409" i="3" s="1"/>
  <c r="BL410" i="3"/>
  <c r="BL411" i="3"/>
  <c r="BL412" i="3"/>
  <c r="BL414" i="3"/>
  <c r="BL415" i="3"/>
  <c r="AZ415" i="3"/>
  <c r="BL416" i="3"/>
  <c r="BL417" i="3"/>
  <c r="AZ417" i="3" s="1"/>
  <c r="BL418" i="3"/>
  <c r="BL419" i="3"/>
  <c r="BL420" i="3"/>
  <c r="BL422" i="3"/>
  <c r="BL423" i="3"/>
  <c r="AZ423" i="3"/>
  <c r="BL424" i="3"/>
  <c r="BL425" i="3"/>
  <c r="AZ425" i="3" s="1"/>
  <c r="BL426" i="3"/>
  <c r="BL427" i="3"/>
  <c r="BL428" i="3"/>
  <c r="BL430" i="3"/>
  <c r="BL431" i="3"/>
  <c r="AZ431" i="3"/>
  <c r="BL432" i="3"/>
  <c r="BL433" i="3"/>
  <c r="AZ433" i="3" s="1"/>
  <c r="BL434" i="3"/>
  <c r="BL435" i="3"/>
  <c r="BL436" i="3"/>
  <c r="BL438" i="3"/>
  <c r="BL439" i="3"/>
  <c r="AZ439" i="3"/>
  <c r="BL440" i="3"/>
  <c r="BL441" i="3"/>
  <c r="AZ441" i="3" s="1"/>
  <c r="BL442" i="3"/>
  <c r="BL443" i="3"/>
  <c r="BL444" i="3"/>
  <c r="BL446" i="3"/>
  <c r="BL447" i="3"/>
  <c r="AZ447" i="3"/>
  <c r="BL448" i="3"/>
  <c r="BL449" i="3"/>
  <c r="AZ449" i="3" s="1"/>
  <c r="BL450" i="3"/>
  <c r="BL451" i="3"/>
  <c r="BL452" i="3"/>
  <c r="BL453" i="3"/>
  <c r="AZ453" i="3" s="1"/>
  <c r="BL454" i="3"/>
  <c r="BL455" i="3"/>
  <c r="AZ455" i="3" s="1"/>
  <c r="BL456" i="3"/>
  <c r="BL457" i="3"/>
  <c r="AZ457" i="3" s="1"/>
  <c r="BL458" i="3"/>
  <c r="BL459" i="3"/>
  <c r="BL460" i="3"/>
  <c r="BL461" i="3"/>
  <c r="AZ461" i="3" s="1"/>
  <c r="BL462" i="3"/>
  <c r="BL463" i="3"/>
  <c r="AZ463" i="3" s="1"/>
  <c r="BL464" i="3"/>
  <c r="BL465" i="3"/>
  <c r="AZ465" i="3" s="1"/>
  <c r="BL466" i="3"/>
  <c r="BL467" i="3"/>
  <c r="BL468" i="3"/>
  <c r="BL469" i="3"/>
  <c r="AZ469" i="3" s="1"/>
  <c r="BL470" i="3"/>
  <c r="BL471" i="3"/>
  <c r="AZ471" i="3" s="1"/>
  <c r="BL472" i="3"/>
  <c r="BL473" i="3"/>
  <c r="BL474" i="3"/>
  <c r="BL475" i="3"/>
  <c r="BL476" i="3"/>
  <c r="BL477" i="3"/>
  <c r="BL478" i="3"/>
  <c r="AZ478" i="3"/>
  <c r="BL479" i="3"/>
  <c r="AZ479" i="3" s="1"/>
  <c r="BL480" i="3"/>
  <c r="BL481" i="3"/>
  <c r="BL482" i="3"/>
  <c r="AZ482" i="3"/>
  <c r="BL483" i="3"/>
  <c r="BL484" i="3"/>
  <c r="BL485" i="3"/>
  <c r="BL486" i="3"/>
  <c r="AZ486" i="3"/>
  <c r="BL487" i="3"/>
  <c r="BL488" i="3"/>
  <c r="BL489" i="3"/>
  <c r="BL490" i="3"/>
  <c r="BL491" i="3"/>
  <c r="BL492" i="3"/>
  <c r="BL493" i="3"/>
  <c r="BL494" i="3"/>
  <c r="AZ494" i="3"/>
  <c r="BL495" i="3"/>
  <c r="AZ495" i="3" s="1"/>
  <c r="BL496" i="3"/>
  <c r="BL497" i="3"/>
  <c r="BL498" i="3"/>
  <c r="AZ498" i="3"/>
  <c r="BL499" i="3"/>
  <c r="BL500" i="3"/>
  <c r="BL501" i="3"/>
  <c r="BL502" i="3"/>
  <c r="AZ502" i="3"/>
  <c r="BL503" i="3"/>
  <c r="BL504" i="3"/>
  <c r="BL505" i="3"/>
  <c r="BL506" i="3"/>
  <c r="BL507" i="3"/>
  <c r="BL508" i="3"/>
  <c r="BL509" i="3"/>
  <c r="BL510" i="3"/>
  <c r="AZ510" i="3"/>
  <c r="BL511" i="3"/>
  <c r="AZ511" i="3" s="1"/>
  <c r="BL512" i="3"/>
  <c r="BL513" i="3"/>
  <c r="BL514" i="3"/>
  <c r="AZ514" i="3"/>
  <c r="BL515" i="3"/>
  <c r="BL516" i="3"/>
  <c r="BL517" i="3"/>
  <c r="BL518" i="3"/>
  <c r="AZ518" i="3"/>
  <c r="BL519" i="3"/>
  <c r="BL520" i="3"/>
  <c r="BL521" i="3"/>
  <c r="BL522" i="3"/>
  <c r="BL523" i="3"/>
  <c r="BL524" i="3"/>
  <c r="BL525" i="3"/>
  <c r="BL526" i="3"/>
  <c r="AZ526" i="3"/>
  <c r="BL527" i="3"/>
  <c r="AZ527" i="3" s="1"/>
  <c r="BL528" i="3"/>
  <c r="BL529" i="3"/>
  <c r="BL530" i="3"/>
  <c r="AZ530" i="3"/>
  <c r="BL531" i="3"/>
  <c r="BL532" i="3"/>
  <c r="BL533" i="3"/>
  <c r="BL534" i="3"/>
  <c r="AZ534" i="3"/>
  <c r="BL535" i="3"/>
  <c r="BL536" i="3"/>
  <c r="BL537" i="3"/>
  <c r="BL538" i="3"/>
  <c r="BL539" i="3"/>
  <c r="BL540" i="3"/>
  <c r="BL541" i="3"/>
  <c r="BL542" i="3"/>
  <c r="AZ542" i="3"/>
  <c r="BL543" i="3"/>
  <c r="AZ543" i="3" s="1"/>
  <c r="BL544" i="3"/>
  <c r="BL545" i="3"/>
  <c r="BL546" i="3"/>
  <c r="AZ546" i="3"/>
  <c r="BL547" i="3"/>
  <c r="BL548" i="3"/>
  <c r="BL549" i="3"/>
  <c r="BL550" i="3"/>
  <c r="AZ550" i="3"/>
  <c r="BL551" i="3"/>
  <c r="BL552" i="3"/>
  <c r="BL553" i="3"/>
  <c r="BL554" i="3"/>
  <c r="BL555" i="3"/>
  <c r="BL556" i="3"/>
  <c r="BL557" i="3"/>
  <c r="BL558" i="3"/>
  <c r="AZ558" i="3"/>
  <c r="BL559" i="3"/>
  <c r="AZ559" i="3" s="1"/>
  <c r="BL560" i="3"/>
  <c r="BL561" i="3"/>
  <c r="BL562" i="3"/>
  <c r="AZ562" i="3"/>
  <c r="BL563" i="3"/>
  <c r="BL564" i="3"/>
  <c r="BL565" i="3"/>
  <c r="BL566" i="3"/>
  <c r="AZ566" i="3"/>
  <c r="BL567" i="3"/>
  <c r="BL568" i="3"/>
  <c r="BL569" i="3"/>
  <c r="BL570" i="3"/>
  <c r="BL571" i="3"/>
  <c r="BL572" i="3"/>
  <c r="H13" i="3"/>
  <c r="AC13" i="3"/>
  <c r="G13" i="3"/>
  <c r="H14" i="3"/>
  <c r="G14" i="3" s="1"/>
  <c r="AC14" i="3"/>
  <c r="H15" i="3"/>
  <c r="G15" i="3" s="1"/>
  <c r="AC15" i="3"/>
  <c r="H16" i="3"/>
  <c r="AC16" i="3"/>
  <c r="G16" i="3"/>
  <c r="H17" i="3"/>
  <c r="AC17" i="3"/>
  <c r="G17" i="3"/>
  <c r="H18" i="3"/>
  <c r="G18" i="3" s="1"/>
  <c r="AC18" i="3"/>
  <c r="H19" i="3"/>
  <c r="G19" i="3" s="1"/>
  <c r="AC19" i="3"/>
  <c r="H20" i="3"/>
  <c r="AC20" i="3"/>
  <c r="G20" i="3"/>
  <c r="H21" i="3"/>
  <c r="AC21" i="3"/>
  <c r="G21" i="3"/>
  <c r="H22" i="3"/>
  <c r="G22" i="3" s="1"/>
  <c r="AC22" i="3"/>
  <c r="H23" i="3"/>
  <c r="G23" i="3" s="1"/>
  <c r="AC23" i="3"/>
  <c r="H24" i="3"/>
  <c r="AC24" i="3"/>
  <c r="G24" i="3"/>
  <c r="H25" i="3"/>
  <c r="AC25" i="3"/>
  <c r="G25" i="3"/>
  <c r="H26" i="3"/>
  <c r="G26" i="3" s="1"/>
  <c r="AC26" i="3"/>
  <c r="H27" i="3"/>
  <c r="G27" i="3" s="1"/>
  <c r="AC27" i="3"/>
  <c r="H28" i="3"/>
  <c r="AC28" i="3"/>
  <c r="G28" i="3"/>
  <c r="H29" i="3"/>
  <c r="AC29" i="3"/>
  <c r="G29" i="3"/>
  <c r="H30" i="3"/>
  <c r="G30" i="3" s="1"/>
  <c r="AC30" i="3"/>
  <c r="H31" i="3"/>
  <c r="G31" i="3" s="1"/>
  <c r="AC31" i="3"/>
  <c r="H32" i="3"/>
  <c r="AC32" i="3"/>
  <c r="G32" i="3"/>
  <c r="H33" i="3"/>
  <c r="AC33" i="3"/>
  <c r="G33" i="3"/>
  <c r="H34" i="3"/>
  <c r="G34" i="3" s="1"/>
  <c r="AC34" i="3"/>
  <c r="H35" i="3"/>
  <c r="G35" i="3" s="1"/>
  <c r="AC35" i="3"/>
  <c r="H36" i="3"/>
  <c r="AC36" i="3"/>
  <c r="G36" i="3"/>
  <c r="H37" i="3"/>
  <c r="AC37" i="3"/>
  <c r="G37" i="3"/>
  <c r="H38" i="3"/>
  <c r="G38" i="3" s="1"/>
  <c r="AC38" i="3"/>
  <c r="H39" i="3"/>
  <c r="G39" i="3" s="1"/>
  <c r="AC39" i="3"/>
  <c r="H40" i="3"/>
  <c r="AC40" i="3"/>
  <c r="G40" i="3"/>
  <c r="H41" i="3"/>
  <c r="AC41" i="3"/>
  <c r="G41" i="3"/>
  <c r="H42" i="3"/>
  <c r="G42" i="3" s="1"/>
  <c r="AC42" i="3"/>
  <c r="H43" i="3"/>
  <c r="G43" i="3" s="1"/>
  <c r="AC43" i="3"/>
  <c r="H44" i="3"/>
  <c r="AC44" i="3"/>
  <c r="G44" i="3"/>
  <c r="H45" i="3"/>
  <c r="AC45" i="3"/>
  <c r="G45" i="3"/>
  <c r="H46" i="3"/>
  <c r="G46" i="3" s="1"/>
  <c r="AC46" i="3"/>
  <c r="H47" i="3"/>
  <c r="G47" i="3" s="1"/>
  <c r="AC47" i="3"/>
  <c r="H48" i="3"/>
  <c r="AC48" i="3"/>
  <c r="G48" i="3"/>
  <c r="H49" i="3"/>
  <c r="AC49" i="3"/>
  <c r="G49" i="3"/>
  <c r="H50" i="3"/>
  <c r="G50" i="3" s="1"/>
  <c r="AC50" i="3"/>
  <c r="H51" i="3"/>
  <c r="G51" i="3" s="1"/>
  <c r="AC51" i="3"/>
  <c r="H52" i="3"/>
  <c r="AC52" i="3"/>
  <c r="G52" i="3"/>
  <c r="H53" i="3"/>
  <c r="AC53" i="3"/>
  <c r="G53" i="3"/>
  <c r="H54" i="3"/>
  <c r="G54" i="3" s="1"/>
  <c r="AC54" i="3"/>
  <c r="H55" i="3"/>
  <c r="G55" i="3" s="1"/>
  <c r="AC55" i="3"/>
  <c r="H56" i="3"/>
  <c r="AC56" i="3"/>
  <c r="G56" i="3"/>
  <c r="H57" i="3"/>
  <c r="AC57" i="3"/>
  <c r="G57" i="3"/>
  <c r="H58" i="3"/>
  <c r="G58" i="3" s="1"/>
  <c r="AC58" i="3"/>
  <c r="H59" i="3"/>
  <c r="G59" i="3" s="1"/>
  <c r="AC59" i="3"/>
  <c r="H60" i="3"/>
  <c r="AC60" i="3"/>
  <c r="G60" i="3"/>
  <c r="H61" i="3"/>
  <c r="AC61" i="3"/>
  <c r="G61" i="3"/>
  <c r="H62" i="3"/>
  <c r="G62" i="3" s="1"/>
  <c r="AC62" i="3"/>
  <c r="H63" i="3"/>
  <c r="G63" i="3" s="1"/>
  <c r="AC63" i="3"/>
  <c r="H64" i="3"/>
  <c r="AC64" i="3"/>
  <c r="G64" i="3"/>
  <c r="H65" i="3"/>
  <c r="AC65" i="3"/>
  <c r="G65" i="3"/>
  <c r="H66" i="3"/>
  <c r="G66" i="3" s="1"/>
  <c r="AC66" i="3"/>
  <c r="H67" i="3"/>
  <c r="G67" i="3" s="1"/>
  <c r="AC67" i="3"/>
  <c r="H68" i="3"/>
  <c r="AC68" i="3"/>
  <c r="G68" i="3"/>
  <c r="H69" i="3"/>
  <c r="AC69" i="3"/>
  <c r="G69" i="3"/>
  <c r="H70" i="3"/>
  <c r="G70" i="3" s="1"/>
  <c r="AC70" i="3"/>
  <c r="H71" i="3"/>
  <c r="G71" i="3" s="1"/>
  <c r="AC71" i="3"/>
  <c r="H72" i="3"/>
  <c r="AC72" i="3"/>
  <c r="G72" i="3"/>
  <c r="H73" i="3"/>
  <c r="AC73" i="3"/>
  <c r="G73" i="3"/>
  <c r="H74" i="3"/>
  <c r="G74" i="3" s="1"/>
  <c r="AC74" i="3"/>
  <c r="H75" i="3"/>
  <c r="G75" i="3" s="1"/>
  <c r="AC75" i="3"/>
  <c r="H76" i="3"/>
  <c r="AC76" i="3"/>
  <c r="G76" i="3"/>
  <c r="H77" i="3"/>
  <c r="AC77" i="3"/>
  <c r="G77" i="3"/>
  <c r="H78" i="3"/>
  <c r="G78" i="3" s="1"/>
  <c r="AC78" i="3"/>
  <c r="H79" i="3"/>
  <c r="G79" i="3" s="1"/>
  <c r="AC79" i="3"/>
  <c r="H80" i="3"/>
  <c r="AC80" i="3"/>
  <c r="G80" i="3"/>
  <c r="H81" i="3"/>
  <c r="AC81" i="3"/>
  <c r="G81" i="3"/>
  <c r="H82" i="3"/>
  <c r="G82" i="3" s="1"/>
  <c r="AC82" i="3"/>
  <c r="H83" i="3"/>
  <c r="G83" i="3" s="1"/>
  <c r="AC83" i="3"/>
  <c r="H84" i="3"/>
  <c r="AC84" i="3"/>
  <c r="G84" i="3"/>
  <c r="H85" i="3"/>
  <c r="AC85" i="3"/>
  <c r="G85" i="3" s="1"/>
  <c r="H86" i="3"/>
  <c r="G86" i="3" s="1"/>
  <c r="AC86" i="3"/>
  <c r="H87" i="3"/>
  <c r="G87" i="3" s="1"/>
  <c r="AC87" i="3"/>
  <c r="H88" i="3"/>
  <c r="AC88" i="3"/>
  <c r="G88" i="3"/>
  <c r="H89" i="3"/>
  <c r="AC89" i="3"/>
  <c r="G89" i="3" s="1"/>
  <c r="H90" i="3"/>
  <c r="G90" i="3" s="1"/>
  <c r="AC90" i="3"/>
  <c r="H91" i="3"/>
  <c r="G91" i="3" s="1"/>
  <c r="AC91" i="3"/>
  <c r="H92" i="3"/>
  <c r="AC92" i="3"/>
  <c r="G92" i="3"/>
  <c r="H93" i="3"/>
  <c r="AC93" i="3"/>
  <c r="G93" i="3" s="1"/>
  <c r="H94" i="3"/>
  <c r="G94" i="3" s="1"/>
  <c r="AC94" i="3"/>
  <c r="H95" i="3"/>
  <c r="G95" i="3" s="1"/>
  <c r="AC95" i="3"/>
  <c r="H96" i="3"/>
  <c r="AC96" i="3"/>
  <c r="G96" i="3"/>
  <c r="H97" i="3"/>
  <c r="AC97" i="3"/>
  <c r="G97" i="3" s="1"/>
  <c r="H98" i="3"/>
  <c r="G98" i="3" s="1"/>
  <c r="AC98" i="3"/>
  <c r="H99" i="3"/>
  <c r="G99" i="3" s="1"/>
  <c r="AC99" i="3"/>
  <c r="H100" i="3"/>
  <c r="AC100" i="3"/>
  <c r="G100" i="3"/>
  <c r="H101" i="3"/>
  <c r="AC101" i="3"/>
  <c r="G101" i="3" s="1"/>
  <c r="H102" i="3"/>
  <c r="G102" i="3" s="1"/>
  <c r="AC102" i="3"/>
  <c r="H103" i="3"/>
  <c r="G103" i="3" s="1"/>
  <c r="AC103" i="3"/>
  <c r="H104" i="3"/>
  <c r="AC104" i="3"/>
  <c r="G104" i="3"/>
  <c r="H105" i="3"/>
  <c r="AC105" i="3"/>
  <c r="G105" i="3" s="1"/>
  <c r="H106" i="3"/>
  <c r="G106" i="3" s="1"/>
  <c r="AC106" i="3"/>
  <c r="H107" i="3"/>
  <c r="G107" i="3" s="1"/>
  <c r="AC107" i="3"/>
  <c r="H108" i="3"/>
  <c r="AC108" i="3"/>
  <c r="G108" i="3"/>
  <c r="H109" i="3"/>
  <c r="AC109" i="3"/>
  <c r="G109" i="3" s="1"/>
  <c r="H110" i="3"/>
  <c r="G110" i="3" s="1"/>
  <c r="AC110" i="3"/>
  <c r="H111" i="3"/>
  <c r="G111" i="3" s="1"/>
  <c r="AC111" i="3"/>
  <c r="H112" i="3"/>
  <c r="AC112" i="3"/>
  <c r="G112" i="3"/>
  <c r="H113" i="3"/>
  <c r="AC113" i="3"/>
  <c r="G113" i="3" s="1"/>
  <c r="H114" i="3"/>
  <c r="G114" i="3" s="1"/>
  <c r="AC114" i="3"/>
  <c r="H115" i="3"/>
  <c r="G115" i="3" s="1"/>
  <c r="AC115" i="3"/>
  <c r="H116" i="3"/>
  <c r="AC116" i="3"/>
  <c r="G116" i="3"/>
  <c r="H117" i="3"/>
  <c r="AC117" i="3"/>
  <c r="G117" i="3" s="1"/>
  <c r="H118" i="3"/>
  <c r="G118" i="3" s="1"/>
  <c r="AC118" i="3"/>
  <c r="H119" i="3"/>
  <c r="G119" i="3" s="1"/>
  <c r="AC119" i="3"/>
  <c r="H120" i="3"/>
  <c r="AC120" i="3"/>
  <c r="G120" i="3"/>
  <c r="H121" i="3"/>
  <c r="AC121" i="3"/>
  <c r="G121" i="3" s="1"/>
  <c r="H122" i="3"/>
  <c r="G122" i="3" s="1"/>
  <c r="AC122" i="3"/>
  <c r="H123" i="3"/>
  <c r="G123" i="3" s="1"/>
  <c r="AC123" i="3"/>
  <c r="H124" i="3"/>
  <c r="AC124" i="3"/>
  <c r="G124" i="3"/>
  <c r="H125" i="3"/>
  <c r="AC125" i="3"/>
  <c r="G125" i="3" s="1"/>
  <c r="H126" i="3"/>
  <c r="G126" i="3" s="1"/>
  <c r="AC126" i="3"/>
  <c r="H127" i="3"/>
  <c r="G127" i="3" s="1"/>
  <c r="AC127" i="3"/>
  <c r="H128" i="3"/>
  <c r="AC128" i="3"/>
  <c r="G128" i="3"/>
  <c r="H129" i="3"/>
  <c r="AC129" i="3"/>
  <c r="G129" i="3" s="1"/>
  <c r="H130" i="3"/>
  <c r="G130" i="3" s="1"/>
  <c r="AC130" i="3"/>
  <c r="H131" i="3"/>
  <c r="G131" i="3" s="1"/>
  <c r="AC131" i="3"/>
  <c r="H132" i="3"/>
  <c r="AC132" i="3"/>
  <c r="G132" i="3"/>
  <c r="H133" i="3"/>
  <c r="AC133" i="3"/>
  <c r="G133" i="3" s="1"/>
  <c r="H134" i="3"/>
  <c r="G134" i="3" s="1"/>
  <c r="AC134" i="3"/>
  <c r="H135" i="3"/>
  <c r="G135" i="3" s="1"/>
  <c r="AC135" i="3"/>
  <c r="H136" i="3"/>
  <c r="AC136" i="3"/>
  <c r="G136" i="3"/>
  <c r="H137" i="3"/>
  <c r="AC137" i="3"/>
  <c r="G137" i="3" s="1"/>
  <c r="H138" i="3"/>
  <c r="G138" i="3" s="1"/>
  <c r="AC138" i="3"/>
  <c r="H139" i="3"/>
  <c r="G139" i="3" s="1"/>
  <c r="AC139" i="3"/>
  <c r="H140" i="3"/>
  <c r="AC140" i="3"/>
  <c r="G140" i="3"/>
  <c r="H141" i="3"/>
  <c r="AC141" i="3"/>
  <c r="G141" i="3" s="1"/>
  <c r="H142" i="3"/>
  <c r="G142" i="3" s="1"/>
  <c r="AC142" i="3"/>
  <c r="H143" i="3"/>
  <c r="G143" i="3" s="1"/>
  <c r="AC143" i="3"/>
  <c r="H144" i="3"/>
  <c r="AC144" i="3"/>
  <c r="G144" i="3"/>
  <c r="H145" i="3"/>
  <c r="AC145" i="3"/>
  <c r="G145" i="3" s="1"/>
  <c r="H146" i="3"/>
  <c r="G146" i="3" s="1"/>
  <c r="AC146" i="3"/>
  <c r="H147" i="3"/>
  <c r="G147" i="3" s="1"/>
  <c r="AC147" i="3"/>
  <c r="H148" i="3"/>
  <c r="AC148" i="3"/>
  <c r="G148" i="3"/>
  <c r="H149" i="3"/>
  <c r="AC149" i="3"/>
  <c r="G149" i="3" s="1"/>
  <c r="H150" i="3"/>
  <c r="G150" i="3" s="1"/>
  <c r="AC150" i="3"/>
  <c r="H151" i="3"/>
  <c r="G151" i="3" s="1"/>
  <c r="AC151" i="3"/>
  <c r="H152" i="3"/>
  <c r="AC152" i="3"/>
  <c r="G152" i="3"/>
  <c r="H153" i="3"/>
  <c r="AC153" i="3"/>
  <c r="G153" i="3" s="1"/>
  <c r="H154" i="3"/>
  <c r="G154" i="3" s="1"/>
  <c r="AC154" i="3"/>
  <c r="H155" i="3"/>
  <c r="G155" i="3" s="1"/>
  <c r="AC155" i="3"/>
  <c r="H156" i="3"/>
  <c r="AC156" i="3"/>
  <c r="G156" i="3"/>
  <c r="H157" i="3"/>
  <c r="AC157" i="3"/>
  <c r="G157" i="3" s="1"/>
  <c r="H158" i="3"/>
  <c r="G158" i="3" s="1"/>
  <c r="AC158" i="3"/>
  <c r="H159" i="3"/>
  <c r="AC159" i="3"/>
  <c r="H160" i="3"/>
  <c r="AC160" i="3"/>
  <c r="G160" i="3"/>
  <c r="H161" i="3"/>
  <c r="AC161" i="3"/>
  <c r="G161" i="3" s="1"/>
  <c r="H162" i="3"/>
  <c r="G162" i="3" s="1"/>
  <c r="AC162" i="3"/>
  <c r="H163" i="3"/>
  <c r="AC163" i="3"/>
  <c r="H164" i="3"/>
  <c r="AC164" i="3"/>
  <c r="G164" i="3"/>
  <c r="H165" i="3"/>
  <c r="AC165" i="3"/>
  <c r="G165" i="3" s="1"/>
  <c r="H166" i="3"/>
  <c r="G166" i="3" s="1"/>
  <c r="AC166" i="3"/>
  <c r="H167" i="3"/>
  <c r="AC167" i="3"/>
  <c r="H168" i="3"/>
  <c r="AC168" i="3"/>
  <c r="G168" i="3"/>
  <c r="H169" i="3"/>
  <c r="AC169" i="3"/>
  <c r="G169" i="3" s="1"/>
  <c r="H170" i="3"/>
  <c r="G170" i="3" s="1"/>
  <c r="AC170" i="3"/>
  <c r="H171" i="3"/>
  <c r="G171" i="3" s="1"/>
  <c r="AC171" i="3"/>
  <c r="H172" i="3"/>
  <c r="AC172" i="3"/>
  <c r="G172" i="3"/>
  <c r="H173" i="3"/>
  <c r="AC173" i="3"/>
  <c r="G173" i="3" s="1"/>
  <c r="H174" i="3"/>
  <c r="G174" i="3" s="1"/>
  <c r="AC174" i="3"/>
  <c r="H175" i="3"/>
  <c r="G175" i="3" s="1"/>
  <c r="AC175" i="3"/>
  <c r="H176" i="3"/>
  <c r="AC176" i="3"/>
  <c r="G176" i="3"/>
  <c r="H177" i="3"/>
  <c r="AC177" i="3"/>
  <c r="G177" i="3" s="1"/>
  <c r="H178" i="3"/>
  <c r="G178" i="3" s="1"/>
  <c r="AC178" i="3"/>
  <c r="H179" i="3"/>
  <c r="AC179" i="3"/>
  <c r="H180" i="3"/>
  <c r="AC180" i="3"/>
  <c r="G180" i="3"/>
  <c r="H181" i="3"/>
  <c r="AC181" i="3"/>
  <c r="G181" i="3" s="1"/>
  <c r="H182" i="3"/>
  <c r="G182" i="3" s="1"/>
  <c r="AC182" i="3"/>
  <c r="H183" i="3"/>
  <c r="AC183" i="3"/>
  <c r="H184" i="3"/>
  <c r="AC184" i="3"/>
  <c r="G184" i="3"/>
  <c r="H185" i="3"/>
  <c r="AC185" i="3"/>
  <c r="G185" i="3" s="1"/>
  <c r="H186" i="3"/>
  <c r="G186" i="3" s="1"/>
  <c r="AC186" i="3"/>
  <c r="H187" i="3"/>
  <c r="G187" i="3" s="1"/>
  <c r="AC187" i="3"/>
  <c r="H188" i="3"/>
  <c r="AC188" i="3"/>
  <c r="G188" i="3"/>
  <c r="H189" i="3"/>
  <c r="AC189" i="3"/>
  <c r="G189" i="3" s="1"/>
  <c r="H190" i="3"/>
  <c r="G190" i="3" s="1"/>
  <c r="AC190" i="3"/>
  <c r="H191" i="3"/>
  <c r="AC191" i="3"/>
  <c r="H192" i="3"/>
  <c r="AC192" i="3"/>
  <c r="G192" i="3"/>
  <c r="H193" i="3"/>
  <c r="AC193" i="3"/>
  <c r="G193" i="3" s="1"/>
  <c r="H194" i="3"/>
  <c r="G194" i="3" s="1"/>
  <c r="AC194" i="3"/>
  <c r="H195" i="3"/>
  <c r="G195" i="3" s="1"/>
  <c r="AC195" i="3"/>
  <c r="H196" i="3"/>
  <c r="AC196" i="3"/>
  <c r="G196" i="3"/>
  <c r="H197" i="3"/>
  <c r="AC197" i="3"/>
  <c r="G197" i="3" s="1"/>
  <c r="H198" i="3"/>
  <c r="G198" i="3" s="1"/>
  <c r="AC198" i="3"/>
  <c r="H199" i="3"/>
  <c r="G199" i="3" s="1"/>
  <c r="AC199" i="3"/>
  <c r="H200" i="3"/>
  <c r="AC200" i="3"/>
  <c r="H201" i="3"/>
  <c r="AC201" i="3"/>
  <c r="H202" i="3"/>
  <c r="AC202" i="3"/>
  <c r="G202" i="3"/>
  <c r="H203" i="3"/>
  <c r="G203" i="3" s="1"/>
  <c r="AC203" i="3"/>
  <c r="H204" i="3"/>
  <c r="AC204" i="3"/>
  <c r="G204" i="3"/>
  <c r="H205" i="3"/>
  <c r="AC205" i="3"/>
  <c r="G205" i="3" s="1"/>
  <c r="H206" i="3"/>
  <c r="G206" i="3" s="1"/>
  <c r="AC206" i="3"/>
  <c r="H207" i="3"/>
  <c r="AC207" i="3"/>
  <c r="H208" i="3"/>
  <c r="G208" i="3" s="1"/>
  <c r="AC208" i="3"/>
  <c r="H209" i="3"/>
  <c r="AC209" i="3"/>
  <c r="G209" i="3" s="1"/>
  <c r="H210" i="3"/>
  <c r="AC210" i="3"/>
  <c r="G210" i="3"/>
  <c r="H211" i="3"/>
  <c r="G211" i="3" s="1"/>
  <c r="AC211" i="3"/>
  <c r="H212" i="3"/>
  <c r="AC212" i="3"/>
  <c r="G212" i="3"/>
  <c r="H213" i="3"/>
  <c r="AC213" i="3"/>
  <c r="G213" i="3" s="1"/>
  <c r="H214" i="3"/>
  <c r="G214" i="3" s="1"/>
  <c r="AC214" i="3"/>
  <c r="H215" i="3"/>
  <c r="G215" i="3" s="1"/>
  <c r="AC215" i="3"/>
  <c r="H216" i="3"/>
  <c r="G216" i="3" s="1"/>
  <c r="AC216" i="3"/>
  <c r="H217" i="3"/>
  <c r="AC217" i="3"/>
  <c r="G217" i="3" s="1"/>
  <c r="H218" i="3"/>
  <c r="AC218" i="3"/>
  <c r="G218" i="3"/>
  <c r="H219" i="3"/>
  <c r="G219" i="3" s="1"/>
  <c r="AC219" i="3"/>
  <c r="H220" i="3"/>
  <c r="AC220" i="3"/>
  <c r="G220" i="3"/>
  <c r="H221" i="3"/>
  <c r="AC221" i="3"/>
  <c r="G221" i="3" s="1"/>
  <c r="H222" i="3"/>
  <c r="G222" i="3" s="1"/>
  <c r="AC222" i="3"/>
  <c r="H223" i="3"/>
  <c r="G223" i="3" s="1"/>
  <c r="AC223" i="3"/>
  <c r="H224" i="3"/>
  <c r="G224" i="3" s="1"/>
  <c r="AC224" i="3"/>
  <c r="H225" i="3"/>
  <c r="AC225" i="3"/>
  <c r="G225" i="3" s="1"/>
  <c r="H226" i="3"/>
  <c r="AC226" i="3"/>
  <c r="G226" i="3"/>
  <c r="H227" i="3"/>
  <c r="G227" i="3" s="1"/>
  <c r="AC227" i="3"/>
  <c r="H228" i="3"/>
  <c r="AC228" i="3"/>
  <c r="G228" i="3"/>
  <c r="H229" i="3"/>
  <c r="AC229" i="3"/>
  <c r="G229" i="3" s="1"/>
  <c r="H230" i="3"/>
  <c r="G230" i="3" s="1"/>
  <c r="AC230" i="3"/>
  <c r="H231" i="3"/>
  <c r="G231" i="3" s="1"/>
  <c r="AC231" i="3"/>
  <c r="H232" i="3"/>
  <c r="G232" i="3" s="1"/>
  <c r="AC232" i="3"/>
  <c r="H233" i="3"/>
  <c r="AC233" i="3"/>
  <c r="G233" i="3" s="1"/>
  <c r="H234" i="3"/>
  <c r="AC234" i="3"/>
  <c r="G234" i="3"/>
  <c r="H235" i="3"/>
  <c r="G235" i="3" s="1"/>
  <c r="AC235" i="3"/>
  <c r="H236" i="3"/>
  <c r="AC236" i="3"/>
  <c r="G236" i="3"/>
  <c r="H237" i="3"/>
  <c r="AC237" i="3"/>
  <c r="G237" i="3" s="1"/>
  <c r="H238" i="3"/>
  <c r="G238" i="3" s="1"/>
  <c r="AC238" i="3"/>
  <c r="H239" i="3"/>
  <c r="G239" i="3" s="1"/>
  <c r="AC239" i="3"/>
  <c r="H240" i="3"/>
  <c r="G240" i="3" s="1"/>
  <c r="AC240" i="3"/>
  <c r="H241" i="3"/>
  <c r="AC241" i="3"/>
  <c r="G241" i="3" s="1"/>
  <c r="H242" i="3"/>
  <c r="AC242" i="3"/>
  <c r="G242" i="3"/>
  <c r="H243" i="3"/>
  <c r="G243" i="3" s="1"/>
  <c r="AC243" i="3"/>
  <c r="H244" i="3"/>
  <c r="AC244" i="3"/>
  <c r="G244" i="3"/>
  <c r="H245" i="3"/>
  <c r="AC245" i="3"/>
  <c r="G245" i="3" s="1"/>
  <c r="H246" i="3"/>
  <c r="G246" i="3" s="1"/>
  <c r="AC246" i="3"/>
  <c r="H247" i="3"/>
  <c r="G247" i="3" s="1"/>
  <c r="AC247" i="3"/>
  <c r="H248" i="3"/>
  <c r="G248" i="3" s="1"/>
  <c r="AC248" i="3"/>
  <c r="H249" i="3"/>
  <c r="AC249" i="3"/>
  <c r="G249" i="3" s="1"/>
  <c r="H250" i="3"/>
  <c r="AC250" i="3"/>
  <c r="G250" i="3"/>
  <c r="H251" i="3"/>
  <c r="G251" i="3" s="1"/>
  <c r="AC251" i="3"/>
  <c r="H252" i="3"/>
  <c r="AC252" i="3"/>
  <c r="G252" i="3"/>
  <c r="H253" i="3"/>
  <c r="AC253" i="3"/>
  <c r="G253" i="3" s="1"/>
  <c r="H254" i="3"/>
  <c r="G254" i="3" s="1"/>
  <c r="AC254" i="3"/>
  <c r="H255" i="3"/>
  <c r="G255" i="3" s="1"/>
  <c r="AC255" i="3"/>
  <c r="H256" i="3"/>
  <c r="G256" i="3" s="1"/>
  <c r="AC256" i="3"/>
  <c r="H257" i="3"/>
  <c r="AC257" i="3"/>
  <c r="G257" i="3" s="1"/>
  <c r="H258" i="3"/>
  <c r="AC258" i="3"/>
  <c r="G258" i="3"/>
  <c r="H259" i="3"/>
  <c r="G259" i="3" s="1"/>
  <c r="AC259" i="3"/>
  <c r="H260" i="3"/>
  <c r="AC260" i="3"/>
  <c r="G260" i="3"/>
  <c r="H261" i="3"/>
  <c r="AC261" i="3"/>
  <c r="G261" i="3" s="1"/>
  <c r="H262" i="3"/>
  <c r="G262" i="3" s="1"/>
  <c r="AC262" i="3"/>
  <c r="H263" i="3"/>
  <c r="G263" i="3" s="1"/>
  <c r="AC263" i="3"/>
  <c r="H264" i="3"/>
  <c r="G264" i="3" s="1"/>
  <c r="AC264" i="3"/>
  <c r="H265" i="3"/>
  <c r="AC265" i="3"/>
  <c r="G265" i="3" s="1"/>
  <c r="H266" i="3"/>
  <c r="AC266" i="3"/>
  <c r="G266" i="3"/>
  <c r="H267" i="3"/>
  <c r="AC267" i="3"/>
  <c r="H268" i="3"/>
  <c r="G268" i="3" s="1"/>
  <c r="AC268" i="3"/>
  <c r="H269" i="3"/>
  <c r="AC269" i="3"/>
  <c r="G269" i="3"/>
  <c r="H270" i="3"/>
  <c r="AC270" i="3"/>
  <c r="G270" i="3"/>
  <c r="H271" i="3"/>
  <c r="G271" i="3" s="1"/>
  <c r="AC271" i="3"/>
  <c r="H272" i="3"/>
  <c r="AC272" i="3"/>
  <c r="G272" i="3"/>
  <c r="H273" i="3"/>
  <c r="AC273" i="3"/>
  <c r="G273" i="3" s="1"/>
  <c r="H274" i="3"/>
  <c r="G274" i="3" s="1"/>
  <c r="AC274" i="3"/>
  <c r="H275" i="3"/>
  <c r="AC275" i="3"/>
  <c r="H276" i="3"/>
  <c r="AC276" i="3"/>
  <c r="G276" i="3" s="1"/>
  <c r="H277" i="3"/>
  <c r="G277" i="3" s="1"/>
  <c r="AC277" i="3"/>
  <c r="H278" i="3"/>
  <c r="AC278" i="3"/>
  <c r="H279" i="3"/>
  <c r="AC279" i="3"/>
  <c r="G279" i="3"/>
  <c r="H280" i="3"/>
  <c r="AC280" i="3"/>
  <c r="G280" i="3" s="1"/>
  <c r="H281" i="3"/>
  <c r="G281" i="3" s="1"/>
  <c r="AC281" i="3"/>
  <c r="H282" i="3"/>
  <c r="G282" i="3" s="1"/>
  <c r="AC282" i="3"/>
  <c r="H283" i="3"/>
  <c r="AC283" i="3"/>
  <c r="G283" i="3"/>
  <c r="H284" i="3"/>
  <c r="AC284" i="3"/>
  <c r="G284" i="3" s="1"/>
  <c r="H285" i="3"/>
  <c r="G285" i="3" s="1"/>
  <c r="AC285" i="3"/>
  <c r="H286" i="3"/>
  <c r="AC286" i="3"/>
  <c r="H287" i="3"/>
  <c r="AC287" i="3"/>
  <c r="G287" i="3"/>
  <c r="H288" i="3"/>
  <c r="AC288" i="3"/>
  <c r="G288" i="3" s="1"/>
  <c r="H289" i="3"/>
  <c r="G289" i="3" s="1"/>
  <c r="AC289" i="3"/>
  <c r="H290" i="3"/>
  <c r="G290" i="3" s="1"/>
  <c r="AC290" i="3"/>
  <c r="H291" i="3"/>
  <c r="AC291" i="3"/>
  <c r="G291" i="3"/>
  <c r="H292" i="3"/>
  <c r="AC292" i="3"/>
  <c r="G292" i="3"/>
  <c r="H293" i="3"/>
  <c r="G293" i="3" s="1"/>
  <c r="AC293" i="3"/>
  <c r="H294" i="3"/>
  <c r="G294" i="3" s="1"/>
  <c r="AC294" i="3"/>
  <c r="H295" i="3"/>
  <c r="AC295" i="3"/>
  <c r="G295" i="3"/>
  <c r="H296" i="3"/>
  <c r="AC296" i="3"/>
  <c r="G296" i="3"/>
  <c r="H297" i="3"/>
  <c r="G297" i="3" s="1"/>
  <c r="AC297" i="3"/>
  <c r="H298" i="3"/>
  <c r="G298" i="3" s="1"/>
  <c r="AC298" i="3"/>
  <c r="H299" i="3"/>
  <c r="AC299" i="3"/>
  <c r="G299" i="3"/>
  <c r="H300" i="3"/>
  <c r="AC300" i="3"/>
  <c r="G300" i="3"/>
  <c r="H301" i="3"/>
  <c r="G301" i="3" s="1"/>
  <c r="AC301" i="3"/>
  <c r="H302" i="3"/>
  <c r="G302" i="3" s="1"/>
  <c r="AC302" i="3"/>
  <c r="H303" i="3"/>
  <c r="AC303" i="3"/>
  <c r="G303" i="3"/>
  <c r="H304" i="3"/>
  <c r="AC304" i="3"/>
  <c r="G304" i="3"/>
  <c r="H305" i="3"/>
  <c r="G305" i="3" s="1"/>
  <c r="AC305" i="3"/>
  <c r="H306" i="3"/>
  <c r="G306" i="3" s="1"/>
  <c r="AC306" i="3"/>
  <c r="H307" i="3"/>
  <c r="AC307" i="3"/>
  <c r="G307" i="3"/>
  <c r="H308" i="3"/>
  <c r="AC308" i="3"/>
  <c r="G308" i="3"/>
  <c r="H309" i="3"/>
  <c r="G309" i="3" s="1"/>
  <c r="AC309" i="3"/>
  <c r="H310" i="3"/>
  <c r="G310" i="3" s="1"/>
  <c r="AC310" i="3"/>
  <c r="H311" i="3"/>
  <c r="AC311" i="3"/>
  <c r="G311" i="3"/>
  <c r="H312" i="3"/>
  <c r="AC312" i="3"/>
  <c r="G312" i="3"/>
  <c r="H313" i="3"/>
  <c r="G313" i="3" s="1"/>
  <c r="AC313" i="3"/>
  <c r="H314" i="3"/>
  <c r="G314" i="3" s="1"/>
  <c r="AC314" i="3"/>
  <c r="H315" i="3"/>
  <c r="AC315" i="3"/>
  <c r="G315" i="3"/>
  <c r="H316" i="3"/>
  <c r="AC316" i="3"/>
  <c r="G316" i="3"/>
  <c r="H317" i="3"/>
  <c r="G317" i="3" s="1"/>
  <c r="AC317" i="3"/>
  <c r="H318" i="3"/>
  <c r="G318" i="3" s="1"/>
  <c r="AC318" i="3"/>
  <c r="H319" i="3"/>
  <c r="AC319" i="3"/>
  <c r="G319" i="3"/>
  <c r="H320" i="3"/>
  <c r="AC320" i="3"/>
  <c r="G320" i="3"/>
  <c r="H321" i="3"/>
  <c r="G321" i="3" s="1"/>
  <c r="AC321" i="3"/>
  <c r="H322" i="3"/>
  <c r="G322" i="3" s="1"/>
  <c r="AC322" i="3"/>
  <c r="H323" i="3"/>
  <c r="AC323" i="3"/>
  <c r="G323" i="3"/>
  <c r="H324" i="3"/>
  <c r="AC324" i="3"/>
  <c r="G324" i="3"/>
  <c r="H325" i="3"/>
  <c r="G325" i="3" s="1"/>
  <c r="AC325" i="3"/>
  <c r="H326" i="3"/>
  <c r="G326" i="3" s="1"/>
  <c r="AC326" i="3"/>
  <c r="H327" i="3"/>
  <c r="AC327" i="3"/>
  <c r="G327" i="3"/>
  <c r="H328" i="3"/>
  <c r="AC328" i="3"/>
  <c r="G328" i="3"/>
  <c r="H329" i="3"/>
  <c r="G329" i="3" s="1"/>
  <c r="AC329" i="3"/>
  <c r="H330" i="3"/>
  <c r="G330" i="3" s="1"/>
  <c r="AC330" i="3"/>
  <c r="H331" i="3"/>
  <c r="AC331" i="3"/>
  <c r="G331" i="3"/>
  <c r="H332" i="3"/>
  <c r="AC332" i="3"/>
  <c r="G332" i="3"/>
  <c r="H333" i="3"/>
  <c r="G333" i="3" s="1"/>
  <c r="AC333" i="3"/>
  <c r="H334" i="3"/>
  <c r="G334" i="3" s="1"/>
  <c r="AC334" i="3"/>
  <c r="H335" i="3"/>
  <c r="AC335" i="3"/>
  <c r="G335" i="3"/>
  <c r="H336" i="3"/>
  <c r="AC336" i="3"/>
  <c r="G336" i="3"/>
  <c r="H337" i="3"/>
  <c r="G337" i="3" s="1"/>
  <c r="AC337" i="3"/>
  <c r="H338" i="3"/>
  <c r="G338" i="3" s="1"/>
  <c r="AC338" i="3"/>
  <c r="H339" i="3"/>
  <c r="AC339" i="3"/>
  <c r="G339" i="3"/>
  <c r="H340" i="3"/>
  <c r="AC340" i="3"/>
  <c r="G340" i="3"/>
  <c r="H341" i="3"/>
  <c r="G341" i="3" s="1"/>
  <c r="AC341" i="3"/>
  <c r="H342" i="3"/>
  <c r="G342" i="3" s="1"/>
  <c r="AC342" i="3"/>
  <c r="H343" i="3"/>
  <c r="AC343" i="3"/>
  <c r="G343" i="3"/>
  <c r="H344" i="3"/>
  <c r="AC344" i="3"/>
  <c r="G344" i="3"/>
  <c r="H345" i="3"/>
  <c r="G345" i="3" s="1"/>
  <c r="AC345" i="3"/>
  <c r="H346" i="3"/>
  <c r="G346" i="3" s="1"/>
  <c r="AC346" i="3"/>
  <c r="H347" i="3"/>
  <c r="AC347" i="3"/>
  <c r="G347" i="3"/>
  <c r="H348" i="3"/>
  <c r="AC348" i="3"/>
  <c r="G348" i="3"/>
  <c r="H349" i="3"/>
  <c r="G349" i="3" s="1"/>
  <c r="AC349" i="3"/>
  <c r="H350" i="3"/>
  <c r="G350" i="3" s="1"/>
  <c r="AC350" i="3"/>
  <c r="H351" i="3"/>
  <c r="AC351" i="3"/>
  <c r="G351" i="3"/>
  <c r="H352" i="3"/>
  <c r="AC352" i="3"/>
  <c r="G352" i="3"/>
  <c r="H353" i="3"/>
  <c r="G353" i="3" s="1"/>
  <c r="AC353" i="3"/>
  <c r="H354" i="3"/>
  <c r="G354" i="3" s="1"/>
  <c r="AC354" i="3"/>
  <c r="H355" i="3"/>
  <c r="AC355" i="3"/>
  <c r="G355" i="3"/>
  <c r="H356" i="3"/>
  <c r="AC356" i="3"/>
  <c r="G356" i="3"/>
  <c r="H357" i="3"/>
  <c r="G357" i="3" s="1"/>
  <c r="AC357" i="3"/>
  <c r="H358" i="3"/>
  <c r="G358" i="3" s="1"/>
  <c r="AC358" i="3"/>
  <c r="H359" i="3"/>
  <c r="AC359" i="3"/>
  <c r="G359" i="3"/>
  <c r="H360" i="3"/>
  <c r="AC360" i="3"/>
  <c r="G360" i="3"/>
  <c r="H361" i="3"/>
  <c r="G361" i="3" s="1"/>
  <c r="AC361" i="3"/>
  <c r="H362" i="3"/>
  <c r="G362" i="3" s="1"/>
  <c r="AC362" i="3"/>
  <c r="H363" i="3"/>
  <c r="AC363" i="3"/>
  <c r="G363" i="3"/>
  <c r="H364" i="3"/>
  <c r="AC364" i="3"/>
  <c r="G364" i="3"/>
  <c r="H365" i="3"/>
  <c r="G365" i="3" s="1"/>
  <c r="AC365" i="3"/>
  <c r="H366" i="3"/>
  <c r="G366" i="3" s="1"/>
  <c r="AC366" i="3"/>
  <c r="H367" i="3"/>
  <c r="AC367" i="3"/>
  <c r="G367" i="3"/>
  <c r="H368" i="3"/>
  <c r="AC368" i="3"/>
  <c r="G368" i="3"/>
  <c r="H369" i="3"/>
  <c r="G369" i="3" s="1"/>
  <c r="AC369" i="3"/>
  <c r="H370" i="3"/>
  <c r="G370" i="3" s="1"/>
  <c r="AC370" i="3"/>
  <c r="H371" i="3"/>
  <c r="AC371" i="3"/>
  <c r="G371" i="3"/>
  <c r="H372" i="3"/>
  <c r="AC372" i="3"/>
  <c r="G372" i="3"/>
  <c r="H373" i="3"/>
  <c r="G373" i="3" s="1"/>
  <c r="AC373" i="3"/>
  <c r="H374" i="3"/>
  <c r="G374" i="3" s="1"/>
  <c r="AC374" i="3"/>
  <c r="H375" i="3"/>
  <c r="AC375" i="3"/>
  <c r="G375" i="3"/>
  <c r="H376" i="3"/>
  <c r="AC376" i="3"/>
  <c r="G376" i="3" s="1"/>
  <c r="H377" i="3"/>
  <c r="G377" i="3" s="1"/>
  <c r="AC377" i="3"/>
  <c r="H378" i="3"/>
  <c r="AC378" i="3"/>
  <c r="H379" i="3"/>
  <c r="AC379" i="3"/>
  <c r="G379" i="3"/>
  <c r="H380" i="3"/>
  <c r="AC380" i="3"/>
  <c r="G380" i="3" s="1"/>
  <c r="H381" i="3"/>
  <c r="G381" i="3" s="1"/>
  <c r="AC381" i="3"/>
  <c r="H382" i="3"/>
  <c r="G382" i="3" s="1"/>
  <c r="AC382" i="3"/>
  <c r="H383" i="3"/>
  <c r="AC383" i="3"/>
  <c r="G383" i="3"/>
  <c r="H384" i="3"/>
  <c r="AC384" i="3"/>
  <c r="G384" i="3" s="1"/>
  <c r="H385" i="3"/>
  <c r="G385" i="3" s="1"/>
  <c r="AC385" i="3"/>
  <c r="H386" i="3"/>
  <c r="AC386" i="3"/>
  <c r="H387" i="3"/>
  <c r="AC387" i="3"/>
  <c r="G387" i="3"/>
  <c r="H388" i="3"/>
  <c r="AC388" i="3"/>
  <c r="G388" i="3" s="1"/>
  <c r="H389" i="3"/>
  <c r="G389" i="3" s="1"/>
  <c r="AC389" i="3"/>
  <c r="H390" i="3"/>
  <c r="G390" i="3" s="1"/>
  <c r="AC390" i="3"/>
  <c r="H391" i="3"/>
  <c r="AC391" i="3"/>
  <c r="G391" i="3"/>
  <c r="H392" i="3"/>
  <c r="AC392" i="3"/>
  <c r="G392" i="3"/>
  <c r="H393" i="3"/>
  <c r="G393" i="3" s="1"/>
  <c r="AC393" i="3"/>
  <c r="H394" i="3"/>
  <c r="G394" i="3" s="1"/>
  <c r="AC394" i="3"/>
  <c r="H395" i="3"/>
  <c r="AC395" i="3"/>
  <c r="G395" i="3"/>
  <c r="H396" i="3"/>
  <c r="AC396" i="3"/>
  <c r="G396" i="3"/>
  <c r="H397" i="3"/>
  <c r="G397" i="3" s="1"/>
  <c r="AC397" i="3"/>
  <c r="H398" i="3"/>
  <c r="G398" i="3" s="1"/>
  <c r="AC398" i="3"/>
  <c r="H399" i="3"/>
  <c r="AC399" i="3"/>
  <c r="G399" i="3"/>
  <c r="H400" i="3"/>
  <c r="AC400" i="3"/>
  <c r="G400" i="3"/>
  <c r="H401" i="3"/>
  <c r="G401" i="3" s="1"/>
  <c r="AC401" i="3"/>
  <c r="H402" i="3"/>
  <c r="G402" i="3" s="1"/>
  <c r="AC402" i="3"/>
  <c r="H403" i="3"/>
  <c r="AC403" i="3"/>
  <c r="G403" i="3"/>
  <c r="H404" i="3"/>
  <c r="AC404" i="3"/>
  <c r="G404" i="3"/>
  <c r="H405" i="3"/>
  <c r="G405" i="3" s="1"/>
  <c r="AC405" i="3"/>
  <c r="H406" i="3"/>
  <c r="G406" i="3" s="1"/>
  <c r="AC406" i="3"/>
  <c r="H407" i="3"/>
  <c r="AC407" i="3"/>
  <c r="G407" i="3"/>
  <c r="H408" i="3"/>
  <c r="AC408" i="3"/>
  <c r="G408" i="3"/>
  <c r="H409" i="3"/>
  <c r="G409" i="3" s="1"/>
  <c r="AC409" i="3"/>
  <c r="H410" i="3"/>
  <c r="G410" i="3" s="1"/>
  <c r="AC410" i="3"/>
  <c r="H411" i="3"/>
  <c r="AC411" i="3"/>
  <c r="G411" i="3"/>
  <c r="H412" i="3"/>
  <c r="AC412" i="3"/>
  <c r="G412" i="3"/>
  <c r="H413" i="3"/>
  <c r="G413" i="3" s="1"/>
  <c r="AC413" i="3"/>
  <c r="H414" i="3"/>
  <c r="G414" i="3" s="1"/>
  <c r="AC414" i="3"/>
  <c r="H415" i="3"/>
  <c r="AC415" i="3"/>
  <c r="G415" i="3"/>
  <c r="H416" i="3"/>
  <c r="AC416" i="3"/>
  <c r="G416" i="3"/>
  <c r="H417" i="3"/>
  <c r="G417" i="3" s="1"/>
  <c r="AC417" i="3"/>
  <c r="H418" i="3"/>
  <c r="G418" i="3" s="1"/>
  <c r="AC418" i="3"/>
  <c r="H419" i="3"/>
  <c r="AC419" i="3"/>
  <c r="G419" i="3"/>
  <c r="H420" i="3"/>
  <c r="AC420" i="3"/>
  <c r="G420" i="3"/>
  <c r="H421" i="3"/>
  <c r="G421" i="3" s="1"/>
  <c r="AC421" i="3"/>
  <c r="H422" i="3"/>
  <c r="G422" i="3" s="1"/>
  <c r="AC422" i="3"/>
  <c r="H423" i="3"/>
  <c r="AC423" i="3"/>
  <c r="G423" i="3"/>
  <c r="H424" i="3"/>
  <c r="AC424" i="3"/>
  <c r="G424" i="3"/>
  <c r="H425" i="3"/>
  <c r="G425" i="3" s="1"/>
  <c r="AC425" i="3"/>
  <c r="H426" i="3"/>
  <c r="G426" i="3" s="1"/>
  <c r="AC426" i="3"/>
  <c r="H427" i="3"/>
  <c r="AC427" i="3"/>
  <c r="G427" i="3"/>
  <c r="H428" i="3"/>
  <c r="AC428" i="3"/>
  <c r="G428" i="3"/>
  <c r="H429" i="3"/>
  <c r="G429" i="3" s="1"/>
  <c r="AC429" i="3"/>
  <c r="H430" i="3"/>
  <c r="G430" i="3" s="1"/>
  <c r="AC430" i="3"/>
  <c r="H431" i="3"/>
  <c r="AC431" i="3"/>
  <c r="G431" i="3"/>
  <c r="H432" i="3"/>
  <c r="AC432" i="3"/>
  <c r="G432" i="3"/>
  <c r="H433" i="3"/>
  <c r="G433" i="3" s="1"/>
  <c r="AC433" i="3"/>
  <c r="H434" i="3"/>
  <c r="G434" i="3" s="1"/>
  <c r="AC434" i="3"/>
  <c r="H435" i="3"/>
  <c r="AC435" i="3"/>
  <c r="G435" i="3"/>
  <c r="H436" i="3"/>
  <c r="AC436" i="3"/>
  <c r="G436" i="3"/>
  <c r="H437" i="3"/>
  <c r="G437" i="3" s="1"/>
  <c r="AC437" i="3"/>
  <c r="H438" i="3"/>
  <c r="G438" i="3" s="1"/>
  <c r="AC438" i="3"/>
  <c r="H439" i="3"/>
  <c r="AC439" i="3"/>
  <c r="G439" i="3"/>
  <c r="H440" i="3"/>
  <c r="AC440" i="3"/>
  <c r="G440" i="3"/>
  <c r="H441" i="3"/>
  <c r="G441" i="3" s="1"/>
  <c r="AC441" i="3"/>
  <c r="H442" i="3"/>
  <c r="G442" i="3" s="1"/>
  <c r="AC442" i="3"/>
  <c r="H443" i="3"/>
  <c r="AC443" i="3"/>
  <c r="G443" i="3"/>
  <c r="H444" i="3"/>
  <c r="AC444" i="3"/>
  <c r="G444" i="3"/>
  <c r="H445" i="3"/>
  <c r="G445" i="3" s="1"/>
  <c r="AC445" i="3"/>
  <c r="H446" i="3"/>
  <c r="G446" i="3" s="1"/>
  <c r="AC446" i="3"/>
  <c r="H447" i="3"/>
  <c r="AC447" i="3"/>
  <c r="G447" i="3"/>
  <c r="H448" i="3"/>
  <c r="AC448" i="3"/>
  <c r="G448" i="3"/>
  <c r="H449" i="3"/>
  <c r="G449" i="3" s="1"/>
  <c r="AC449" i="3"/>
  <c r="H450" i="3"/>
  <c r="G450" i="3" s="1"/>
  <c r="AC450" i="3"/>
  <c r="H451" i="3"/>
  <c r="AC451" i="3"/>
  <c r="G451" i="3"/>
  <c r="H452" i="3"/>
  <c r="AC452" i="3"/>
  <c r="G452" i="3"/>
  <c r="H453" i="3"/>
  <c r="G453" i="3" s="1"/>
  <c r="AC453" i="3"/>
  <c r="H454" i="3"/>
  <c r="G454" i="3" s="1"/>
  <c r="AC454" i="3"/>
  <c r="H455" i="3"/>
  <c r="AC455" i="3"/>
  <c r="G455" i="3"/>
  <c r="H456" i="3"/>
  <c r="AC456" i="3"/>
  <c r="G456" i="3"/>
  <c r="H457" i="3"/>
  <c r="G457" i="3" s="1"/>
  <c r="AC457" i="3"/>
  <c r="H458" i="3"/>
  <c r="G458" i="3" s="1"/>
  <c r="AC458" i="3"/>
  <c r="H459" i="3"/>
  <c r="AC459" i="3"/>
  <c r="G459" i="3"/>
  <c r="H460" i="3"/>
  <c r="AC460" i="3"/>
  <c r="G460" i="3"/>
  <c r="H461" i="3"/>
  <c r="G461" i="3" s="1"/>
  <c r="AC461" i="3"/>
  <c r="H462" i="3"/>
  <c r="G462" i="3" s="1"/>
  <c r="AC462" i="3"/>
  <c r="H463" i="3"/>
  <c r="AC463" i="3"/>
  <c r="G463" i="3"/>
  <c r="H464" i="3"/>
  <c r="AC464" i="3"/>
  <c r="G464" i="3"/>
  <c r="H465" i="3"/>
  <c r="G465" i="3" s="1"/>
  <c r="AC465" i="3"/>
  <c r="H466" i="3"/>
  <c r="G466" i="3" s="1"/>
  <c r="AC466" i="3"/>
  <c r="H467" i="3"/>
  <c r="AC467" i="3"/>
  <c r="G467" i="3"/>
  <c r="H468" i="3"/>
  <c r="AC468" i="3"/>
  <c r="G468" i="3"/>
  <c r="H469" i="3"/>
  <c r="G469" i="3" s="1"/>
  <c r="AC469" i="3"/>
  <c r="H470" i="3"/>
  <c r="G470" i="3" s="1"/>
  <c r="AC470" i="3"/>
  <c r="H471" i="3"/>
  <c r="AC471" i="3"/>
  <c r="G471" i="3"/>
  <c r="H472" i="3"/>
  <c r="AC472" i="3"/>
  <c r="G472" i="3"/>
  <c r="H473" i="3"/>
  <c r="G473" i="3" s="1"/>
  <c r="AC473" i="3"/>
  <c r="H474" i="3"/>
  <c r="G474" i="3" s="1"/>
  <c r="AC474" i="3"/>
  <c r="H475" i="3"/>
  <c r="AC475" i="3"/>
  <c r="G475" i="3"/>
  <c r="H476" i="3"/>
  <c r="AC476" i="3"/>
  <c r="G476" i="3"/>
  <c r="H477" i="3"/>
  <c r="G477" i="3" s="1"/>
  <c r="AC477" i="3"/>
  <c r="H478" i="3"/>
  <c r="G478" i="3" s="1"/>
  <c r="AC478" i="3"/>
  <c r="H479" i="3"/>
  <c r="AC479" i="3"/>
  <c r="G479" i="3"/>
  <c r="H480" i="3"/>
  <c r="AC480" i="3"/>
  <c r="G480" i="3"/>
  <c r="H481" i="3"/>
  <c r="G481" i="3" s="1"/>
  <c r="AC481" i="3"/>
  <c r="H482" i="3"/>
  <c r="G482" i="3" s="1"/>
  <c r="AC482" i="3"/>
  <c r="H483" i="3"/>
  <c r="AC483" i="3"/>
  <c r="G483" i="3"/>
  <c r="H484" i="3"/>
  <c r="AC484" i="3"/>
  <c r="G484" i="3"/>
  <c r="H485" i="3"/>
  <c r="G485" i="3" s="1"/>
  <c r="AC485" i="3"/>
  <c r="H486" i="3"/>
  <c r="G486" i="3" s="1"/>
  <c r="AC486" i="3"/>
  <c r="H487" i="3"/>
  <c r="AC487" i="3"/>
  <c r="G487" i="3"/>
  <c r="H488" i="3"/>
  <c r="AC488" i="3"/>
  <c r="G488" i="3"/>
  <c r="H489" i="3"/>
  <c r="G489" i="3" s="1"/>
  <c r="AC489" i="3"/>
  <c r="H490" i="3"/>
  <c r="G490" i="3" s="1"/>
  <c r="AC490" i="3"/>
  <c r="H491" i="3"/>
  <c r="AC491" i="3"/>
  <c r="G491" i="3"/>
  <c r="H492" i="3"/>
  <c r="AC492" i="3"/>
  <c r="G492" i="3"/>
  <c r="H493" i="3"/>
  <c r="G493" i="3" s="1"/>
  <c r="AC493" i="3"/>
  <c r="H494" i="3"/>
  <c r="G494" i="3" s="1"/>
  <c r="AC494" i="3"/>
  <c r="H495" i="3"/>
  <c r="AC495" i="3"/>
  <c r="G495" i="3"/>
  <c r="H496" i="3"/>
  <c r="AC496" i="3"/>
  <c r="G496" i="3"/>
  <c r="H497" i="3"/>
  <c r="G497" i="3" s="1"/>
  <c r="AC497" i="3"/>
  <c r="H498" i="3"/>
  <c r="G498" i="3" s="1"/>
  <c r="AC498" i="3"/>
  <c r="H499" i="3"/>
  <c r="AC499" i="3"/>
  <c r="G499" i="3"/>
  <c r="H500" i="3"/>
  <c r="AC500" i="3"/>
  <c r="G500" i="3"/>
  <c r="H501" i="3"/>
  <c r="G501" i="3" s="1"/>
  <c r="AC501" i="3"/>
  <c r="H502" i="3"/>
  <c r="G502" i="3" s="1"/>
  <c r="AC502" i="3"/>
  <c r="H503" i="3"/>
  <c r="AC503" i="3"/>
  <c r="G503" i="3"/>
  <c r="H504" i="3"/>
  <c r="AC504" i="3"/>
  <c r="G504" i="3"/>
  <c r="H505" i="3"/>
  <c r="G505" i="3" s="1"/>
  <c r="AC505" i="3"/>
  <c r="H506" i="3"/>
  <c r="G506" i="3" s="1"/>
  <c r="AC506" i="3"/>
  <c r="H507" i="3"/>
  <c r="AC507" i="3"/>
  <c r="G507" i="3"/>
  <c r="H508" i="3"/>
  <c r="AC508" i="3"/>
  <c r="G508" i="3"/>
  <c r="H509" i="3"/>
  <c r="G509" i="3" s="1"/>
  <c r="AC509" i="3"/>
  <c r="H510" i="3"/>
  <c r="G510" i="3" s="1"/>
  <c r="AC510" i="3"/>
  <c r="H511" i="3"/>
  <c r="AC511" i="3"/>
  <c r="G511" i="3"/>
  <c r="H512" i="3"/>
  <c r="AC512" i="3"/>
  <c r="G512" i="3"/>
  <c r="H513" i="3"/>
  <c r="G513" i="3" s="1"/>
  <c r="AC513" i="3"/>
  <c r="H514" i="3"/>
  <c r="G514" i="3" s="1"/>
  <c r="AC514" i="3"/>
  <c r="H515" i="3"/>
  <c r="AC515" i="3"/>
  <c r="G515" i="3"/>
  <c r="H516" i="3"/>
  <c r="AC516" i="3"/>
  <c r="G516" i="3"/>
  <c r="H517" i="3"/>
  <c r="G517" i="3" s="1"/>
  <c r="AC517" i="3"/>
  <c r="H518" i="3"/>
  <c r="G518" i="3" s="1"/>
  <c r="AC518" i="3"/>
  <c r="H519" i="3"/>
  <c r="AC519" i="3"/>
  <c r="G519" i="3"/>
  <c r="H520" i="3"/>
  <c r="AC520" i="3"/>
  <c r="G520" i="3"/>
  <c r="H521" i="3"/>
  <c r="G521" i="3" s="1"/>
  <c r="AC521" i="3"/>
  <c r="H522" i="3"/>
  <c r="G522" i="3" s="1"/>
  <c r="AC522" i="3"/>
  <c r="H523" i="3"/>
  <c r="AC523" i="3"/>
  <c r="G523" i="3"/>
  <c r="H524" i="3"/>
  <c r="AC524" i="3"/>
  <c r="G524" i="3"/>
  <c r="H525" i="3"/>
  <c r="G525" i="3" s="1"/>
  <c r="AC525" i="3"/>
  <c r="H526" i="3"/>
  <c r="G526" i="3" s="1"/>
  <c r="AC526" i="3"/>
  <c r="H527" i="3"/>
  <c r="AC527" i="3"/>
  <c r="G527" i="3"/>
  <c r="H528" i="3"/>
  <c r="AC528" i="3"/>
  <c r="G528" i="3"/>
  <c r="H529" i="3"/>
  <c r="G529" i="3" s="1"/>
  <c r="AC529" i="3"/>
  <c r="H530" i="3"/>
  <c r="G530" i="3" s="1"/>
  <c r="AC530" i="3"/>
  <c r="H531" i="3"/>
  <c r="AC531" i="3"/>
  <c r="G531" i="3"/>
  <c r="H532" i="3"/>
  <c r="AC532" i="3"/>
  <c r="G532" i="3"/>
  <c r="H533" i="3"/>
  <c r="G533" i="3" s="1"/>
  <c r="AC533" i="3"/>
  <c r="H534" i="3"/>
  <c r="G534" i="3" s="1"/>
  <c r="AC534" i="3"/>
  <c r="H535" i="3"/>
  <c r="AC535" i="3"/>
  <c r="G535" i="3"/>
  <c r="H536" i="3"/>
  <c r="AC536" i="3"/>
  <c r="G536" i="3"/>
  <c r="H537" i="3"/>
  <c r="G537" i="3" s="1"/>
  <c r="AC537" i="3"/>
  <c r="H538" i="3"/>
  <c r="G538" i="3" s="1"/>
  <c r="AC538" i="3"/>
  <c r="H539" i="3"/>
  <c r="AC539" i="3"/>
  <c r="G539" i="3"/>
  <c r="H540" i="3"/>
  <c r="AC540" i="3"/>
  <c r="G540" i="3"/>
  <c r="H541" i="3"/>
  <c r="G541" i="3" s="1"/>
  <c r="AC541" i="3"/>
  <c r="H542" i="3"/>
  <c r="G542" i="3" s="1"/>
  <c r="AC542" i="3"/>
  <c r="H543" i="3"/>
  <c r="AC543" i="3"/>
  <c r="G543" i="3"/>
  <c r="H544" i="3"/>
  <c r="AC544" i="3"/>
  <c r="G544" i="3"/>
  <c r="H545" i="3"/>
  <c r="G545" i="3" s="1"/>
  <c r="AC545" i="3"/>
  <c r="H546" i="3"/>
  <c r="G546" i="3" s="1"/>
  <c r="AC546" i="3"/>
  <c r="H547" i="3"/>
  <c r="AC547" i="3"/>
  <c r="G547" i="3"/>
  <c r="H548" i="3"/>
  <c r="AC548" i="3"/>
  <c r="G548" i="3"/>
  <c r="H549" i="3"/>
  <c r="G549" i="3" s="1"/>
  <c r="AC549" i="3"/>
  <c r="H550" i="3"/>
  <c r="G550" i="3" s="1"/>
  <c r="AC550" i="3"/>
  <c r="H551" i="3"/>
  <c r="AC551" i="3"/>
  <c r="G551" i="3"/>
  <c r="H552" i="3"/>
  <c r="AC552" i="3"/>
  <c r="G552" i="3"/>
  <c r="H553" i="3"/>
  <c r="G553" i="3" s="1"/>
  <c r="AC553" i="3"/>
  <c r="H554" i="3"/>
  <c r="G554" i="3" s="1"/>
  <c r="AC554" i="3"/>
  <c r="H555" i="3"/>
  <c r="AC555" i="3"/>
  <c r="G555" i="3"/>
  <c r="H556" i="3"/>
  <c r="AC556" i="3"/>
  <c r="G556" i="3"/>
  <c r="H557" i="3"/>
  <c r="G557" i="3" s="1"/>
  <c r="AC557" i="3"/>
  <c r="H558" i="3"/>
  <c r="G558" i="3" s="1"/>
  <c r="AC558" i="3"/>
  <c r="H559" i="3"/>
  <c r="AC559" i="3"/>
  <c r="G559" i="3"/>
  <c r="H560" i="3"/>
  <c r="AC560" i="3"/>
  <c r="G560" i="3"/>
  <c r="H561" i="3"/>
  <c r="G561" i="3" s="1"/>
  <c r="AC561" i="3"/>
  <c r="H562" i="3"/>
  <c r="G562" i="3" s="1"/>
  <c r="AC562" i="3"/>
  <c r="H563" i="3"/>
  <c r="AC563" i="3"/>
  <c r="G563" i="3"/>
  <c r="H564" i="3"/>
  <c r="AC564" i="3"/>
  <c r="G564" i="3"/>
  <c r="H565" i="3"/>
  <c r="G565" i="3" s="1"/>
  <c r="AC565" i="3"/>
  <c r="H566" i="3"/>
  <c r="G566" i="3" s="1"/>
  <c r="AC566" i="3"/>
  <c r="H567" i="3"/>
  <c r="AC567" i="3"/>
  <c r="G567" i="3"/>
  <c r="H568" i="3"/>
  <c r="AC568" i="3"/>
  <c r="G568" i="3"/>
  <c r="H569" i="3"/>
  <c r="G569" i="3" s="1"/>
  <c r="AC569" i="3"/>
  <c r="H570" i="3"/>
  <c r="G570" i="3" s="1"/>
  <c r="AC570" i="3"/>
  <c r="H571" i="3"/>
  <c r="AC571" i="3"/>
  <c r="G571" i="3"/>
  <c r="H572" i="3"/>
  <c r="AC572" i="3"/>
  <c r="G572" i="3"/>
  <c r="AT5" i="3"/>
  <c r="L19" i="6"/>
  <c r="B52" i="1"/>
  <c r="F34" i="73" s="1"/>
  <c r="F61" i="73" s="1"/>
  <c r="F34" i="15"/>
  <c r="T4" i="1"/>
  <c r="A7" i="1"/>
  <c r="A8" i="1"/>
  <c r="A9" i="1"/>
  <c r="A10" i="1"/>
  <c r="A11" i="1"/>
  <c r="A12" i="1"/>
  <c r="S12" i="1"/>
  <c r="A13" i="1"/>
  <c r="F15" i="15"/>
  <c r="F17" i="15"/>
  <c r="F18" i="15"/>
  <c r="F20" i="15"/>
  <c r="H1" i="65"/>
  <c r="B22" i="1"/>
  <c r="C2" i="65" s="1"/>
  <c r="I1" i="65" s="1"/>
  <c r="F23" i="15"/>
  <c r="F21" i="15"/>
  <c r="F28" i="15"/>
  <c r="B2" i="1"/>
  <c r="C7" i="21" s="1"/>
  <c r="I7" i="21" s="1"/>
  <c r="E19" i="4"/>
  <c r="F10" i="1" s="1"/>
  <c r="F6" i="1"/>
  <c r="G6" i="1" s="1"/>
  <c r="M47" i="15"/>
  <c r="J50" i="15"/>
  <c r="AN6" i="1"/>
  <c r="L46" i="15"/>
  <c r="G1" i="71"/>
  <c r="F32" i="71"/>
  <c r="F33" i="71"/>
  <c r="L20" i="6"/>
  <c r="F34" i="71"/>
  <c r="F15" i="71"/>
  <c r="F17" i="71"/>
  <c r="F18" i="71"/>
  <c r="F20" i="71"/>
  <c r="F23" i="71"/>
  <c r="F21" i="71"/>
  <c r="F28" i="71"/>
  <c r="F17" i="4"/>
  <c r="F19" i="4" s="1"/>
  <c r="F7" i="1" s="1"/>
  <c r="M47" i="71"/>
  <c r="J50" i="71"/>
  <c r="J51" i="71" s="1"/>
  <c r="AN7" i="1"/>
  <c r="L46" i="71"/>
  <c r="G31" i="76"/>
  <c r="U10" i="1" s="1"/>
  <c r="F32" i="73"/>
  <c r="F33" i="73"/>
  <c r="L23" i="6"/>
  <c r="F15" i="73"/>
  <c r="F17" i="73"/>
  <c r="F18" i="73"/>
  <c r="F20" i="73"/>
  <c r="F23" i="73"/>
  <c r="F21" i="73"/>
  <c r="F28" i="73"/>
  <c r="M47" i="73"/>
  <c r="J50" i="73"/>
  <c r="J51" i="73" s="1"/>
  <c r="AN10" i="1"/>
  <c r="L46" i="73"/>
  <c r="R47" i="21"/>
  <c r="F8" i="21"/>
  <c r="AA8" i="21"/>
  <c r="C63" i="21"/>
  <c r="D66" i="21"/>
  <c r="E66" i="21"/>
  <c r="F66" i="21" s="1"/>
  <c r="D69" i="21"/>
  <c r="E69" i="21" s="1"/>
  <c r="F69" i="21" s="1"/>
  <c r="G69" i="21" s="1"/>
  <c r="H69" i="21"/>
  <c r="I69" i="21" s="1"/>
  <c r="J69" i="21" s="1"/>
  <c r="K69" i="21" s="1"/>
  <c r="L69" i="21" s="1"/>
  <c r="M69" i="21" s="1"/>
  <c r="I5" i="3"/>
  <c r="K5" i="3"/>
  <c r="M5" i="3"/>
  <c r="O5" i="3"/>
  <c r="J5" i="3"/>
  <c r="L5" i="3"/>
  <c r="N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70" i="21"/>
  <c r="F12" i="21"/>
  <c r="AA12" i="21"/>
  <c r="B72" i="21"/>
  <c r="B74" i="21"/>
  <c r="J14" i="21" s="1"/>
  <c r="AC14" i="21" s="1"/>
  <c r="F14" i="21"/>
  <c r="AA14" i="21" s="1"/>
  <c r="D77" i="21"/>
  <c r="F15" i="21"/>
  <c r="AA15" i="21"/>
  <c r="D79" i="21"/>
  <c r="F17" i="21"/>
  <c r="AA17" i="21" s="1"/>
  <c r="F19" i="21"/>
  <c r="AA19" i="21" s="1"/>
  <c r="D83" i="21"/>
  <c r="J21" i="21" s="1"/>
  <c r="AC21" i="21" s="1"/>
  <c r="F21" i="21"/>
  <c r="AA21" i="21"/>
  <c r="F23" i="21"/>
  <c r="AA23" i="21"/>
  <c r="F25" i="21"/>
  <c r="AA25" i="21"/>
  <c r="F26" i="21"/>
  <c r="AA26" i="21"/>
  <c r="B90" i="21"/>
  <c r="J27" i="21" s="1"/>
  <c r="AC27" i="21" s="1"/>
  <c r="F27" i="21"/>
  <c r="AA27" i="21" s="1"/>
  <c r="B92" i="21"/>
  <c r="F28" i="21"/>
  <c r="AA28" i="21"/>
  <c r="B94" i="21"/>
  <c r="F29" i="21"/>
  <c r="AA29" i="21"/>
  <c r="B96" i="21"/>
  <c r="B98" i="21"/>
  <c r="J31" i="21" s="1"/>
  <c r="AC31" i="21" s="1"/>
  <c r="F31" i="21"/>
  <c r="AA31" i="21" s="1"/>
  <c r="F34" i="21"/>
  <c r="AA34" i="21"/>
  <c r="F35" i="21"/>
  <c r="AA35" i="21"/>
  <c r="F36" i="21"/>
  <c r="AA36" i="21"/>
  <c r="D113" i="21"/>
  <c r="E113" i="21"/>
  <c r="F113" i="21"/>
  <c r="G113" i="21"/>
  <c r="F38" i="21"/>
  <c r="AA38" i="21"/>
  <c r="F39" i="21"/>
  <c r="AA39" i="21"/>
  <c r="F40" i="21"/>
  <c r="AA40" i="21"/>
  <c r="F41" i="21"/>
  <c r="AA41" i="21"/>
  <c r="F42" i="21"/>
  <c r="AA42" i="21"/>
  <c r="D125" i="21"/>
  <c r="F43" i="21"/>
  <c r="AA43" i="21"/>
  <c r="B126" i="21"/>
  <c r="B128" i="21"/>
  <c r="J45" i="21" s="1"/>
  <c r="AC45" i="21" s="1"/>
  <c r="F45" i="21"/>
  <c r="AA45" i="21" s="1"/>
  <c r="B130" i="21"/>
  <c r="F46" i="21"/>
  <c r="AA46" i="21"/>
  <c r="T47" i="21"/>
  <c r="H8" i="21"/>
  <c r="AB8" i="21"/>
  <c r="H9" i="21"/>
  <c r="AB9" i="21" s="1"/>
  <c r="H12" i="21"/>
  <c r="AB12" i="21"/>
  <c r="H13" i="21"/>
  <c r="AB13" i="21" s="1"/>
  <c r="H15" i="21"/>
  <c r="AB15" i="21" s="1"/>
  <c r="H17" i="21"/>
  <c r="AB17" i="21"/>
  <c r="H19" i="21"/>
  <c r="AB19" i="21" s="1"/>
  <c r="H21" i="21"/>
  <c r="AB21" i="21"/>
  <c r="H23" i="21"/>
  <c r="AB23" i="21" s="1"/>
  <c r="H25" i="21"/>
  <c r="AB25" i="21"/>
  <c r="H26" i="21"/>
  <c r="AB26" i="21" s="1"/>
  <c r="H28" i="21"/>
  <c r="AB28" i="21" s="1"/>
  <c r="H29" i="21"/>
  <c r="AB29" i="21"/>
  <c r="H30" i="21"/>
  <c r="AB30" i="21" s="1"/>
  <c r="H34" i="21"/>
  <c r="AB34" i="21" s="1"/>
  <c r="H35" i="21"/>
  <c r="AB35" i="21"/>
  <c r="H36" i="21"/>
  <c r="AB36" i="21" s="1"/>
  <c r="H38" i="21"/>
  <c r="AB38" i="21" s="1"/>
  <c r="H39" i="21"/>
  <c r="AB39" i="21"/>
  <c r="H40" i="21"/>
  <c r="AB40" i="21" s="1"/>
  <c r="H41" i="21"/>
  <c r="AB41" i="21"/>
  <c r="H42" i="21"/>
  <c r="AB42" i="21" s="1"/>
  <c r="H43" i="21"/>
  <c r="AB43" i="21"/>
  <c r="H46" i="21"/>
  <c r="AB46" i="21" s="1"/>
  <c r="V47" i="21"/>
  <c r="J8" i="21"/>
  <c r="AC8" i="21"/>
  <c r="J12" i="21"/>
  <c r="AC12" i="21"/>
  <c r="J15" i="21"/>
  <c r="AC15" i="21"/>
  <c r="J17" i="21"/>
  <c r="AC17" i="21"/>
  <c r="J19" i="21"/>
  <c r="AC19" i="21"/>
  <c r="J23" i="21"/>
  <c r="AC23" i="21"/>
  <c r="J25" i="21"/>
  <c r="AC25" i="21"/>
  <c r="J26" i="21"/>
  <c r="AC26" i="21"/>
  <c r="J28" i="21"/>
  <c r="AC28" i="21"/>
  <c r="J29" i="21"/>
  <c r="AC29" i="21"/>
  <c r="J34" i="21"/>
  <c r="AC34" i="21"/>
  <c r="J35" i="21"/>
  <c r="AC35" i="21"/>
  <c r="J36" i="21"/>
  <c r="AC36" i="21"/>
  <c r="J38" i="21"/>
  <c r="AC38" i="21"/>
  <c r="J39" i="21"/>
  <c r="AC39" i="21"/>
  <c r="J40" i="21"/>
  <c r="AC40" i="21"/>
  <c r="J41" i="21"/>
  <c r="AC41" i="21"/>
  <c r="J42" i="21"/>
  <c r="AC42" i="21"/>
  <c r="J43" i="21"/>
  <c r="AC43" i="21"/>
  <c r="J46" i="21"/>
  <c r="AC46" i="21"/>
  <c r="F9" i="12"/>
  <c r="F10" i="12" s="1"/>
  <c r="E9" i="6"/>
  <c r="C7" i="39"/>
  <c r="R48" i="39"/>
  <c r="C9" i="39"/>
  <c r="C70" i="39" s="1"/>
  <c r="G19" i="46"/>
  <c r="P24" i="46" s="1"/>
  <c r="B68" i="40" s="1"/>
  <c r="I3" i="59"/>
  <c r="AD3" i="59"/>
  <c r="J3" i="59"/>
  <c r="AE3" i="59"/>
  <c r="AF3" i="59"/>
  <c r="K3" i="59"/>
  <c r="AG3" i="59" s="1"/>
  <c r="L3" i="59"/>
  <c r="AH3" i="59"/>
  <c r="AD5" i="59"/>
  <c r="AE5" i="59"/>
  <c r="AF5" i="59"/>
  <c r="AG5" i="59"/>
  <c r="AH5" i="59"/>
  <c r="AD6" i="59"/>
  <c r="AE6" i="59"/>
  <c r="AF6" i="59"/>
  <c r="AG6" i="59"/>
  <c r="AH6" i="59"/>
  <c r="AD7" i="59"/>
  <c r="AE7" i="59"/>
  <c r="AF7" i="59"/>
  <c r="AG7" i="59"/>
  <c r="AH7" i="59"/>
  <c r="AD8" i="59"/>
  <c r="AE8" i="59"/>
  <c r="AF8" i="59" s="1"/>
  <c r="AG8" i="59"/>
  <c r="AH8" i="59"/>
  <c r="AD9" i="59"/>
  <c r="AE9" i="59"/>
  <c r="AF9" i="59"/>
  <c r="AG9" i="59"/>
  <c r="AH9" i="59"/>
  <c r="AD10" i="59"/>
  <c r="AE10" i="59"/>
  <c r="AF10" i="59"/>
  <c r="AG10" i="59"/>
  <c r="AH10" i="59"/>
  <c r="AD11" i="59"/>
  <c r="AE11" i="59"/>
  <c r="AF11" i="59"/>
  <c r="AG11" i="59"/>
  <c r="AH11" i="59"/>
  <c r="AD12" i="59"/>
  <c r="AE12" i="59"/>
  <c r="AF12" i="59" s="1"/>
  <c r="AG12" i="59"/>
  <c r="AH12" i="59"/>
  <c r="AD13" i="59"/>
  <c r="AE13" i="59"/>
  <c r="AF13" i="59"/>
  <c r="AG13" i="59"/>
  <c r="AH1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c r="AG19" i="59"/>
  <c r="AH19" i="59"/>
  <c r="AD20" i="59"/>
  <c r="AE20" i="59"/>
  <c r="AF20" i="59" s="1"/>
  <c r="AG20" i="59"/>
  <c r="AH20" i="59"/>
  <c r="AD21" i="59"/>
  <c r="AE21" i="59"/>
  <c r="AF21" i="59"/>
  <c r="AG21" i="59"/>
  <c r="AH21" i="59"/>
  <c r="AD22" i="59"/>
  <c r="AE22" i="59"/>
  <c r="AF22" i="59"/>
  <c r="AG22" i="59"/>
  <c r="AH22" i="59"/>
  <c r="AD23" i="59"/>
  <c r="AE23" i="59"/>
  <c r="AF23" i="59"/>
  <c r="AG23" i="59"/>
  <c r="AH23" i="59"/>
  <c r="F10" i="39"/>
  <c r="AA10" i="39"/>
  <c r="F11" i="39"/>
  <c r="AA11" i="39"/>
  <c r="B84" i="39"/>
  <c r="F14" i="39" s="1"/>
  <c r="AA14" i="39" s="1"/>
  <c r="B86" i="39"/>
  <c r="F15" i="39"/>
  <c r="AA15" i="39" s="1"/>
  <c r="B88" i="39"/>
  <c r="F16" i="39"/>
  <c r="AA16" i="39"/>
  <c r="F17" i="39"/>
  <c r="AA17" i="39"/>
  <c r="D95" i="39"/>
  <c r="F21" i="39"/>
  <c r="AA21" i="39" s="1"/>
  <c r="F23" i="39"/>
  <c r="AA23" i="39"/>
  <c r="D99" i="39"/>
  <c r="F25" i="39" s="1"/>
  <c r="AA25" i="39" s="1"/>
  <c r="F27" i="39"/>
  <c r="AA27" i="39"/>
  <c r="D103" i="39"/>
  <c r="F29" i="39"/>
  <c r="AA29" i="39"/>
  <c r="D105" i="39"/>
  <c r="B106" i="39"/>
  <c r="F33" i="39" s="1"/>
  <c r="AA33" i="39" s="1"/>
  <c r="D107" i="39"/>
  <c r="E107" i="39" s="1"/>
  <c r="D109" i="39"/>
  <c r="E109" i="39" s="1"/>
  <c r="F34" i="39" s="1"/>
  <c r="AA34" i="39" s="1"/>
  <c r="F36" i="39"/>
  <c r="AA36" i="39" s="1"/>
  <c r="B112" i="39"/>
  <c r="F37" i="39"/>
  <c r="AA37" i="39"/>
  <c r="B114" i="39"/>
  <c r="F38" i="39"/>
  <c r="AA38" i="39"/>
  <c r="B116" i="39"/>
  <c r="F39" i="39" s="1"/>
  <c r="AA39" i="39" s="1"/>
  <c r="C40" i="39"/>
  <c r="F41" i="39"/>
  <c r="AA41" i="39"/>
  <c r="F42" i="39"/>
  <c r="AA42" i="39"/>
  <c r="D126" i="39"/>
  <c r="E126" i="39"/>
  <c r="F126" i="39" s="1"/>
  <c r="G126" i="39" s="1"/>
  <c r="F43" i="39" s="1"/>
  <c r="AA43" i="39" s="1"/>
  <c r="F44" i="39"/>
  <c r="AA44" i="39"/>
  <c r="B129" i="39"/>
  <c r="F45" i="39"/>
  <c r="AA45" i="39" s="1"/>
  <c r="B131" i="39"/>
  <c r="F46" i="39"/>
  <c r="AA46" i="39"/>
  <c r="B133" i="39"/>
  <c r="F47" i="39"/>
  <c r="AA47" i="39"/>
  <c r="G28" i="76"/>
  <c r="E31" i="76"/>
  <c r="E24" i="76"/>
  <c r="E25" i="76"/>
  <c r="E26" i="76"/>
  <c r="E27" i="76"/>
  <c r="F32" i="74"/>
  <c r="F59" i="74" s="1"/>
  <c r="F33" i="74"/>
  <c r="L24" i="6"/>
  <c r="F34" i="74"/>
  <c r="K11" i="1"/>
  <c r="M11" i="1" s="1"/>
  <c r="F15" i="74"/>
  <c r="F17" i="74"/>
  <c r="F18" i="74"/>
  <c r="F20" i="74"/>
  <c r="F23" i="74"/>
  <c r="D22" i="74" s="1"/>
  <c r="F21" i="74"/>
  <c r="F28" i="74"/>
  <c r="G17" i="4"/>
  <c r="G19" i="4"/>
  <c r="F11" i="1" s="1"/>
  <c r="AP11" i="1" s="1"/>
  <c r="M47" i="74"/>
  <c r="J50" i="74"/>
  <c r="AN11" i="1"/>
  <c r="L46" i="74"/>
  <c r="G1" i="72"/>
  <c r="F32" i="72"/>
  <c r="F33" i="72"/>
  <c r="L21" i="6"/>
  <c r="F34" i="72"/>
  <c r="F61" i="72" s="1"/>
  <c r="F15" i="72"/>
  <c r="F17" i="72"/>
  <c r="F18" i="72"/>
  <c r="F20" i="72"/>
  <c r="F23" i="72"/>
  <c r="F21" i="72"/>
  <c r="F28" i="72"/>
  <c r="M47" i="72"/>
  <c r="J50" i="72"/>
  <c r="AE8" i="1"/>
  <c r="L46" i="72"/>
  <c r="D11" i="1"/>
  <c r="K59" i="74"/>
  <c r="P62" i="74" s="1"/>
  <c r="P75" i="74"/>
  <c r="Q73" i="74"/>
  <c r="D60" i="74"/>
  <c r="F60" i="74"/>
  <c r="F61" i="74"/>
  <c r="Q60" i="74"/>
  <c r="Q59" i="74"/>
  <c r="F58" i="74"/>
  <c r="Q52" i="74"/>
  <c r="F31" i="74"/>
  <c r="AG11" i="1"/>
  <c r="M18" i="74"/>
  <c r="M20" i="74"/>
  <c r="D24" i="74"/>
  <c r="D23" i="74"/>
  <c r="M19" i="74"/>
  <c r="M17" i="74"/>
  <c r="D10" i="1"/>
  <c r="K59" i="73"/>
  <c r="P75" i="73"/>
  <c r="Q73" i="73"/>
  <c r="F59" i="73"/>
  <c r="D60" i="73"/>
  <c r="F60" i="73"/>
  <c r="P62" i="73"/>
  <c r="Q60" i="73"/>
  <c r="Q59" i="73"/>
  <c r="F58" i="73"/>
  <c r="Q52" i="73"/>
  <c r="F31" i="73"/>
  <c r="AG10" i="1"/>
  <c r="M18" i="73"/>
  <c r="M20" i="73"/>
  <c r="D24" i="73"/>
  <c r="D23" i="73"/>
  <c r="D22" i="73"/>
  <c r="M19" i="73"/>
  <c r="M17" i="73"/>
  <c r="D8" i="1"/>
  <c r="K59" i="72"/>
  <c r="P62" i="72" s="1"/>
  <c r="P75" i="72"/>
  <c r="Q73" i="72"/>
  <c r="F59" i="72"/>
  <c r="D60" i="72"/>
  <c r="F60" i="72"/>
  <c r="Q60" i="72"/>
  <c r="Q59" i="72"/>
  <c r="F58" i="72"/>
  <c r="Q52" i="72"/>
  <c r="F31" i="72"/>
  <c r="AG8" i="1"/>
  <c r="M18" i="72"/>
  <c r="M20" i="72"/>
  <c r="D23" i="72"/>
  <c r="M19" i="72"/>
  <c r="M17" i="72"/>
  <c r="D7" i="1"/>
  <c r="K59" i="71"/>
  <c r="P75" i="71"/>
  <c r="Q73" i="71"/>
  <c r="F59" i="71"/>
  <c r="D60" i="71"/>
  <c r="F60" i="71"/>
  <c r="F61" i="71"/>
  <c r="P62" i="71"/>
  <c r="Q60" i="71"/>
  <c r="Q59" i="71"/>
  <c r="F58" i="71"/>
  <c r="Q52" i="71"/>
  <c r="F31" i="71"/>
  <c r="AG7" i="1"/>
  <c r="M18" i="71"/>
  <c r="M20" i="71"/>
  <c r="M19" i="71"/>
  <c r="M17" i="71"/>
  <c r="J40" i="39"/>
  <c r="C34" i="39"/>
  <c r="C12" i="39"/>
  <c r="K9" i="1"/>
  <c r="K12" i="1"/>
  <c r="M12" i="1"/>
  <c r="O12" i="1"/>
  <c r="F14" i="12"/>
  <c r="F15" i="12"/>
  <c r="E16" i="12"/>
  <c r="F17" i="12"/>
  <c r="BB11" i="3"/>
  <c r="BC11" i="3"/>
  <c r="BD11" i="3"/>
  <c r="BE11" i="3"/>
  <c r="BF11" i="3"/>
  <c r="BG11" i="3"/>
  <c r="BH11" i="3"/>
  <c r="BI11" i="3"/>
  <c r="BJ11" i="3"/>
  <c r="BK11" i="3"/>
  <c r="BM11" i="3"/>
  <c r="BN11" i="3"/>
  <c r="BO11" i="3"/>
  <c r="BP11" i="3"/>
  <c r="BQ11" i="3"/>
  <c r="BR11" i="3"/>
  <c r="BS11" i="3"/>
  <c r="BT11" i="3"/>
  <c r="F5" i="3"/>
  <c r="BB5" i="3"/>
  <c r="BC5" i="3"/>
  <c r="BE5" i="3"/>
  <c r="BF5" i="3"/>
  <c r="BG5" i="3"/>
  <c r="BH5" i="3"/>
  <c r="BI5" i="3"/>
  <c r="BJ5" i="3"/>
  <c r="BK5" i="3"/>
  <c r="E21" i="12"/>
  <c r="E22" i="12"/>
  <c r="F23" i="12"/>
  <c r="C9" i="12"/>
  <c r="D9" i="12"/>
  <c r="F24" i="12"/>
  <c r="B24" i="1"/>
  <c r="F29" i="12"/>
  <c r="F25" i="12"/>
  <c r="Q6" i="59"/>
  <c r="Q5" i="59"/>
  <c r="Q7" i="59"/>
  <c r="F7" i="59" s="1"/>
  <c r="Q8" i="59"/>
  <c r="Q9" i="59"/>
  <c r="Q10" i="59"/>
  <c r="Q11" i="59"/>
  <c r="Q12" i="59"/>
  <c r="F13" i="59" s="1"/>
  <c r="F14" i="59" s="1"/>
  <c r="Q13" i="59"/>
  <c r="Q14" i="59"/>
  <c r="Q15" i="59"/>
  <c r="AB13" i="59" s="1"/>
  <c r="Q16" i="59"/>
  <c r="F17" i="59" s="1"/>
  <c r="F18" i="59" s="1"/>
  <c r="Q17" i="59"/>
  <c r="Q18" i="59"/>
  <c r="Q19" i="59"/>
  <c r="AB17" i="59" s="1"/>
  <c r="Q20" i="59"/>
  <c r="F21" i="59" s="1"/>
  <c r="F22" i="59" s="1"/>
  <c r="Q21" i="59"/>
  <c r="Q22" i="59"/>
  <c r="P6" i="59"/>
  <c r="P5" i="59"/>
  <c r="P7" i="59"/>
  <c r="E7" i="59" s="1"/>
  <c r="U7" i="59" s="1"/>
  <c r="P8" i="59"/>
  <c r="P9" i="59"/>
  <c r="AA8" i="59" s="1"/>
  <c r="P10" i="59"/>
  <c r="P11" i="59"/>
  <c r="E11" i="59" s="1"/>
  <c r="E10" i="59" s="1"/>
  <c r="P12" i="59"/>
  <c r="E13" i="59" s="1"/>
  <c r="P13" i="59"/>
  <c r="P14" i="59"/>
  <c r="P15" i="59"/>
  <c r="P16" i="59"/>
  <c r="E17" i="59" s="1"/>
  <c r="P17" i="59"/>
  <c r="AA15" i="59" s="1"/>
  <c r="P18" i="59"/>
  <c r="P19" i="59"/>
  <c r="P20" i="59"/>
  <c r="E21" i="59" s="1"/>
  <c r="P21" i="59"/>
  <c r="AA19" i="59" s="1"/>
  <c r="P22" i="59"/>
  <c r="O6" i="59"/>
  <c r="O5" i="59"/>
  <c r="O7" i="59"/>
  <c r="O8" i="59"/>
  <c r="O9" i="59"/>
  <c r="Y7" i="59" s="1"/>
  <c r="O10" i="59"/>
  <c r="C10" i="59" s="1"/>
  <c r="O11" i="59"/>
  <c r="O12" i="59"/>
  <c r="O13" i="59"/>
  <c r="Y12" i="59" s="1"/>
  <c r="O14" i="59"/>
  <c r="Y13" i="59" s="1"/>
  <c r="Z13" i="59" s="1"/>
  <c r="O15" i="59"/>
  <c r="O16" i="59"/>
  <c r="O17" i="59"/>
  <c r="Y16" i="59" s="1"/>
  <c r="Z16" i="59" s="1"/>
  <c r="O18" i="59"/>
  <c r="Y15" i="59" s="1"/>
  <c r="Z15" i="59" s="1"/>
  <c r="O19" i="59"/>
  <c r="O20" i="59"/>
  <c r="O21" i="59"/>
  <c r="Y20" i="59" s="1"/>
  <c r="O22" i="59"/>
  <c r="Y22" i="59" s="1"/>
  <c r="N6" i="59"/>
  <c r="N5" i="59"/>
  <c r="N7" i="59"/>
  <c r="N8" i="59"/>
  <c r="N9" i="59"/>
  <c r="N10" i="59"/>
  <c r="N11" i="59"/>
  <c r="N12" i="59"/>
  <c r="N13" i="59"/>
  <c r="X13" i="59" s="1"/>
  <c r="N14" i="59"/>
  <c r="N15" i="59"/>
  <c r="N16" i="59"/>
  <c r="N17" i="59"/>
  <c r="X17" i="59" s="1"/>
  <c r="N18" i="59"/>
  <c r="N19" i="59"/>
  <c r="N20" i="59"/>
  <c r="N21" i="59"/>
  <c r="N22" i="59"/>
  <c r="C7" i="59"/>
  <c r="B7" i="59"/>
  <c r="B6" i="59" s="1"/>
  <c r="B5" i="59" s="1"/>
  <c r="D8" i="59"/>
  <c r="B11" i="59"/>
  <c r="C11" i="59"/>
  <c r="F11" i="59"/>
  <c r="D11" i="59"/>
  <c r="D12" i="59"/>
  <c r="B13" i="59"/>
  <c r="C13" i="59"/>
  <c r="D13" i="59"/>
  <c r="B14" i="59"/>
  <c r="C14" i="59"/>
  <c r="B15" i="59"/>
  <c r="S15" i="59" s="1"/>
  <c r="F15" i="59"/>
  <c r="D16" i="59"/>
  <c r="B17" i="59"/>
  <c r="C17" i="59"/>
  <c r="D17" i="59"/>
  <c r="B18" i="59"/>
  <c r="C18" i="59"/>
  <c r="B19" i="59"/>
  <c r="F19" i="59"/>
  <c r="V19" i="59" s="1"/>
  <c r="D20" i="59"/>
  <c r="B21" i="59"/>
  <c r="C21" i="59"/>
  <c r="D21" i="59"/>
  <c r="B22" i="59"/>
  <c r="C22" i="59"/>
  <c r="B23" i="59"/>
  <c r="S23" i="59" s="1"/>
  <c r="F23" i="59"/>
  <c r="V23" i="59" s="1"/>
  <c r="M19" i="46"/>
  <c r="G2" i="46"/>
  <c r="I17" i="46" s="1"/>
  <c r="G20" i="46"/>
  <c r="J20" i="46"/>
  <c r="I20" i="46"/>
  <c r="C20" i="46" s="1"/>
  <c r="C24" i="46"/>
  <c r="F37" i="46"/>
  <c r="D5" i="46"/>
  <c r="D19" i="4"/>
  <c r="F9" i="1"/>
  <c r="AP9" i="1" s="1"/>
  <c r="F12" i="1"/>
  <c r="AP12" i="1" s="1"/>
  <c r="G1" i="44"/>
  <c r="M48" i="44"/>
  <c r="J51" i="44"/>
  <c r="J52" i="44"/>
  <c r="C18" i="46"/>
  <c r="C10" i="46"/>
  <c r="C11" i="46" s="1"/>
  <c r="E15" i="46"/>
  <c r="E17" i="46"/>
  <c r="D47" i="46"/>
  <c r="D48" i="46"/>
  <c r="D49" i="46"/>
  <c r="D50" i="46"/>
  <c r="D51" i="46"/>
  <c r="D52" i="46"/>
  <c r="D53" i="46"/>
  <c r="D54" i="46"/>
  <c r="D55" i="46"/>
  <c r="D58" i="46"/>
  <c r="D59" i="46"/>
  <c r="D60" i="46"/>
  <c r="D61" i="46"/>
  <c r="D62" i="46"/>
  <c r="D63" i="46"/>
  <c r="D64" i="46"/>
  <c r="D65" i="46"/>
  <c r="D66" i="46"/>
  <c r="E58" i="46"/>
  <c r="D69" i="46"/>
  <c r="D70" i="46"/>
  <c r="D71" i="46"/>
  <c r="D72" i="46"/>
  <c r="E69" i="46" s="1"/>
  <c r="D73" i="46"/>
  <c r="D74" i="46"/>
  <c r="D75" i="46"/>
  <c r="D76" i="46"/>
  <c r="D77" i="46"/>
  <c r="D80" i="46"/>
  <c r="D81" i="46"/>
  <c r="E80" i="46" s="1"/>
  <c r="D82" i="46"/>
  <c r="D83" i="46"/>
  <c r="D84" i="46"/>
  <c r="D85" i="46"/>
  <c r="D86" i="46"/>
  <c r="D87" i="46"/>
  <c r="E99" i="46"/>
  <c r="F15" i="46"/>
  <c r="F47" i="46"/>
  <c r="F58" i="46"/>
  <c r="F69" i="46"/>
  <c r="F80" i="46"/>
  <c r="F99" i="46"/>
  <c r="F100" i="46" s="1"/>
  <c r="F113" i="46"/>
  <c r="H33" i="46"/>
  <c r="D1" i="46"/>
  <c r="C9" i="46"/>
  <c r="C15" i="46"/>
  <c r="C12" i="46" s="1"/>
  <c r="D15" i="46"/>
  <c r="C99" i="46"/>
  <c r="C100" i="46"/>
  <c r="C108" i="46"/>
  <c r="D99" i="46"/>
  <c r="D100" i="46"/>
  <c r="D108" i="46"/>
  <c r="H113" i="46"/>
  <c r="AB6" i="59"/>
  <c r="AA6" i="59"/>
  <c r="X6" i="59"/>
  <c r="L4" i="9"/>
  <c r="M4" i="9"/>
  <c r="K59" i="15"/>
  <c r="P75" i="15" s="1"/>
  <c r="Q74" i="44"/>
  <c r="Q61" i="44"/>
  <c r="Q60" i="44"/>
  <c r="Q53" i="44"/>
  <c r="A16" i="55"/>
  <c r="B67" i="63" s="1"/>
  <c r="A15" i="55"/>
  <c r="C43" i="9"/>
  <c r="K47" i="9" s="1"/>
  <c r="A14" i="55" s="1"/>
  <c r="B65" i="63" s="1"/>
  <c r="L24" i="4"/>
  <c r="A2" i="55" s="1"/>
  <c r="B55" i="63" s="1"/>
  <c r="L25" i="4"/>
  <c r="L26" i="4"/>
  <c r="A10" i="55"/>
  <c r="A9" i="55"/>
  <c r="A8" i="55"/>
  <c r="A6" i="54"/>
  <c r="A8" i="54"/>
  <c r="A7" i="54"/>
  <c r="C57" i="10"/>
  <c r="A28" i="51"/>
  <c r="N4" i="63" s="1"/>
  <c r="A27" i="51"/>
  <c r="B20" i="63" s="1"/>
  <c r="AB7" i="59"/>
  <c r="Z7" i="59"/>
  <c r="X7" i="59"/>
  <c r="AA7" i="59"/>
  <c r="K75" i="9"/>
  <c r="K6" i="4"/>
  <c r="K76" i="9" s="1"/>
  <c r="K77" i="9" s="1"/>
  <c r="K79" i="9" s="1"/>
  <c r="K81" i="9" s="1"/>
  <c r="L76" i="9"/>
  <c r="B22" i="31"/>
  <c r="E15" i="66"/>
  <c r="F15" i="66"/>
  <c r="E16" i="66"/>
  <c r="F16" i="66"/>
  <c r="E17" i="66"/>
  <c r="F17" i="66"/>
  <c r="E18" i="66"/>
  <c r="F18" i="66"/>
  <c r="E19" i="66"/>
  <c r="F19" i="66"/>
  <c r="E20" i="66"/>
  <c r="F20" i="66"/>
  <c r="E21" i="66"/>
  <c r="F21" i="66"/>
  <c r="E22" i="66"/>
  <c r="F22" i="66"/>
  <c r="E23" i="66"/>
  <c r="F23" i="66"/>
  <c r="B3" i="66"/>
  <c r="U11" i="59"/>
  <c r="T11" i="59"/>
  <c r="S11" i="59"/>
  <c r="S7" i="59"/>
  <c r="X12" i="59"/>
  <c r="Z12" i="59"/>
  <c r="AB12" i="59"/>
  <c r="X14" i="59"/>
  <c r="AB14" i="59"/>
  <c r="X15" i="59"/>
  <c r="AB15" i="59"/>
  <c r="X16" i="59"/>
  <c r="AB16" i="59"/>
  <c r="Y17" i="59"/>
  <c r="Z17" i="59" s="1"/>
  <c r="X18" i="59"/>
  <c r="Y18" i="59"/>
  <c r="Z18" i="59" s="1"/>
  <c r="AB18" i="59"/>
  <c r="X19" i="59"/>
  <c r="Y19" i="59"/>
  <c r="Z19" i="59" s="1"/>
  <c r="AB19" i="59"/>
  <c r="X20" i="59"/>
  <c r="Z20" i="59"/>
  <c r="AB20" i="59"/>
  <c r="AB21" i="59"/>
  <c r="AA21" i="59"/>
  <c r="X21" i="59"/>
  <c r="S2" i="31"/>
  <c r="M2" i="31"/>
  <c r="N2" i="31"/>
  <c r="O2" i="31"/>
  <c r="P2" i="31"/>
  <c r="Q2" i="31"/>
  <c r="R2" i="31"/>
  <c r="C3" i="65"/>
  <c r="B76" i="63"/>
  <c r="M5" i="54"/>
  <c r="B41" i="63" s="1"/>
  <c r="A23" i="51"/>
  <c r="B17" i="63" s="1"/>
  <c r="Y12" i="46"/>
  <c r="AA9" i="46"/>
  <c r="AA10" i="46" s="1"/>
  <c r="AB9" i="46"/>
  <c r="AB12" i="46" s="1"/>
  <c r="AC9" i="46"/>
  <c r="AC10" i="46" s="1"/>
  <c r="AD9" i="46"/>
  <c r="AE9" i="46"/>
  <c r="AE12" i="46" s="1"/>
  <c r="AF9" i="46"/>
  <c r="AF10" i="46" s="1"/>
  <c r="AG9" i="46"/>
  <c r="AG10" i="46" s="1"/>
  <c r="AH9" i="46"/>
  <c r="AI9" i="46"/>
  <c r="AJ9" i="46"/>
  <c r="AJ12" i="46" s="1"/>
  <c r="Z9" i="46"/>
  <c r="Z10" i="46" s="1"/>
  <c r="AI10" i="46"/>
  <c r="AH10" i="46"/>
  <c r="AE10" i="46"/>
  <c r="AD10" i="46"/>
  <c r="AB10" i="46"/>
  <c r="Y10" i="46"/>
  <c r="AH12" i="46"/>
  <c r="AF12" i="46"/>
  <c r="AD12" i="46"/>
  <c r="Z12" i="46"/>
  <c r="AI12" i="46"/>
  <c r="AG12" i="46"/>
  <c r="AC12" i="46"/>
  <c r="AA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c r="B26" i="63"/>
  <c r="B28" i="63"/>
  <c r="B29" i="63"/>
  <c r="B31" i="63"/>
  <c r="B33" i="63"/>
  <c r="B35" i="63"/>
  <c r="B36" i="63"/>
  <c r="B37" i="63"/>
  <c r="B63" i="63"/>
  <c r="B64" i="63"/>
  <c r="B68" i="63"/>
  <c r="D51" i="10"/>
  <c r="B61" i="63"/>
  <c r="B60" i="63"/>
  <c r="B59" i="63"/>
  <c r="B51" i="10"/>
  <c r="A15" i="51"/>
  <c r="B12" i="63" s="1"/>
  <c r="A14" i="51"/>
  <c r="B11" i="63" s="1"/>
  <c r="B66" i="63"/>
  <c r="A4" i="55"/>
  <c r="B57" i="63" s="1"/>
  <c r="G5" i="54"/>
  <c r="B34" i="63" s="1"/>
  <c r="E5" i="54"/>
  <c r="B32" i="63" s="1"/>
  <c r="R2" i="54"/>
  <c r="B24" i="63"/>
  <c r="B49" i="50"/>
  <c r="B5" i="63"/>
  <c r="B40" i="50"/>
  <c r="B3" i="63" s="1"/>
  <c r="B21" i="63"/>
  <c r="I19" i="46"/>
  <c r="D72" i="59"/>
  <c r="F71" i="59"/>
  <c r="F70" i="59" s="1"/>
  <c r="E71" i="59"/>
  <c r="E70" i="59"/>
  <c r="E69" i="59" s="1"/>
  <c r="C71" i="59"/>
  <c r="D71" i="59"/>
  <c r="B71" i="59"/>
  <c r="B70" i="59" s="1"/>
  <c r="B69" i="59" s="1"/>
  <c r="F69" i="59"/>
  <c r="D68" i="59"/>
  <c r="F67" i="59"/>
  <c r="F66" i="59" s="1"/>
  <c r="F65" i="59" s="1"/>
  <c r="E67" i="59"/>
  <c r="E66" i="59"/>
  <c r="E65" i="59" s="1"/>
  <c r="C67" i="59"/>
  <c r="C66" i="59" s="1"/>
  <c r="D67" i="59"/>
  <c r="B67" i="59"/>
  <c r="B66" i="59"/>
  <c r="B65" i="59"/>
  <c r="D64" i="59"/>
  <c r="Q63" i="59"/>
  <c r="P63" i="59"/>
  <c r="O63" i="59"/>
  <c r="N63" i="59"/>
  <c r="F63" i="59"/>
  <c r="V63" i="59" s="1"/>
  <c r="E63" i="59"/>
  <c r="U63" i="59" s="1"/>
  <c r="C63" i="59"/>
  <c r="D63" i="59" s="1"/>
  <c r="T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c r="C59" i="59"/>
  <c r="D59" i="59" s="1"/>
  <c r="B59" i="59"/>
  <c r="S59" i="59"/>
  <c r="Q58" i="59"/>
  <c r="P58" i="59"/>
  <c r="O58" i="59"/>
  <c r="N58" i="59"/>
  <c r="F58" i="59"/>
  <c r="F57" i="59" s="1"/>
  <c r="B58" i="59"/>
  <c r="B57" i="59"/>
  <c r="Q57" i="59"/>
  <c r="P57" i="59"/>
  <c r="O57" i="59"/>
  <c r="N57" i="59"/>
  <c r="Q56" i="59"/>
  <c r="P56" i="59"/>
  <c r="O56" i="59"/>
  <c r="N56" i="59"/>
  <c r="D56" i="59"/>
  <c r="Q55" i="59"/>
  <c r="P55" i="59"/>
  <c r="O55" i="59"/>
  <c r="N55" i="59"/>
  <c r="F55" i="59"/>
  <c r="V55" i="59" s="1"/>
  <c r="E55" i="59"/>
  <c r="E54" i="59" s="1"/>
  <c r="E53" i="59" s="1"/>
  <c r="C55" i="59"/>
  <c r="B55" i="59"/>
  <c r="S55" i="59"/>
  <c r="Q54" i="59"/>
  <c r="P54" i="59"/>
  <c r="O54" i="59"/>
  <c r="N54" i="59"/>
  <c r="F54" i="59"/>
  <c r="F53" i="59" s="1"/>
  <c r="B54" i="59"/>
  <c r="B53" i="59" s="1"/>
  <c r="Q53" i="59"/>
  <c r="P53" i="59"/>
  <c r="O53" i="59"/>
  <c r="N53" i="59"/>
  <c r="Q52" i="59"/>
  <c r="P52" i="59"/>
  <c r="O52" i="59"/>
  <c r="N52" i="59"/>
  <c r="D52" i="59"/>
  <c r="F51" i="59"/>
  <c r="V51" i="59"/>
  <c r="E51" i="59"/>
  <c r="E50" i="59"/>
  <c r="P50" i="59" s="1"/>
  <c r="C51" i="59"/>
  <c r="D51" i="59" s="1"/>
  <c r="B51" i="59"/>
  <c r="S51" i="59" s="1"/>
  <c r="F50" i="59"/>
  <c r="F49" i="59"/>
  <c r="Q48" i="59" s="1"/>
  <c r="Q49"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c r="C46" i="59" s="1"/>
  <c r="D46" i="59" s="1"/>
  <c r="N44" i="59"/>
  <c r="B45" i="59" s="1"/>
  <c r="B46" i="59"/>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D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D38"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E34" i="59" s="1"/>
  <c r="E35" i="59" s="1"/>
  <c r="U35" i="59" s="1"/>
  <c r="O32" i="59"/>
  <c r="C33" i="59"/>
  <c r="C34" i="59" s="1"/>
  <c r="N32" i="59"/>
  <c r="B33" i="59"/>
  <c r="B34" i="59" s="1"/>
  <c r="B35" i="59" s="1"/>
  <c r="S35" i="59" s="1"/>
  <c r="D32" i="59"/>
  <c r="T31" i="59"/>
  <c r="Q31" i="59"/>
  <c r="P31" i="59"/>
  <c r="O31" i="59"/>
  <c r="N31" i="59"/>
  <c r="D31" i="59"/>
  <c r="Q30" i="59"/>
  <c r="P30" i="59"/>
  <c r="O30" i="59"/>
  <c r="N30" i="59"/>
  <c r="Q29" i="59"/>
  <c r="P29" i="59"/>
  <c r="O29" i="59"/>
  <c r="C30" i="59" s="1"/>
  <c r="D30" i="59" s="1"/>
  <c r="N29" i="59"/>
  <c r="Q28" i="59"/>
  <c r="F29" i="59" s="1"/>
  <c r="F30" i="59" s="1"/>
  <c r="F31" i="59" s="1"/>
  <c r="V31" i="59" s="1"/>
  <c r="P28" i="59"/>
  <c r="E29" i="59" s="1"/>
  <c r="E30" i="59" s="1"/>
  <c r="E31" i="59" s="1"/>
  <c r="U31" i="59" s="1"/>
  <c r="O28" i="59"/>
  <c r="C29" i="59"/>
  <c r="N28" i="59"/>
  <c r="B29" i="59" s="1"/>
  <c r="B30" i="59" s="1"/>
  <c r="B31" i="59" s="1"/>
  <c r="S31" i="59" s="1"/>
  <c r="D28" i="59"/>
  <c r="Q27" i="59"/>
  <c r="P27" i="59"/>
  <c r="O27" i="59"/>
  <c r="N27" i="59"/>
  <c r="Q26" i="59"/>
  <c r="P26" i="59"/>
  <c r="O26" i="59"/>
  <c r="N26" i="59"/>
  <c r="Q25" i="59"/>
  <c r="P25" i="59"/>
  <c r="O25" i="59"/>
  <c r="N25" i="59"/>
  <c r="Q24" i="59"/>
  <c r="F25" i="59"/>
  <c r="F26" i="59" s="1"/>
  <c r="F27" i="59" s="1"/>
  <c r="V27" i="59" s="1"/>
  <c r="P24" i="59"/>
  <c r="E25" i="59"/>
  <c r="O24" i="59"/>
  <c r="C25" i="59" s="1"/>
  <c r="N24" i="59"/>
  <c r="B25" i="59" s="1"/>
  <c r="B26" i="59" s="1"/>
  <c r="B27" i="59" s="1"/>
  <c r="S27" i="59" s="1"/>
  <c r="D24" i="59"/>
  <c r="Q23" i="59"/>
  <c r="P23" i="59"/>
  <c r="O23" i="59"/>
  <c r="N23" i="59"/>
  <c r="AB22" i="59"/>
  <c r="Z22" i="59"/>
  <c r="X22" i="59"/>
  <c r="S19" i="59"/>
  <c r="X3" i="59"/>
  <c r="X9" i="59"/>
  <c r="X10" i="59"/>
  <c r="X11" i="59"/>
  <c r="Y8" i="59"/>
  <c r="Z8" i="59" s="1"/>
  <c r="Y9" i="59"/>
  <c r="Z9" i="59" s="1"/>
  <c r="Y10" i="59"/>
  <c r="Z10" i="59"/>
  <c r="Y11" i="59"/>
  <c r="Z11" i="59" s="1"/>
  <c r="Y3" i="59"/>
  <c r="Z3" i="59" s="1"/>
  <c r="AB11" i="59"/>
  <c r="AB8" i="59"/>
  <c r="AB9" i="59"/>
  <c r="AB10" i="59"/>
  <c r="AA22" i="59"/>
  <c r="V15" i="59"/>
  <c r="C26" i="59"/>
  <c r="D26" i="59" s="1"/>
  <c r="D25" i="59"/>
  <c r="D29" i="59"/>
  <c r="D37" i="59"/>
  <c r="C42" i="59"/>
  <c r="D42" i="59" s="1"/>
  <c r="D45" i="59"/>
  <c r="Q50" i="59"/>
  <c r="T51" i="59"/>
  <c r="O51" i="59"/>
  <c r="C50" i="59"/>
  <c r="C49" i="59" s="1"/>
  <c r="O49" i="59" s="1"/>
  <c r="P51" i="59"/>
  <c r="U51" i="59"/>
  <c r="Q51" i="59"/>
  <c r="C54" i="59"/>
  <c r="D54" i="59" s="1"/>
  <c r="E58" i="59"/>
  <c r="E57" i="59" s="1"/>
  <c r="C62" i="59"/>
  <c r="D62" i="59" s="1"/>
  <c r="C70" i="59"/>
  <c r="C69" i="59" s="1"/>
  <c r="U16" i="4"/>
  <c r="S16" i="4"/>
  <c r="Q16" i="4"/>
  <c r="O16" i="4"/>
  <c r="M16" i="4"/>
  <c r="K16" i="4"/>
  <c r="D69" i="59"/>
  <c r="C61" i="59"/>
  <c r="D61" i="59" s="1"/>
  <c r="C53" i="59"/>
  <c r="D53" i="59" s="1"/>
  <c r="C47" i="59"/>
  <c r="D47" i="59" s="1"/>
  <c r="C43" i="59"/>
  <c r="D43" i="59" s="1"/>
  <c r="C27" i="59"/>
  <c r="D27" i="59" s="1"/>
  <c r="L16" i="4"/>
  <c r="T47" i="59"/>
  <c r="O27" i="6"/>
  <c r="N27" i="6"/>
  <c r="P26" i="6"/>
  <c r="L26" i="6"/>
  <c r="P25" i="6"/>
  <c r="L25" i="6"/>
  <c r="P24" i="6"/>
  <c r="P23" i="6"/>
  <c r="P22" i="6"/>
  <c r="L22" i="6"/>
  <c r="P21" i="6"/>
  <c r="P20" i="6"/>
  <c r="P19" i="6"/>
  <c r="Q18" i="36"/>
  <c r="Z18" i="36" s="1"/>
  <c r="C18" i="36"/>
  <c r="D66" i="36"/>
  <c r="F18" i="36"/>
  <c r="AA18" i="36" s="1"/>
  <c r="Q18" i="35"/>
  <c r="Z18" i="35" s="1"/>
  <c r="F18" i="35"/>
  <c r="S18" i="35" s="1"/>
  <c r="AA18" i="35"/>
  <c r="C18" i="35"/>
  <c r="D68" i="35"/>
  <c r="E68" i="35"/>
  <c r="F68" i="35"/>
  <c r="G68" i="35" s="1"/>
  <c r="Q21" i="37"/>
  <c r="Z21" i="37"/>
  <c r="F21" i="37"/>
  <c r="AA21" i="37" s="1"/>
  <c r="C21" i="37"/>
  <c r="D77" i="37"/>
  <c r="E77" i="37"/>
  <c r="F77" i="37" s="1"/>
  <c r="G77" i="37" s="1"/>
  <c r="Q21" i="34"/>
  <c r="Z21" i="34" s="1"/>
  <c r="C21" i="34"/>
  <c r="D84" i="34"/>
  <c r="F21" i="34"/>
  <c r="AA21" i="34" s="1"/>
  <c r="Q21" i="33"/>
  <c r="Z21" i="33" s="1"/>
  <c r="C21" i="33"/>
  <c r="D83" i="33"/>
  <c r="E83" i="33" s="1"/>
  <c r="F83" i="33" s="1"/>
  <c r="G83" i="33" s="1"/>
  <c r="Q21" i="21"/>
  <c r="Z21" i="21"/>
  <c r="E83" i="21"/>
  <c r="C21" i="21"/>
  <c r="Q27" i="40"/>
  <c r="Z27" i="40"/>
  <c r="D96" i="40"/>
  <c r="E96" i="40"/>
  <c r="F96" i="40" s="1"/>
  <c r="F27" i="40"/>
  <c r="S27" i="40" s="1"/>
  <c r="AA27" i="40"/>
  <c r="Q31" i="39"/>
  <c r="Z31" i="39"/>
  <c r="E105" i="39"/>
  <c r="G20" i="20"/>
  <c r="B85" i="46" s="1"/>
  <c r="C22" i="20"/>
  <c r="B54" i="46" s="1"/>
  <c r="B65" i="46"/>
  <c r="S21" i="21"/>
  <c r="C27" i="40"/>
  <c r="C31" i="39"/>
  <c r="B74" i="46"/>
  <c r="E66" i="36"/>
  <c r="H18" i="35"/>
  <c r="J18" i="35"/>
  <c r="H21" i="37"/>
  <c r="J21" i="37"/>
  <c r="E84" i="34"/>
  <c r="F84" i="34" s="1"/>
  <c r="G84" i="34" s="1"/>
  <c r="J21" i="34"/>
  <c r="H21" i="34"/>
  <c r="F21" i="33"/>
  <c r="H21" i="33"/>
  <c r="J21" i="33"/>
  <c r="F83" i="21"/>
  <c r="G83" i="21" s="1"/>
  <c r="H27" i="40"/>
  <c r="F105" i="39"/>
  <c r="D22" i="15"/>
  <c r="G17" i="11"/>
  <c r="D23" i="15"/>
  <c r="F60" i="15"/>
  <c r="K2" i="4"/>
  <c r="K1" i="4"/>
  <c r="B1" i="4"/>
  <c r="B37" i="50" s="1"/>
  <c r="B2" i="63"/>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H81" i="46"/>
  <c r="G99" i="46"/>
  <c r="G108" i="46" s="1"/>
  <c r="H99" i="46"/>
  <c r="H108" i="46" s="1"/>
  <c r="I99" i="46"/>
  <c r="I108" i="46" s="1"/>
  <c r="J99" i="46"/>
  <c r="J108" i="46"/>
  <c r="K99" i="46"/>
  <c r="K108" i="46" s="1"/>
  <c r="L99" i="46"/>
  <c r="L100" i="46" s="1"/>
  <c r="M99" i="46"/>
  <c r="M108" i="46"/>
  <c r="N99" i="46"/>
  <c r="N108" i="46"/>
  <c r="K100" i="46"/>
  <c r="K58" i="46"/>
  <c r="J58" i="46"/>
  <c r="K50" i="46"/>
  <c r="J50" i="46" s="1"/>
  <c r="B83" i="46"/>
  <c r="B82" i="46"/>
  <c r="B71" i="46"/>
  <c r="B60" i="46"/>
  <c r="B49" i="46"/>
  <c r="M87" i="46"/>
  <c r="N87" i="46"/>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c r="M71" i="46"/>
  <c r="N71" i="46" s="1"/>
  <c r="K71" i="46"/>
  <c r="J71" i="46" s="1"/>
  <c r="M70" i="46"/>
  <c r="N70" i="46" s="1"/>
  <c r="K70" i="46"/>
  <c r="J70" i="46"/>
  <c r="M69" i="46"/>
  <c r="N69" i="46" s="1"/>
  <c r="K69" i="46"/>
  <c r="J69" i="46" s="1"/>
  <c r="M66" i="46"/>
  <c r="N66" i="46" s="1"/>
  <c r="K66" i="46"/>
  <c r="M65" i="46"/>
  <c r="N65" i="46" s="1"/>
  <c r="K65" i="46"/>
  <c r="J65" i="46"/>
  <c r="M64" i="46"/>
  <c r="N64" i="46" s="1"/>
  <c r="K64" i="46"/>
  <c r="J64" i="46"/>
  <c r="M63" i="46"/>
  <c r="N63" i="46" s="1"/>
  <c r="K63" i="46"/>
  <c r="J63" i="46"/>
  <c r="M62" i="46"/>
  <c r="N62" i="46" s="1"/>
  <c r="K62" i="46"/>
  <c r="J62" i="46"/>
  <c r="M61" i="46"/>
  <c r="N61" i="46" s="1"/>
  <c r="K61" i="46"/>
  <c r="J61" i="46"/>
  <c r="M60" i="46"/>
  <c r="N60" i="46" s="1"/>
  <c r="K60" i="46"/>
  <c r="J60" i="46"/>
  <c r="M59" i="46"/>
  <c r="N59" i="46" s="1"/>
  <c r="K59" i="46"/>
  <c r="J59" i="46"/>
  <c r="M58" i="46"/>
  <c r="N58" i="46" s="1"/>
  <c r="M55" i="46"/>
  <c r="N55" i="46"/>
  <c r="K55" i="46"/>
  <c r="J55" i="46" s="1"/>
  <c r="M54" i="46"/>
  <c r="N54" i="46" s="1"/>
  <c r="K54" i="46"/>
  <c r="J54" i="46" s="1"/>
  <c r="M53" i="46"/>
  <c r="N53" i="46"/>
  <c r="K53" i="46"/>
  <c r="J53" i="46"/>
  <c r="M52" i="46"/>
  <c r="N52" i="46"/>
  <c r="K52" i="46"/>
  <c r="J52" i="46"/>
  <c r="M51" i="46"/>
  <c r="N51" i="46"/>
  <c r="K51" i="46"/>
  <c r="M50" i="46"/>
  <c r="N50" i="46" s="1"/>
  <c r="M49" i="46"/>
  <c r="N49" i="46" s="1"/>
  <c r="K49" i="46"/>
  <c r="J49" i="46"/>
  <c r="M48" i="46"/>
  <c r="N48" i="46" s="1"/>
  <c r="K48" i="46"/>
  <c r="J48" i="46" s="1"/>
  <c r="M47" i="46"/>
  <c r="N47" i="46" s="1"/>
  <c r="K47" i="46"/>
  <c r="J47" i="46"/>
  <c r="J51" i="46"/>
  <c r="N86" i="46"/>
  <c r="N73" i="46"/>
  <c r="J66" i="46"/>
  <c r="Q73" i="15"/>
  <c r="Q60" i="15"/>
  <c r="Q59" i="15"/>
  <c r="Q52" i="15"/>
  <c r="AE9" i="1"/>
  <c r="AE12" i="1"/>
  <c r="AE13" i="1"/>
  <c r="AG9"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3" i="1"/>
  <c r="G13" i="1" s="1"/>
  <c r="D12" i="1"/>
  <c r="D13" i="1"/>
  <c r="D6" i="1"/>
  <c r="D9" i="1"/>
  <c r="R12" i="1"/>
  <c r="B13" i="1"/>
  <c r="E13" i="1" s="1"/>
  <c r="BB10" i="3"/>
  <c r="BC10" i="3"/>
  <c r="BD10" i="3"/>
  <c r="BE10" i="3"/>
  <c r="BF10" i="3"/>
  <c r="BG10" i="3"/>
  <c r="BH10" i="3"/>
  <c r="BI10" i="3"/>
  <c r="BJ10" i="3"/>
  <c r="BK10" i="3"/>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45" i="21" s="1"/>
  <c r="K139" i="2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N3" i="54"/>
  <c r="B42" i="63"/>
  <c r="A2" i="9"/>
  <c r="T16" i="4"/>
  <c r="D14" i="4"/>
  <c r="G36" i="4"/>
  <c r="K2" i="54"/>
  <c r="B23" i="63" s="1"/>
  <c r="A3" i="51"/>
  <c r="R41" i="4"/>
  <c r="Q41" i="4"/>
  <c r="P41" i="4"/>
  <c r="O41" i="4"/>
  <c r="N41" i="4"/>
  <c r="M41" i="4"/>
  <c r="L41" i="4"/>
  <c r="K40" i="4"/>
  <c r="T40" i="4"/>
  <c r="F23" i="4"/>
  <c r="I19" i="4"/>
  <c r="H19" i="4"/>
  <c r="B2" i="52"/>
  <c r="E22" i="52" s="1"/>
  <c r="I2" i="46"/>
  <c r="N12" i="46"/>
  <c r="A7" i="46"/>
  <c r="F41" i="4"/>
  <c r="J52" i="40" s="1"/>
  <c r="H61" i="49"/>
  <c r="H39" i="46"/>
  <c r="H38" i="46"/>
  <c r="H37" i="46"/>
  <c r="H36" i="46"/>
  <c r="H35" i="46"/>
  <c r="H34" i="46"/>
  <c r="D38" i="4"/>
  <c r="C39" i="4" s="1"/>
  <c r="C35" i="4"/>
  <c r="I73" i="9"/>
  <c r="F73" i="9"/>
  <c r="P73" i="9" s="1"/>
  <c r="D107" i="9"/>
  <c r="C107" i="9" s="1"/>
  <c r="C105"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s="1"/>
  <c r="H11" i="39"/>
  <c r="AB11" i="39" s="1"/>
  <c r="H36" i="39"/>
  <c r="AB36" i="39" s="1"/>
  <c r="H40" i="39"/>
  <c r="AB40"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c r="B23" i="1"/>
  <c r="C11" i="11"/>
  <c r="C10" i="11" s="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c r="E48" i="37"/>
  <c r="F48" i="37" s="1"/>
  <c r="I55" i="34"/>
  <c r="J55" i="34"/>
  <c r="G55" i="34"/>
  <c r="H55" i="34" s="1"/>
  <c r="E55" i="34"/>
  <c r="F55" i="34" s="1"/>
  <c r="I50" i="40"/>
  <c r="J50" i="40" s="1"/>
  <c r="G50" i="40"/>
  <c r="H50" i="40"/>
  <c r="E50" i="40"/>
  <c r="F50" i="40" s="1"/>
  <c r="I55" i="39"/>
  <c r="J55" i="39"/>
  <c r="G55" i="39"/>
  <c r="H55" i="39" s="1"/>
  <c r="E55" i="39"/>
  <c r="F55" i="39"/>
  <c r="I42" i="36"/>
  <c r="J42" i="36" s="1"/>
  <c r="G42" i="36"/>
  <c r="H42" i="36" s="1"/>
  <c r="E42" i="36"/>
  <c r="F42" i="36" s="1"/>
  <c r="I44" i="35"/>
  <c r="J44" i="35" s="1"/>
  <c r="G44" i="35"/>
  <c r="H44" i="35" s="1"/>
  <c r="E44" i="35"/>
  <c r="F44" i="35"/>
  <c r="I54" i="33"/>
  <c r="J54" i="33" s="1"/>
  <c r="G54" i="33"/>
  <c r="E54" i="33"/>
  <c r="F54" i="33" s="1"/>
  <c r="H9" i="12"/>
  <c r="I9" i="12"/>
  <c r="J9" i="12"/>
  <c r="K9" i="12"/>
  <c r="G111" i="21"/>
  <c r="H111" i="21"/>
  <c r="J30" i="36"/>
  <c r="H30" i="36"/>
  <c r="U30" i="36" s="1"/>
  <c r="F30" i="36"/>
  <c r="AA30" i="36" s="1"/>
  <c r="C26" i="35"/>
  <c r="C79" i="35" s="1"/>
  <c r="J31" i="35"/>
  <c r="H31" i="35"/>
  <c r="F31" i="35"/>
  <c r="D87" i="35"/>
  <c r="E87" i="35"/>
  <c r="F87" i="35"/>
  <c r="G87" i="35" s="1"/>
  <c r="H87" i="35" s="1"/>
  <c r="I87" i="35" s="1"/>
  <c r="J87" i="35" s="1"/>
  <c r="K87" i="35" s="1"/>
  <c r="L87" i="35" s="1"/>
  <c r="M87" i="35" s="1"/>
  <c r="H34" i="37"/>
  <c r="AB34" i="37"/>
  <c r="D101" i="37"/>
  <c r="F34" i="37"/>
  <c r="AA34" i="37" s="1"/>
  <c r="D99" i="37"/>
  <c r="E99" i="37"/>
  <c r="H42" i="34"/>
  <c r="J42" i="34"/>
  <c r="W42" i="34" s="1"/>
  <c r="F42" i="34"/>
  <c r="J38" i="34"/>
  <c r="D114" i="34"/>
  <c r="F38" i="34"/>
  <c r="AA38" i="34" s="1"/>
  <c r="D112" i="34"/>
  <c r="E112" i="34"/>
  <c r="F112" i="34" s="1"/>
  <c r="G112" i="34"/>
  <c r="H112" i="34"/>
  <c r="I112" i="34" s="1"/>
  <c r="J112" i="34" s="1"/>
  <c r="K112" i="34" s="1"/>
  <c r="L112" i="34" s="1"/>
  <c r="M112" i="34" s="1"/>
  <c r="F40" i="33"/>
  <c r="J41" i="33"/>
  <c r="AC41" i="33"/>
  <c r="D113" i="33"/>
  <c r="F37" i="33"/>
  <c r="AA37" i="33"/>
  <c r="D111" i="33"/>
  <c r="E111" i="33" s="1"/>
  <c r="F111" i="33" s="1"/>
  <c r="G111" i="33" s="1"/>
  <c r="H111" i="33" s="1"/>
  <c r="I111" i="33" s="1"/>
  <c r="J111" i="33" s="1"/>
  <c r="K111" i="33" s="1"/>
  <c r="L111" i="33" s="1"/>
  <c r="M111" i="33" s="1"/>
  <c r="S515" i="31"/>
  <c r="S517" i="31"/>
  <c r="S519" i="31"/>
  <c r="S521" i="31"/>
  <c r="S523" i="31"/>
  <c r="U41" i="21"/>
  <c r="M83" i="39"/>
  <c r="D78" i="40"/>
  <c r="F13" i="40"/>
  <c r="S13" i="40"/>
  <c r="B122" i="40"/>
  <c r="F42" i="40"/>
  <c r="AA42" i="40" s="1"/>
  <c r="B120" i="40"/>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s="1"/>
  <c r="I102" i="40" s="1"/>
  <c r="J102" i="40" s="1"/>
  <c r="K102" i="40" s="1"/>
  <c r="L102" i="40" s="1"/>
  <c r="M102" i="40" s="1"/>
  <c r="D100" i="40"/>
  <c r="E100" i="40" s="1"/>
  <c r="F100" i="40" s="1"/>
  <c r="D98" i="40"/>
  <c r="E98" i="40"/>
  <c r="B97" i="40"/>
  <c r="D94" i="40"/>
  <c r="D92" i="40"/>
  <c r="D90" i="40"/>
  <c r="H21" i="40"/>
  <c r="AB21" i="40" s="1"/>
  <c r="D88" i="40"/>
  <c r="E88" i="40"/>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c r="Q13" i="40"/>
  <c r="Z13" i="40" s="1"/>
  <c r="Q12" i="40"/>
  <c r="Z12" i="40" s="1"/>
  <c r="Q11" i="40"/>
  <c r="Z11" i="40" s="1"/>
  <c r="C9" i="40"/>
  <c r="C65" i="40" s="1"/>
  <c r="H126" i="39"/>
  <c r="I126" i="39" s="1"/>
  <c r="J126" i="39"/>
  <c r="K126" i="39"/>
  <c r="L126" i="39"/>
  <c r="M126" i="39" s="1"/>
  <c r="D122" i="39"/>
  <c r="E122" i="39"/>
  <c r="F122" i="39"/>
  <c r="G122" i="39" s="1"/>
  <c r="H122" i="39"/>
  <c r="I122" i="39" s="1"/>
  <c r="J122" i="39" s="1"/>
  <c r="K122" i="39" s="1"/>
  <c r="L122" i="39" s="1"/>
  <c r="M122" i="39" s="1"/>
  <c r="D111" i="39"/>
  <c r="E111" i="39" s="1"/>
  <c r="F111" i="39"/>
  <c r="G111" i="39"/>
  <c r="H111" i="39" s="1"/>
  <c r="I111" i="39" s="1"/>
  <c r="J111" i="39" s="1"/>
  <c r="K111" i="39" s="1"/>
  <c r="L111" i="39" s="1"/>
  <c r="M111" i="39" s="1"/>
  <c r="F109" i="39"/>
  <c r="G109" i="39" s="1"/>
  <c r="H109" i="39" s="1"/>
  <c r="I109" i="39" s="1"/>
  <c r="J109" i="39" s="1"/>
  <c r="K109" i="39" s="1"/>
  <c r="L109" i="39" s="1"/>
  <c r="M109" i="39" s="1"/>
  <c r="F107" i="39"/>
  <c r="G107" i="39"/>
  <c r="H107" i="39" s="1"/>
  <c r="I107" i="39" s="1"/>
  <c r="J107" i="39" s="1"/>
  <c r="K107" i="39" s="1"/>
  <c r="L107" i="39" s="1"/>
  <c r="M107"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D128" i="39"/>
  <c r="D124" i="39"/>
  <c r="E124" i="39"/>
  <c r="F124" i="39"/>
  <c r="G124" i="39" s="1"/>
  <c r="H124" i="39" s="1"/>
  <c r="I124" i="39" s="1"/>
  <c r="J124" i="39" s="1"/>
  <c r="K124" i="39" s="1"/>
  <c r="L124" i="39" s="1"/>
  <c r="M124" i="39" s="1"/>
  <c r="E99" i="39"/>
  <c r="F99" i="39" s="1"/>
  <c r="G99" i="39"/>
  <c r="D97" i="39"/>
  <c r="E95" i="39"/>
  <c r="F95" i="39" s="1"/>
  <c r="G95" i="39" s="1"/>
  <c r="E93" i="39"/>
  <c r="F93" i="39"/>
  <c r="G93" i="39" s="1"/>
  <c r="D91" i="39"/>
  <c r="E91" i="39" s="1"/>
  <c r="F91" i="39" s="1"/>
  <c r="G91" i="39" s="1"/>
  <c r="M81" i="39"/>
  <c r="L81" i="39"/>
  <c r="K81" i="39"/>
  <c r="J81" i="39"/>
  <c r="I81" i="39"/>
  <c r="H81" i="39"/>
  <c r="G81" i="39"/>
  <c r="F81" i="39"/>
  <c r="E81" i="39"/>
  <c r="D81" i="39"/>
  <c r="C81" i="39"/>
  <c r="P50" i="39"/>
  <c r="P49" i="39"/>
  <c r="V48" i="39"/>
  <c r="T48" i="39"/>
  <c r="P48" i="39"/>
  <c r="Q37" i="39"/>
  <c r="Z37" i="39"/>
  <c r="Q36" i="39"/>
  <c r="Z36" i="39" s="1"/>
  <c r="Q34" i="39"/>
  <c r="Z34" i="39"/>
  <c r="Q33" i="39"/>
  <c r="Z33" i="39" s="1"/>
  <c r="Q29" i="39"/>
  <c r="Z29" i="39"/>
  <c r="Q27" i="39"/>
  <c r="Z27" i="39" s="1"/>
  <c r="Q25" i="39"/>
  <c r="Z25" i="39" s="1"/>
  <c r="Q23" i="39"/>
  <c r="Z23" i="39" s="1"/>
  <c r="Q21" i="39"/>
  <c r="Z21" i="39"/>
  <c r="Q19" i="39"/>
  <c r="Z19" i="39" s="1"/>
  <c r="Q17" i="39"/>
  <c r="Z17" i="39"/>
  <c r="Q16" i="39"/>
  <c r="Z16" i="39" s="1"/>
  <c r="Q15" i="39"/>
  <c r="Z15" i="39"/>
  <c r="Q14" i="39"/>
  <c r="Z14" i="39" s="1"/>
  <c r="Q13" i="39"/>
  <c r="Z13" i="39" s="1"/>
  <c r="Q12" i="39"/>
  <c r="Z12" i="39" s="1"/>
  <c r="Q11" i="39"/>
  <c r="Z11" i="39" s="1"/>
  <c r="U10" i="39"/>
  <c r="C20" i="36"/>
  <c r="C20" i="35"/>
  <c r="C16" i="36"/>
  <c r="C16" i="35"/>
  <c r="C14" i="36"/>
  <c r="C14" i="35"/>
  <c r="B80" i="37"/>
  <c r="B110" i="37"/>
  <c r="J39" i="37"/>
  <c r="W39" i="37" s="1"/>
  <c r="B108" i="37"/>
  <c r="C23" i="37"/>
  <c r="C19" i="37"/>
  <c r="C17" i="37"/>
  <c r="C15" i="37"/>
  <c r="B112" i="37"/>
  <c r="D107" i="37"/>
  <c r="E107" i="37" s="1"/>
  <c r="F107" i="37" s="1"/>
  <c r="G107" i="37" s="1"/>
  <c r="H107" i="37" s="1"/>
  <c r="I107" i="37" s="1"/>
  <c r="J107" i="37" s="1"/>
  <c r="K107" i="37" s="1"/>
  <c r="L107" i="37" s="1"/>
  <c r="M107" i="37" s="1"/>
  <c r="D105" i="37"/>
  <c r="E105" i="37"/>
  <c r="H36" i="37"/>
  <c r="D103" i="37"/>
  <c r="J35" i="37"/>
  <c r="AC35" i="37"/>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c r="D75" i="37"/>
  <c r="E75" i="37"/>
  <c r="F75" i="37"/>
  <c r="D73" i="37"/>
  <c r="E73" i="37" s="1"/>
  <c r="F73" i="37" s="1"/>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c r="F81" i="36"/>
  <c r="G81" i="36" s="1"/>
  <c r="H81" i="36" s="1"/>
  <c r="I81" i="36" s="1"/>
  <c r="J81" i="36" s="1"/>
  <c r="K81" i="36" s="1"/>
  <c r="L81" i="36" s="1"/>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c r="B75" i="36"/>
  <c r="B73" i="36"/>
  <c r="B71" i="36"/>
  <c r="D70" i="36"/>
  <c r="H22" i="36"/>
  <c r="AB22" i="36"/>
  <c r="D68" i="36"/>
  <c r="E68" i="36" s="1"/>
  <c r="D64" i="36"/>
  <c r="E64" i="36"/>
  <c r="F64" i="36" s="1"/>
  <c r="G64" i="36" s="1"/>
  <c r="J16" i="36"/>
  <c r="AC16" i="36" s="1"/>
  <c r="D62" i="36"/>
  <c r="E62" i="36" s="1"/>
  <c r="B59" i="36"/>
  <c r="B57" i="36"/>
  <c r="H12" i="36" s="1"/>
  <c r="U12" i="36" s="1"/>
  <c r="J12" i="36"/>
  <c r="B55" i="36"/>
  <c r="F54" i="36"/>
  <c r="G54" i="36"/>
  <c r="H54" i="36"/>
  <c r="I54" i="36" s="1"/>
  <c r="J10" i="36"/>
  <c r="W10" i="36"/>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F9" i="36"/>
  <c r="AA9" i="36" s="1"/>
  <c r="J8" i="36"/>
  <c r="AC8" i="36" s="1"/>
  <c r="H8" i="36"/>
  <c r="AB8" i="36" s="1"/>
  <c r="U8" i="36"/>
  <c r="F8" i="36"/>
  <c r="AA8" i="36" s="1"/>
  <c r="C7" i="36"/>
  <c r="C46" i="36" s="1"/>
  <c r="D46" i="36" s="1"/>
  <c r="E46"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F35" i="35" s="1"/>
  <c r="B97" i="35"/>
  <c r="H34" i="35" s="1"/>
  <c r="AB34" i="35" s="1"/>
  <c r="B77" i="35"/>
  <c r="B75" i="35"/>
  <c r="J24" i="35"/>
  <c r="AC24" i="35" s="1"/>
  <c r="B73" i="35"/>
  <c r="B57" i="35"/>
  <c r="B61" i="35"/>
  <c r="J13" i="35" s="1"/>
  <c r="AC13" i="35" s="1"/>
  <c r="B59" i="35"/>
  <c r="H12" i="35" s="1"/>
  <c r="B131" i="34"/>
  <c r="H47" i="34" s="1"/>
  <c r="B129" i="34"/>
  <c r="B127" i="34"/>
  <c r="B99" i="34"/>
  <c r="B97" i="34"/>
  <c r="J31" i="34" s="1"/>
  <c r="B95" i="34"/>
  <c r="B93" i="34"/>
  <c r="B75" i="34"/>
  <c r="B73" i="34"/>
  <c r="H13" i="34" s="1"/>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F56" i="35"/>
  <c r="G56" i="35"/>
  <c r="H56" i="35" s="1"/>
  <c r="I56" i="35" s="1"/>
  <c r="C53" i="35"/>
  <c r="F9" i="35" s="1"/>
  <c r="AA9" i="35" s="1"/>
  <c r="P39" i="35"/>
  <c r="P38" i="35"/>
  <c r="V37" i="35"/>
  <c r="T37" i="35"/>
  <c r="R37" i="35"/>
  <c r="P37" i="35"/>
  <c r="Q36" i="35"/>
  <c r="Z36" i="35" s="1"/>
  <c r="J36" i="35"/>
  <c r="AC36" i="35"/>
  <c r="Q35" i="35"/>
  <c r="Z35" i="35" s="1"/>
  <c r="Q34" i="35"/>
  <c r="Z34" i="35"/>
  <c r="J34" i="35"/>
  <c r="AC34" i="35" s="1"/>
  <c r="F34" i="35"/>
  <c r="Q33" i="35"/>
  <c r="Z33" i="35"/>
  <c r="Q32" i="35"/>
  <c r="Z32" i="35" s="1"/>
  <c r="H32" i="35"/>
  <c r="AB32" i="35"/>
  <c r="F32" i="35"/>
  <c r="AA32" i="35" s="1"/>
  <c r="Q31" i="35"/>
  <c r="Z31" i="35"/>
  <c r="AC31" i="35"/>
  <c r="Q30" i="35"/>
  <c r="Z30" i="35"/>
  <c r="Q29" i="35"/>
  <c r="Z29" i="35" s="1"/>
  <c r="Q28" i="35"/>
  <c r="Z28" i="35" s="1"/>
  <c r="J28" i="35"/>
  <c r="H28" i="35"/>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AA12" i="35"/>
  <c r="Q11" i="35"/>
  <c r="Z11" i="35" s="1"/>
  <c r="Q10" i="35"/>
  <c r="Z10" i="35" s="1"/>
  <c r="Q9" i="35"/>
  <c r="Z9" i="35" s="1"/>
  <c r="J9" i="35"/>
  <c r="W9" i="35" s="1"/>
  <c r="J8" i="35"/>
  <c r="H8" i="35"/>
  <c r="F8" i="35"/>
  <c r="AA8" i="35" s="1"/>
  <c r="C7" i="35"/>
  <c r="C48" i="35" s="1"/>
  <c r="D48" i="35" s="1"/>
  <c r="E48" i="35" s="1"/>
  <c r="F48" i="35" s="1"/>
  <c r="G48" i="35" s="1"/>
  <c r="H48" i="35" s="1"/>
  <c r="I48" i="35" s="1"/>
  <c r="J48" i="35" s="1"/>
  <c r="K48" i="35" s="1"/>
  <c r="L48" i="35" s="1"/>
  <c r="M48" i="35" s="1"/>
  <c r="N48" i="35" s="1"/>
  <c r="O48" i="35" s="1"/>
  <c r="D120" i="34"/>
  <c r="E120" i="34" s="1"/>
  <c r="F120" i="34" s="1"/>
  <c r="G120" i="34"/>
  <c r="H120" i="34"/>
  <c r="I120" i="34" s="1"/>
  <c r="J120" i="34" s="1"/>
  <c r="K120" i="34" s="1"/>
  <c r="L120" i="34" s="1"/>
  <c r="M120" i="34" s="1"/>
  <c r="D90" i="34"/>
  <c r="C15" i="34"/>
  <c r="F67" i="34"/>
  <c r="G67" i="34" s="1"/>
  <c r="H67" i="34" s="1"/>
  <c r="I67" i="34" s="1"/>
  <c r="H10" i="34"/>
  <c r="AB10" i="34" s="1"/>
  <c r="D126" i="34"/>
  <c r="E126" i="34"/>
  <c r="F126" i="34" s="1"/>
  <c r="G126" i="34" s="1"/>
  <c r="D124" i="34"/>
  <c r="E124" i="34"/>
  <c r="F124" i="34" s="1"/>
  <c r="G124" i="34" s="1"/>
  <c r="H124" i="34" s="1"/>
  <c r="I124" i="34" s="1"/>
  <c r="J124" i="34" s="1"/>
  <c r="K124" i="34" s="1"/>
  <c r="L124" i="34" s="1"/>
  <c r="M124" i="34" s="1"/>
  <c r="J43" i="34"/>
  <c r="D118" i="34"/>
  <c r="E118" i="34" s="1"/>
  <c r="F118" i="34"/>
  <c r="G118" i="34"/>
  <c r="H40" i="34"/>
  <c r="U40" i="34" s="1"/>
  <c r="D116" i="34"/>
  <c r="E116" i="34"/>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c r="G92" i="34" s="1"/>
  <c r="H92" i="34" s="1"/>
  <c r="I92" i="34" s="1"/>
  <c r="J92" i="34" s="1"/>
  <c r="K92" i="34" s="1"/>
  <c r="L92" i="34" s="1"/>
  <c r="M92" i="34" s="1"/>
  <c r="B91" i="34"/>
  <c r="F28" i="34" s="1"/>
  <c r="S28" i="34" s="1"/>
  <c r="B89" i="34"/>
  <c r="J27" i="34" s="1"/>
  <c r="W27" i="34" s="1"/>
  <c r="D88" i="34"/>
  <c r="E88" i="34" s="1"/>
  <c r="F88" i="34"/>
  <c r="G88" i="34" s="1"/>
  <c r="H88" i="34" s="1"/>
  <c r="I88" i="34" s="1"/>
  <c r="J88" i="34" s="1"/>
  <c r="K88" i="34" s="1"/>
  <c r="L88" i="34" s="1"/>
  <c r="M88" i="34" s="1"/>
  <c r="D86" i="34"/>
  <c r="E86" i="34" s="1"/>
  <c r="D82" i="34"/>
  <c r="E82" i="34" s="1"/>
  <c r="F82" i="34"/>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s="1"/>
  <c r="Q45" i="34"/>
  <c r="Z45" i="34"/>
  <c r="Q44" i="34"/>
  <c r="Z44" i="34" s="1"/>
  <c r="H44" i="34"/>
  <c r="AB44" i="34" s="1"/>
  <c r="Q43" i="34"/>
  <c r="Z43" i="34" s="1"/>
  <c r="F43" i="34"/>
  <c r="S43" i="34" s="1"/>
  <c r="Q42" i="34"/>
  <c r="Z42" i="34" s="1"/>
  <c r="Q41" i="34"/>
  <c r="Z41" i="34"/>
  <c r="Q40" i="34"/>
  <c r="Z40" i="34" s="1"/>
  <c r="F40" i="34"/>
  <c r="S40" i="34"/>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c r="Q30" i="34"/>
  <c r="Z30" i="34" s="1"/>
  <c r="Q29" i="34"/>
  <c r="Z29" i="34"/>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J8" i="34"/>
  <c r="AC8" i="34"/>
  <c r="H8" i="34"/>
  <c r="U8" i="34" s="1"/>
  <c r="F8" i="34"/>
  <c r="AA8"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J28" i="33" s="1"/>
  <c r="B90" i="33"/>
  <c r="H27" i="33"/>
  <c r="U27" i="33"/>
  <c r="D87" i="33"/>
  <c r="E87" i="33" s="1"/>
  <c r="D85" i="33"/>
  <c r="E85" i="33"/>
  <c r="D81" i="33"/>
  <c r="E81" i="33" s="1"/>
  <c r="F81" i="33" s="1"/>
  <c r="G81" i="33"/>
  <c r="D79" i="33"/>
  <c r="E79" i="33" s="1"/>
  <c r="D77" i="33"/>
  <c r="E77" i="33"/>
  <c r="F77" i="33"/>
  <c r="G77" i="33" s="1"/>
  <c r="D69" i="33"/>
  <c r="E69" i="33"/>
  <c r="F69" i="33"/>
  <c r="G69" i="33" s="1"/>
  <c r="H69" i="33" s="1"/>
  <c r="I69" i="33"/>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U33" i="33" s="1"/>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F9" i="33"/>
  <c r="AA9" i="33" s="1"/>
  <c r="J8" i="33"/>
  <c r="W8" i="33" s="1"/>
  <c r="H8" i="33"/>
  <c r="F8" i="33"/>
  <c r="M102" i="21"/>
  <c r="D102" i="21"/>
  <c r="E102" i="21"/>
  <c r="F102" i="21"/>
  <c r="G102" i="21"/>
  <c r="H102" i="21"/>
  <c r="I102" i="21"/>
  <c r="J102" i="21"/>
  <c r="K102" i="21"/>
  <c r="L102" i="21"/>
  <c r="C102" i="21"/>
  <c r="G18" i="20"/>
  <c r="B87" i="46" s="1"/>
  <c r="C25" i="40"/>
  <c r="G16" i="20"/>
  <c r="B81" i="46"/>
  <c r="G15" i="20"/>
  <c r="B80" i="46" s="1"/>
  <c r="C24" i="20"/>
  <c r="B72" i="46"/>
  <c r="C21" i="20"/>
  <c r="C20" i="20"/>
  <c r="B76" i="46"/>
  <c r="C18" i="20"/>
  <c r="B70" i="46" s="1"/>
  <c r="C17" i="20"/>
  <c r="B58" i="46"/>
  <c r="C16" i="20"/>
  <c r="B47" i="46" s="1"/>
  <c r="C15" i="20"/>
  <c r="B69" i="46"/>
  <c r="E54" i="21"/>
  <c r="F54" i="21" s="1"/>
  <c r="I54" i="21"/>
  <c r="J54" i="21" s="1"/>
  <c r="G54" i="21"/>
  <c r="H54" i="21" s="1"/>
  <c r="E125" i="21"/>
  <c r="D123" i="21"/>
  <c r="E123" i="21"/>
  <c r="F123" i="21" s="1"/>
  <c r="G123" i="21" s="1"/>
  <c r="H123" i="21"/>
  <c r="I123" i="21" s="1"/>
  <c r="J123" i="21" s="1"/>
  <c r="K123" i="21" s="1"/>
  <c r="L123" i="21" s="1"/>
  <c r="M123" i="21" s="1"/>
  <c r="D119" i="21"/>
  <c r="D117" i="21"/>
  <c r="E117" i="21"/>
  <c r="F117" i="21"/>
  <c r="G117" i="21" s="1"/>
  <c r="D115" i="21"/>
  <c r="E115" i="21"/>
  <c r="F115" i="21" s="1"/>
  <c r="G115" i="21" s="1"/>
  <c r="H115" i="21" s="1"/>
  <c r="I115" i="21" s="1"/>
  <c r="J115" i="21" s="1"/>
  <c r="K115" i="21" s="1"/>
  <c r="L115" i="21" s="1"/>
  <c r="M115" i="21" s="1"/>
  <c r="H113" i="21"/>
  <c r="D110" i="21"/>
  <c r="E110" i="21" s="1"/>
  <c r="F110" i="2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c r="J89" i="21" s="1"/>
  <c r="K89" i="21" s="1"/>
  <c r="L89" i="21" s="1"/>
  <c r="M89" i="21" s="1"/>
  <c r="D67" i="21"/>
  <c r="E67" i="21"/>
  <c r="F67" i="21"/>
  <c r="G67" i="21"/>
  <c r="H67" i="21"/>
  <c r="I67" i="21"/>
  <c r="J67" i="21"/>
  <c r="K67" i="21"/>
  <c r="L67" i="21"/>
  <c r="M67" i="21"/>
  <c r="C67" i="21"/>
  <c r="G66" i="21"/>
  <c r="H66" i="21"/>
  <c r="I66" i="21" s="1"/>
  <c r="D111" i="21"/>
  <c r="E111" i="21"/>
  <c r="F111" i="21"/>
  <c r="C111" i="21"/>
  <c r="E79" i="21"/>
  <c r="F79" i="21"/>
  <c r="G79" i="21" s="1"/>
  <c r="D85" i="21"/>
  <c r="E85" i="21" s="1"/>
  <c r="D81" i="21"/>
  <c r="E81" i="21" s="1"/>
  <c r="F81" i="21" s="1"/>
  <c r="G81" i="21" s="1"/>
  <c r="E77" i="2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W35" i="21"/>
  <c r="Q35" i="21"/>
  <c r="Z35" i="21" s="1"/>
  <c r="Q36" i="21"/>
  <c r="Z36" i="21"/>
  <c r="Q37" i="21"/>
  <c r="Z37" i="21" s="1"/>
  <c r="W38" i="21"/>
  <c r="Q38" i="21"/>
  <c r="Z38" i="21"/>
  <c r="Q39" i="21"/>
  <c r="Z39" i="21" s="1"/>
  <c r="Q40" i="21"/>
  <c r="Z40" i="21" s="1"/>
  <c r="Q41" i="21"/>
  <c r="Z41" i="21" s="1"/>
  <c r="Q42" i="21"/>
  <c r="Z42" i="21" s="1"/>
  <c r="Q43" i="21"/>
  <c r="Z43" i="21" s="1"/>
  <c r="Q44" i="21"/>
  <c r="Z44" i="21"/>
  <c r="Q45" i="21"/>
  <c r="Z45" i="21" s="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W34" i="21"/>
  <c r="U36" i="21"/>
  <c r="W19" i="21"/>
  <c r="U12" i="21"/>
  <c r="W26" i="21"/>
  <c r="S41" i="21"/>
  <c r="W41" i="21"/>
  <c r="S10" i="39"/>
  <c r="U30" i="37"/>
  <c r="E103" i="37"/>
  <c r="F103" i="37" s="1"/>
  <c r="F39" i="37"/>
  <c r="S39" i="37"/>
  <c r="F29" i="36"/>
  <c r="AA29" i="36" s="1"/>
  <c r="F16" i="36"/>
  <c r="AA16" i="36" s="1"/>
  <c r="U22" i="36"/>
  <c r="W23" i="36"/>
  <c r="W22" i="36"/>
  <c r="U26" i="36"/>
  <c r="J33" i="36"/>
  <c r="W33" i="36"/>
  <c r="AC27" i="35"/>
  <c r="W36" i="35"/>
  <c r="W31" i="35"/>
  <c r="U34" i="35"/>
  <c r="F36" i="34"/>
  <c r="S36" i="34" s="1"/>
  <c r="S34" i="34"/>
  <c r="W39" i="34"/>
  <c r="H39" i="33"/>
  <c r="AB39" i="33" s="1"/>
  <c r="W38" i="33"/>
  <c r="S40" i="33"/>
  <c r="S33" i="33"/>
  <c r="W33" i="33"/>
  <c r="U38" i="33"/>
  <c r="S8" i="21"/>
  <c r="W8" i="21"/>
  <c r="H39" i="37"/>
  <c r="AB39" i="37"/>
  <c r="AB27" i="35"/>
  <c r="S10" i="40"/>
  <c r="W10" i="40"/>
  <c r="S11" i="40"/>
  <c r="U11" i="40"/>
  <c r="S36" i="40"/>
  <c r="U36" i="40"/>
  <c r="S36" i="39"/>
  <c r="C23" i="39"/>
  <c r="U36" i="39"/>
  <c r="S42" i="39"/>
  <c r="H32" i="33"/>
  <c r="AB32" i="33"/>
  <c r="F86" i="40"/>
  <c r="AA12" i="33"/>
  <c r="U9" i="21"/>
  <c r="J27" i="36"/>
  <c r="W27" i="36"/>
  <c r="J34" i="36"/>
  <c r="W34" i="36" s="1"/>
  <c r="J30" i="35"/>
  <c r="W30" i="35"/>
  <c r="F22" i="35"/>
  <c r="AA22" i="35" s="1"/>
  <c r="H10" i="35"/>
  <c r="AB10" i="35" s="1"/>
  <c r="U29" i="36"/>
  <c r="J29" i="36"/>
  <c r="AC29" i="36" s="1"/>
  <c r="F12" i="36"/>
  <c r="S12" i="36" s="1"/>
  <c r="F24" i="36"/>
  <c r="AA24" i="36" s="1"/>
  <c r="F34" i="36"/>
  <c r="S34" i="36" s="1"/>
  <c r="S10" i="36"/>
  <c r="H16" i="35"/>
  <c r="U16" i="35"/>
  <c r="H33" i="35"/>
  <c r="AB33" i="35" s="1"/>
  <c r="W8" i="35"/>
  <c r="AC8" i="35"/>
  <c r="F35" i="37"/>
  <c r="E101" i="37"/>
  <c r="F101" i="37"/>
  <c r="G101" i="37"/>
  <c r="H101" i="37" s="1"/>
  <c r="I101" i="37" s="1"/>
  <c r="J101" i="37" s="1"/>
  <c r="K101" i="37" s="1"/>
  <c r="L101" i="37" s="1"/>
  <c r="M101" i="37" s="1"/>
  <c r="J34" i="37"/>
  <c r="W34" i="37"/>
  <c r="AA39" i="37"/>
  <c r="H43" i="34"/>
  <c r="U42" i="34"/>
  <c r="E114" i="34"/>
  <c r="F114" i="34" s="1"/>
  <c r="G114" i="34" s="1"/>
  <c r="H36" i="34"/>
  <c r="U36" i="34" s="1"/>
  <c r="F37" i="34"/>
  <c r="AA37" i="34"/>
  <c r="F33" i="34"/>
  <c r="S33" i="34" s="1"/>
  <c r="F19" i="34"/>
  <c r="AA19" i="34" s="1"/>
  <c r="J10" i="34"/>
  <c r="AC10" i="34"/>
  <c r="U9" i="34"/>
  <c r="W8" i="34"/>
  <c r="S38" i="33"/>
  <c r="E113" i="33"/>
  <c r="F36" i="33"/>
  <c r="S36" i="33"/>
  <c r="F19" i="33"/>
  <c r="S19" i="33" s="1"/>
  <c r="J19" i="33"/>
  <c r="W40" i="33"/>
  <c r="F125" i="21"/>
  <c r="G125" i="21" s="1"/>
  <c r="G86" i="40"/>
  <c r="AB30" i="36"/>
  <c r="H29" i="35"/>
  <c r="U34" i="37"/>
  <c r="AC43" i="34"/>
  <c r="AB42" i="34"/>
  <c r="AB40" i="34"/>
  <c r="J19" i="34"/>
  <c r="AC19" i="34"/>
  <c r="F113" i="33"/>
  <c r="G113" i="33" s="1"/>
  <c r="H113" i="33" s="1"/>
  <c r="I113" i="33" s="1"/>
  <c r="J113" i="33" s="1"/>
  <c r="K113" i="33" s="1"/>
  <c r="L113" i="33" s="1"/>
  <c r="M113" i="33" s="1"/>
  <c r="H37" i="33"/>
  <c r="AB37" i="33" s="1"/>
  <c r="S37" i="33"/>
  <c r="W43" i="34"/>
  <c r="AA42" i="34"/>
  <c r="S42" i="34"/>
  <c r="AC38" i="34"/>
  <c r="W38" i="34"/>
  <c r="S38" i="34"/>
  <c r="J37" i="33"/>
  <c r="W37" i="33" s="1"/>
  <c r="J44" i="34"/>
  <c r="AC44" i="34"/>
  <c r="F44" i="34"/>
  <c r="S44" i="34" s="1"/>
  <c r="J10" i="35"/>
  <c r="W10" i="35"/>
  <c r="U30" i="21"/>
  <c r="W46" i="21"/>
  <c r="H28" i="33"/>
  <c r="AB28" i="33" s="1"/>
  <c r="F33" i="35"/>
  <c r="S33" i="35" s="1"/>
  <c r="J33" i="35"/>
  <c r="W33" i="35"/>
  <c r="F30" i="35"/>
  <c r="AA30" i="35" s="1"/>
  <c r="E89" i="35"/>
  <c r="F89" i="35"/>
  <c r="G89" i="35" s="1"/>
  <c r="H89" i="35" s="1"/>
  <c r="I89" i="35" s="1"/>
  <c r="J89" i="35" s="1"/>
  <c r="K89" i="35" s="1"/>
  <c r="L89" i="35" s="1"/>
  <c r="M89" i="35" s="1"/>
  <c r="H10" i="36"/>
  <c r="AB10" i="36" s="1"/>
  <c r="F28" i="36"/>
  <c r="S28" i="36"/>
  <c r="F27" i="36"/>
  <c r="S27" i="36" s="1"/>
  <c r="U13" i="21"/>
  <c r="W27" i="21"/>
  <c r="U29" i="21"/>
  <c r="S29" i="21"/>
  <c r="S31" i="21"/>
  <c r="W45" i="21"/>
  <c r="J27" i="33"/>
  <c r="AC27" i="33"/>
  <c r="F27" i="33"/>
  <c r="S27" i="33" s="1"/>
  <c r="F13" i="33"/>
  <c r="S13" i="33"/>
  <c r="J29" i="33"/>
  <c r="AC29" i="33" s="1"/>
  <c r="J31" i="33"/>
  <c r="AC31" i="33"/>
  <c r="H31" i="33"/>
  <c r="AB31" i="33" s="1"/>
  <c r="J45" i="33"/>
  <c r="W45" i="33"/>
  <c r="F45" i="33"/>
  <c r="S45" i="33" s="1"/>
  <c r="F11" i="35"/>
  <c r="S11" i="35"/>
  <c r="H28" i="36"/>
  <c r="U28" i="36" s="1"/>
  <c r="H32" i="36"/>
  <c r="AB32" i="36"/>
  <c r="J32" i="36"/>
  <c r="J11" i="36"/>
  <c r="W11" i="36"/>
  <c r="H13" i="36"/>
  <c r="AB13" i="36" s="1"/>
  <c r="J13" i="36"/>
  <c r="W13" i="36"/>
  <c r="F13" i="36"/>
  <c r="S13" i="36" s="1"/>
  <c r="E89" i="37"/>
  <c r="F89" i="37"/>
  <c r="G89" i="37"/>
  <c r="H89" i="37" s="1"/>
  <c r="I89" i="37" s="1"/>
  <c r="J89" i="37" s="1"/>
  <c r="K89" i="37" s="1"/>
  <c r="L89" i="37" s="1"/>
  <c r="M89" i="37" s="1"/>
  <c r="J29" i="37"/>
  <c r="AC29" i="37" s="1"/>
  <c r="W29" i="37"/>
  <c r="F29" i="37"/>
  <c r="AA29" i="37" s="1"/>
  <c r="F105" i="37"/>
  <c r="G105" i="37" s="1"/>
  <c r="AB36" i="37"/>
  <c r="J37" i="37"/>
  <c r="AC37" i="37"/>
  <c r="H37" i="37"/>
  <c r="AB37" i="37" s="1"/>
  <c r="H40" i="37"/>
  <c r="U40" i="37"/>
  <c r="J40" i="37"/>
  <c r="F40" i="37"/>
  <c r="AA40" i="37" s="1"/>
  <c r="H14" i="33"/>
  <c r="U14" i="33"/>
  <c r="F14" i="33"/>
  <c r="AA14" i="33" s="1"/>
  <c r="J14" i="33"/>
  <c r="AC14" i="33"/>
  <c r="H30" i="33"/>
  <c r="AB30" i="33" s="1"/>
  <c r="F30" i="33"/>
  <c r="AA30" i="33" s="1"/>
  <c r="S30" i="33"/>
  <c r="J30" i="33"/>
  <c r="H44" i="33"/>
  <c r="U44" i="33"/>
  <c r="J44" i="33"/>
  <c r="W44" i="33" s="1"/>
  <c r="F44" i="33"/>
  <c r="S44" i="33"/>
  <c r="J46" i="33"/>
  <c r="AC46" i="33" s="1"/>
  <c r="F46" i="33"/>
  <c r="AA46" i="33"/>
  <c r="H46" i="33"/>
  <c r="U46" i="33" s="1"/>
  <c r="J13" i="34"/>
  <c r="W13" i="34" s="1"/>
  <c r="J29" i="34"/>
  <c r="AC29" i="34" s="1"/>
  <c r="F29" i="34"/>
  <c r="S29" i="34"/>
  <c r="H29" i="34"/>
  <c r="U29" i="34" s="1"/>
  <c r="H31" i="34"/>
  <c r="U31" i="34" s="1"/>
  <c r="H45" i="34"/>
  <c r="AB45" i="34" s="1"/>
  <c r="J45" i="34"/>
  <c r="W45" i="34"/>
  <c r="F45" i="34"/>
  <c r="S45" i="34" s="1"/>
  <c r="F47" i="34"/>
  <c r="AA47" i="34" s="1"/>
  <c r="F13" i="35"/>
  <c r="S13" i="35" s="1"/>
  <c r="H13" i="35"/>
  <c r="U13" i="35" s="1"/>
  <c r="J25" i="35"/>
  <c r="AC25" i="35"/>
  <c r="F25" i="35"/>
  <c r="S25" i="35" s="1"/>
  <c r="H25" i="35"/>
  <c r="AB25" i="35"/>
  <c r="J35" i="35"/>
  <c r="W35" i="35" s="1"/>
  <c r="H35" i="35"/>
  <c r="U35" i="35" s="1"/>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AA38" i="37" s="1"/>
  <c r="F14" i="37"/>
  <c r="AA14" i="37"/>
  <c r="F27" i="37"/>
  <c r="AA27" i="37" s="1"/>
  <c r="J14" i="37"/>
  <c r="W14" i="37"/>
  <c r="J27" i="37"/>
  <c r="W27" i="37" s="1"/>
  <c r="AB13" i="35"/>
  <c r="AB40" i="37"/>
  <c r="J36" i="37"/>
  <c r="AC36" i="37" s="1"/>
  <c r="S46" i="21"/>
  <c r="U46" i="21"/>
  <c r="S28" i="21"/>
  <c r="W14" i="21"/>
  <c r="W42" i="21"/>
  <c r="S46" i="33"/>
  <c r="U36" i="37"/>
  <c r="AC13" i="36"/>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s="1"/>
  <c r="H43" i="33"/>
  <c r="U43" i="33"/>
  <c r="H17" i="37"/>
  <c r="AB17" i="37" s="1"/>
  <c r="F23" i="37"/>
  <c r="S23" i="37"/>
  <c r="F79" i="37"/>
  <c r="G79" i="37" s="1"/>
  <c r="F39" i="33"/>
  <c r="AA39" i="33"/>
  <c r="E123" i="33"/>
  <c r="F123" i="33" s="1"/>
  <c r="G123" i="33" s="1"/>
  <c r="H123" i="33" s="1"/>
  <c r="I123" i="33" s="1"/>
  <c r="J123" i="33" s="1"/>
  <c r="K123" i="33" s="1"/>
  <c r="L123" i="33" s="1"/>
  <c r="M123" i="33" s="1"/>
  <c r="F42" i="33"/>
  <c r="AA42" i="33" s="1"/>
  <c r="F22" i="36"/>
  <c r="S22" i="36" s="1"/>
  <c r="H35" i="34"/>
  <c r="U35" i="34"/>
  <c r="F41" i="34"/>
  <c r="S41" i="34" s="1"/>
  <c r="H41" i="34"/>
  <c r="U41" i="34"/>
  <c r="J41" i="34"/>
  <c r="W41" i="34" s="1"/>
  <c r="F10" i="35"/>
  <c r="AA10" i="35"/>
  <c r="F24" i="35"/>
  <c r="AA24" i="35" s="1"/>
  <c r="H24" i="35"/>
  <c r="AB24" i="35"/>
  <c r="H23" i="37"/>
  <c r="AB23" i="37" s="1"/>
  <c r="J32" i="37"/>
  <c r="AC32" i="37"/>
  <c r="F36" i="37"/>
  <c r="S36" i="37" s="1"/>
  <c r="F37" i="37"/>
  <c r="AA37" i="37"/>
  <c r="U23" i="37"/>
  <c r="H42" i="33"/>
  <c r="U42" i="33"/>
  <c r="J43" i="33"/>
  <c r="AC43" i="33" s="1"/>
  <c r="J23" i="37"/>
  <c r="W23" i="37" s="1"/>
  <c r="F17" i="37"/>
  <c r="AA17" i="37"/>
  <c r="AB43" i="33"/>
  <c r="AC33" i="36"/>
  <c r="AC12" i="35"/>
  <c r="W23" i="35"/>
  <c r="AC23" i="37"/>
  <c r="U39" i="37"/>
  <c r="AC8" i="37"/>
  <c r="AC36" i="34"/>
  <c r="AC37" i="33"/>
  <c r="AA13" i="33"/>
  <c r="AC45" i="33"/>
  <c r="U19" i="21"/>
  <c r="S39" i="33"/>
  <c r="F43" i="33"/>
  <c r="AA43" i="33" s="1"/>
  <c r="AA23" i="37"/>
  <c r="S10" i="35"/>
  <c r="AB44" i="33"/>
  <c r="H19" i="34"/>
  <c r="AB19" i="34"/>
  <c r="J10" i="37"/>
  <c r="W10" i="37" s="1"/>
  <c r="F36" i="35"/>
  <c r="S36" i="35"/>
  <c r="J9" i="37"/>
  <c r="W9" i="37" s="1"/>
  <c r="H9" i="37"/>
  <c r="U9" i="37"/>
  <c r="F9" i="37"/>
  <c r="AA9" i="37" s="1"/>
  <c r="F11" i="37"/>
  <c r="S11" i="37"/>
  <c r="J12" i="37"/>
  <c r="W12" i="37" s="1"/>
  <c r="H12" i="37"/>
  <c r="AB12" i="37"/>
  <c r="F12" i="37"/>
  <c r="AA12" i="37" s="1"/>
  <c r="H15" i="37"/>
  <c r="U15" i="37"/>
  <c r="E94" i="37"/>
  <c r="F94" i="37" s="1"/>
  <c r="G94" i="37" s="1"/>
  <c r="H94" i="37" s="1"/>
  <c r="I94" i="37" s="1"/>
  <c r="J94" i="37" s="1"/>
  <c r="K94" i="37" s="1"/>
  <c r="L94" i="37" s="1"/>
  <c r="M94" i="37" s="1"/>
  <c r="F31" i="37"/>
  <c r="S31" i="37" s="1"/>
  <c r="H31" i="37"/>
  <c r="AB31" i="37"/>
  <c r="J15" i="37"/>
  <c r="W15" i="37" s="1"/>
  <c r="U12" i="37"/>
  <c r="AB10" i="37"/>
  <c r="J11" i="37"/>
  <c r="W11" i="37" s="1"/>
  <c r="U31" i="37"/>
  <c r="E90" i="40"/>
  <c r="F90" i="40" s="1"/>
  <c r="G90" i="40" s="1"/>
  <c r="F21" i="40"/>
  <c r="S21" i="40" s="1"/>
  <c r="W36" i="40"/>
  <c r="J21" i="40"/>
  <c r="AC21" i="40"/>
  <c r="S27" i="31"/>
  <c r="J57" i="39"/>
  <c r="H13" i="40"/>
  <c r="U13" i="40"/>
  <c r="H12" i="48"/>
  <c r="I4" i="4"/>
  <c r="K141" i="21"/>
  <c r="K143" i="21"/>
  <c r="K144" i="21"/>
  <c r="I59" i="40"/>
  <c r="C59" i="40"/>
  <c r="I60" i="40"/>
  <c r="C60" i="40" s="1"/>
  <c r="W9" i="33"/>
  <c r="H7" i="48"/>
  <c r="H16" i="48"/>
  <c r="H9" i="48"/>
  <c r="H8" i="48"/>
  <c r="AB16" i="35"/>
  <c r="AB15" i="37"/>
  <c r="U43" i="21"/>
  <c r="AA13" i="40"/>
  <c r="E78" i="40"/>
  <c r="F78" i="40"/>
  <c r="G78" i="40" s="1"/>
  <c r="H78" i="40" s="1"/>
  <c r="I78" i="40" s="1"/>
  <c r="J78" i="40" s="1"/>
  <c r="K78" i="40" s="1"/>
  <c r="L78" i="40" s="1"/>
  <c r="M78" i="40" s="1"/>
  <c r="R16" i="4"/>
  <c r="P16" i="4"/>
  <c r="D3" i="35"/>
  <c r="G4" i="4"/>
  <c r="S37" i="34"/>
  <c r="J16" i="35"/>
  <c r="U42" i="21"/>
  <c r="AC26" i="36"/>
  <c r="W25" i="35"/>
  <c r="AA36" i="35"/>
  <c r="H11" i="37"/>
  <c r="AB11" i="37"/>
  <c r="W37" i="37"/>
  <c r="AA36" i="37"/>
  <c r="S42" i="33"/>
  <c r="U32" i="33"/>
  <c r="AA45" i="33"/>
  <c r="AC11" i="36"/>
  <c r="AC10" i="36"/>
  <c r="AC14" i="37"/>
  <c r="AB35" i="35"/>
  <c r="AC30" i="33"/>
  <c r="W30" i="33"/>
  <c r="W32" i="36"/>
  <c r="AC32" i="36"/>
  <c r="U28" i="33"/>
  <c r="J33" i="34"/>
  <c r="AC33" i="34"/>
  <c r="AB36" i="34"/>
  <c r="J40" i="34"/>
  <c r="W40" i="34"/>
  <c r="F16" i="35"/>
  <c r="AA16" i="35"/>
  <c r="S24" i="36"/>
  <c r="W42" i="33"/>
  <c r="J35" i="34"/>
  <c r="W35" i="34"/>
  <c r="F107" i="34"/>
  <c r="G107" i="34"/>
  <c r="H107" i="34"/>
  <c r="I107" i="34"/>
  <c r="J107" i="34" s="1"/>
  <c r="K107" i="34" s="1"/>
  <c r="L107" i="34" s="1"/>
  <c r="M107" i="34"/>
  <c r="S30" i="36"/>
  <c r="H16" i="36"/>
  <c r="AB16" i="36"/>
  <c r="G103" i="37"/>
  <c r="H103" i="37" s="1"/>
  <c r="I103" i="37" s="1"/>
  <c r="J103" i="37" s="1"/>
  <c r="K103" i="37" s="1"/>
  <c r="L103" i="37" s="1"/>
  <c r="M103" i="37" s="1"/>
  <c r="H35" i="37"/>
  <c r="U35" i="37" s="1"/>
  <c r="AB35" i="37"/>
  <c r="S26" i="21"/>
  <c r="U26" i="21"/>
  <c r="U39" i="21"/>
  <c r="S17" i="21"/>
  <c r="S40" i="21"/>
  <c r="E119" i="21"/>
  <c r="F119" i="21"/>
  <c r="G119" i="21"/>
  <c r="H119" i="21" s="1"/>
  <c r="I119" i="21" s="1"/>
  <c r="J119" i="21" s="1"/>
  <c r="K119" i="21"/>
  <c r="L119" i="21" s="1"/>
  <c r="M119" i="21" s="1"/>
  <c r="AA8" i="33"/>
  <c r="S8" i="33"/>
  <c r="AC8" i="33"/>
  <c r="H66" i="33"/>
  <c r="F10" i="33"/>
  <c r="S10" i="33" s="1"/>
  <c r="AA10" i="33"/>
  <c r="F11" i="33"/>
  <c r="S11" i="33"/>
  <c r="J15" i="33"/>
  <c r="W15" i="33" s="1"/>
  <c r="H19" i="33"/>
  <c r="AB19" i="33"/>
  <c r="F32" i="33"/>
  <c r="J32" i="33"/>
  <c r="AC32" i="33"/>
  <c r="F35" i="33"/>
  <c r="AB39" i="34"/>
  <c r="F11" i="34"/>
  <c r="S11" i="34"/>
  <c r="E80" i="34"/>
  <c r="F80" i="34" s="1"/>
  <c r="G80" i="34" s="1"/>
  <c r="H17" i="34"/>
  <c r="U17" i="34" s="1"/>
  <c r="AB17" i="34"/>
  <c r="AC27" i="34"/>
  <c r="S12" i="35"/>
  <c r="AB28" i="35"/>
  <c r="U28" i="35"/>
  <c r="J13" i="33"/>
  <c r="W13" i="33"/>
  <c r="H13" i="33"/>
  <c r="U13" i="33" s="1"/>
  <c r="H29" i="33"/>
  <c r="AB29" i="33"/>
  <c r="F29" i="33"/>
  <c r="S29" i="33" s="1"/>
  <c r="J12" i="34"/>
  <c r="AC12" i="34"/>
  <c r="H12" i="34"/>
  <c r="AB12" i="34" s="1"/>
  <c r="F12" i="34"/>
  <c r="S12" i="34"/>
  <c r="J14" i="34"/>
  <c r="AC14" i="34" s="1"/>
  <c r="F14" i="34"/>
  <c r="S14" i="34"/>
  <c r="H14" i="34"/>
  <c r="U14" i="34" s="1"/>
  <c r="H30" i="34"/>
  <c r="AB30" i="34"/>
  <c r="F30" i="34"/>
  <c r="S30" i="34" s="1"/>
  <c r="J30" i="34"/>
  <c r="W30" i="34"/>
  <c r="H32" i="34"/>
  <c r="AB32" i="34" s="1"/>
  <c r="F32" i="34"/>
  <c r="AA32" i="34"/>
  <c r="J32" i="34"/>
  <c r="AC32" i="34" s="1"/>
  <c r="H46" i="34"/>
  <c r="AB46" i="34"/>
  <c r="F46" i="34"/>
  <c r="AA46" i="34" s="1"/>
  <c r="J46" i="34"/>
  <c r="AC46" i="34"/>
  <c r="H11" i="35"/>
  <c r="J11" i="35"/>
  <c r="AC11" i="35" s="1"/>
  <c r="H32" i="37"/>
  <c r="S19" i="39"/>
  <c r="W19" i="39"/>
  <c r="H43" i="39"/>
  <c r="U43" i="39" s="1"/>
  <c r="J43" i="39"/>
  <c r="F99" i="37"/>
  <c r="AC27" i="37"/>
  <c r="U25" i="35"/>
  <c r="AC40" i="37"/>
  <c r="W40" i="37"/>
  <c r="W27" i="33"/>
  <c r="S14" i="21"/>
  <c r="AA44" i="34"/>
  <c r="AB29" i="35"/>
  <c r="U29" i="35"/>
  <c r="AC19" i="33"/>
  <c r="W19" i="33"/>
  <c r="U43" i="34"/>
  <c r="AB43" i="34"/>
  <c r="AC34" i="37"/>
  <c r="S35" i="37"/>
  <c r="AA35" i="37"/>
  <c r="U38" i="21"/>
  <c r="AB40" i="33"/>
  <c r="U40" i="33"/>
  <c r="AA35" i="34"/>
  <c r="S35" i="34"/>
  <c r="E90" i="34"/>
  <c r="H27" i="34"/>
  <c r="AB27" i="34"/>
  <c r="AB8" i="35"/>
  <c r="U8" i="35"/>
  <c r="S9" i="35"/>
  <c r="J14" i="35"/>
  <c r="F14" i="35"/>
  <c r="H14" i="35"/>
  <c r="U14" i="35"/>
  <c r="E80" i="35"/>
  <c r="F80" i="35" s="1"/>
  <c r="E94" i="35"/>
  <c r="F94" i="35"/>
  <c r="G94" i="35"/>
  <c r="H94" i="35" s="1"/>
  <c r="I94" i="35" s="1"/>
  <c r="J94" i="35" s="1"/>
  <c r="K94" i="35" s="1"/>
  <c r="L94" i="35" s="1"/>
  <c r="M94" i="35" s="1"/>
  <c r="J32" i="35"/>
  <c r="AC32" i="35"/>
  <c r="H11" i="36"/>
  <c r="F11" i="36"/>
  <c r="AA11" i="36" s="1"/>
  <c r="S11" i="36"/>
  <c r="W16" i="36"/>
  <c r="E78" i="36"/>
  <c r="F78" i="36"/>
  <c r="G78" i="36"/>
  <c r="H78" i="36" s="1"/>
  <c r="I78" i="36" s="1"/>
  <c r="J78" i="36" s="1"/>
  <c r="K78" i="36" s="1"/>
  <c r="L78" i="36" s="1"/>
  <c r="M78" i="36" s="1"/>
  <c r="F26" i="36"/>
  <c r="S26" i="36"/>
  <c r="U34" i="36"/>
  <c r="AB34" i="36"/>
  <c r="H33" i="36"/>
  <c r="U33" i="36"/>
  <c r="F33" i="36"/>
  <c r="AA33" i="36"/>
  <c r="H27" i="36"/>
  <c r="U27" i="36" s="1"/>
  <c r="AB27" i="36"/>
  <c r="AA31" i="36"/>
  <c r="AC25" i="37"/>
  <c r="AC26" i="37"/>
  <c r="W26" i="37"/>
  <c r="AB29" i="37"/>
  <c r="AA30" i="37"/>
  <c r="S30" i="37"/>
  <c r="AC30" i="37"/>
  <c r="AC31" i="37"/>
  <c r="W31" i="37"/>
  <c r="AB14" i="37"/>
  <c r="H17" i="39"/>
  <c r="U17" i="39" s="1"/>
  <c r="J17" i="39"/>
  <c r="W17" i="39"/>
  <c r="S21" i="39"/>
  <c r="H21" i="39"/>
  <c r="W21" i="39"/>
  <c r="H33" i="39"/>
  <c r="U33" i="39"/>
  <c r="J33" i="39"/>
  <c r="S44" i="39"/>
  <c r="H44" i="39"/>
  <c r="U44" i="39" s="1"/>
  <c r="J44" i="39"/>
  <c r="W44" i="39"/>
  <c r="E128" i="39"/>
  <c r="F128" i="39" s="1"/>
  <c r="G128" i="39" s="1"/>
  <c r="H128" i="39" s="1"/>
  <c r="I128" i="39"/>
  <c r="J128" i="39" s="1"/>
  <c r="K128" i="39" s="1"/>
  <c r="L128" i="39" s="1"/>
  <c r="M128" i="39" s="1"/>
  <c r="S46" i="39"/>
  <c r="H46" i="39"/>
  <c r="U46" i="39"/>
  <c r="J46" i="39"/>
  <c r="AC46" i="39" s="1"/>
  <c r="E103" i="39"/>
  <c r="F103" i="39"/>
  <c r="G103" i="39"/>
  <c r="H29" i="39"/>
  <c r="H34" i="39"/>
  <c r="U34" i="39" s="1"/>
  <c r="J34" i="39"/>
  <c r="H39" i="39"/>
  <c r="AB39" i="39"/>
  <c r="J39" i="39"/>
  <c r="AC39" i="39" s="1"/>
  <c r="J29" i="35"/>
  <c r="AC29" i="35"/>
  <c r="F29" i="35"/>
  <c r="W30" i="36"/>
  <c r="AC30" i="36"/>
  <c r="S37" i="39"/>
  <c r="H37" i="39"/>
  <c r="U37" i="39" s="1"/>
  <c r="J37" i="39"/>
  <c r="W37" i="39"/>
  <c r="F36" i="44"/>
  <c r="H114" i="34"/>
  <c r="I114" i="34"/>
  <c r="J114" i="34" s="1"/>
  <c r="K114" i="34" s="1"/>
  <c r="L114" i="34" s="1"/>
  <c r="M114" i="34" s="1"/>
  <c r="H38" i="34"/>
  <c r="U38" i="34"/>
  <c r="H30" i="40"/>
  <c r="AB30" i="40"/>
  <c r="G100" i="40"/>
  <c r="J30" i="40"/>
  <c r="AC30" i="40"/>
  <c r="F38" i="40"/>
  <c r="AA36" i="34"/>
  <c r="W12" i="21"/>
  <c r="S35" i="21"/>
  <c r="U8" i="21"/>
  <c r="S34" i="21"/>
  <c r="AB8" i="33"/>
  <c r="U8" i="33"/>
  <c r="E106" i="33"/>
  <c r="H34" i="33"/>
  <c r="U34" i="33"/>
  <c r="F34" i="33"/>
  <c r="E121" i="33"/>
  <c r="F41" i="33"/>
  <c r="S41" i="33" s="1"/>
  <c r="AC34" i="34"/>
  <c r="W34" i="34"/>
  <c r="AA39" i="34"/>
  <c r="S39" i="34"/>
  <c r="E78" i="34"/>
  <c r="F15" i="34"/>
  <c r="AC28" i="35"/>
  <c r="W28" i="35"/>
  <c r="J20" i="35"/>
  <c r="W20" i="35" s="1"/>
  <c r="AC20" i="35"/>
  <c r="E72" i="35"/>
  <c r="F72" i="35" s="1"/>
  <c r="G72" i="35" s="1"/>
  <c r="H22" i="35"/>
  <c r="AB22" i="35"/>
  <c r="H23" i="35"/>
  <c r="F23" i="35"/>
  <c r="AA23" i="35"/>
  <c r="AB36" i="35"/>
  <c r="U36" i="35"/>
  <c r="W12" i="36"/>
  <c r="AC12" i="36"/>
  <c r="U31" i="36"/>
  <c r="S8" i="37"/>
  <c r="AA8" i="37"/>
  <c r="H14" i="39"/>
  <c r="AB14" i="39"/>
  <c r="J14" i="39"/>
  <c r="AC14" i="39"/>
  <c r="H16" i="39"/>
  <c r="AB16" i="39" s="1"/>
  <c r="U16" i="39"/>
  <c r="J16" i="39"/>
  <c r="AC16" i="39"/>
  <c r="E97" i="39"/>
  <c r="H27" i="39"/>
  <c r="AB27" i="39" s="1"/>
  <c r="J27" i="39"/>
  <c r="AC27" i="39"/>
  <c r="F15" i="40"/>
  <c r="AA15" i="40" s="1"/>
  <c r="J15" i="40"/>
  <c r="AC15" i="40" s="1"/>
  <c r="H15" i="40"/>
  <c r="E92" i="40"/>
  <c r="F92" i="40"/>
  <c r="H23" i="40"/>
  <c r="H41" i="40"/>
  <c r="AB41" i="40"/>
  <c r="F41" i="40"/>
  <c r="J41" i="40"/>
  <c r="H36" i="33"/>
  <c r="AB36" i="33"/>
  <c r="H37" i="34"/>
  <c r="H15" i="39"/>
  <c r="U15" i="39"/>
  <c r="J15" i="39"/>
  <c r="H25" i="39"/>
  <c r="U25" i="39"/>
  <c r="J25" i="39"/>
  <c r="H45" i="39"/>
  <c r="U45" i="39"/>
  <c r="J45" i="39"/>
  <c r="H47" i="39"/>
  <c r="AB47" i="39"/>
  <c r="J47" i="39"/>
  <c r="W47" i="39" s="1"/>
  <c r="H41" i="39"/>
  <c r="AB41" i="39"/>
  <c r="J41" i="39"/>
  <c r="E94" i="40"/>
  <c r="J25" i="40"/>
  <c r="AC25" i="40"/>
  <c r="J32" i="40"/>
  <c r="AC32" i="40" s="1"/>
  <c r="H32" i="40"/>
  <c r="U32" i="40"/>
  <c r="H33" i="40"/>
  <c r="F33" i="40"/>
  <c r="AA33" i="40"/>
  <c r="J33" i="40"/>
  <c r="H35" i="40"/>
  <c r="AB35" i="40"/>
  <c r="F35" i="40"/>
  <c r="AA35" i="40" s="1"/>
  <c r="J35" i="40"/>
  <c r="W35" i="40" s="1"/>
  <c r="AC35" i="40"/>
  <c r="J38" i="39"/>
  <c r="W38" i="39" s="1"/>
  <c r="H38" i="39"/>
  <c r="U38" i="39"/>
  <c r="J16" i="40"/>
  <c r="J14" i="40"/>
  <c r="W14" i="40"/>
  <c r="H42" i="40"/>
  <c r="U42" i="40" s="1"/>
  <c r="H40" i="40"/>
  <c r="U40" i="40"/>
  <c r="H34" i="40"/>
  <c r="U34" i="40"/>
  <c r="J42" i="40"/>
  <c r="AC42" i="40"/>
  <c r="J40" i="40"/>
  <c r="W40" i="40" s="1"/>
  <c r="AC40" i="40"/>
  <c r="J34" i="40"/>
  <c r="AC34" i="40"/>
  <c r="H16" i="40"/>
  <c r="U16" i="40" s="1"/>
  <c r="AB16" i="40"/>
  <c r="H14" i="40"/>
  <c r="U14" i="40"/>
  <c r="F32" i="40"/>
  <c r="AA32" i="40" s="1"/>
  <c r="M1" i="46"/>
  <c r="M6" i="46"/>
  <c r="M10" i="46"/>
  <c r="N2" i="46"/>
  <c r="N5" i="46"/>
  <c r="H49" i="46"/>
  <c r="N7" i="46"/>
  <c r="M7" i="46"/>
  <c r="M11" i="46"/>
  <c r="N3" i="46"/>
  <c r="N6" i="46"/>
  <c r="N10" i="46"/>
  <c r="H47" i="46"/>
  <c r="J13" i="40"/>
  <c r="W13" i="40"/>
  <c r="AB14" i="40"/>
  <c r="F34" i="44"/>
  <c r="F27" i="43"/>
  <c r="F66" i="9"/>
  <c r="P72" i="9" s="1"/>
  <c r="F71" i="9"/>
  <c r="F72" i="9"/>
  <c r="AC14" i="40"/>
  <c r="S33" i="40"/>
  <c r="AB32" i="40"/>
  <c r="AC47" i="39"/>
  <c r="S47" i="39"/>
  <c r="AB25" i="39"/>
  <c r="U37" i="34"/>
  <c r="AB37" i="34"/>
  <c r="AC41" i="40"/>
  <c r="W41" i="40"/>
  <c r="U41" i="40"/>
  <c r="J23" i="40"/>
  <c r="G92" i="40"/>
  <c r="F23" i="40"/>
  <c r="S23" i="40" s="1"/>
  <c r="W15" i="40"/>
  <c r="W27" i="39"/>
  <c r="S23" i="39"/>
  <c r="W14" i="39"/>
  <c r="U23" i="35"/>
  <c r="AB23" i="35"/>
  <c r="H20" i="35"/>
  <c r="F20" i="35"/>
  <c r="S20" i="35"/>
  <c r="H15" i="34"/>
  <c r="AB15" i="34" s="1"/>
  <c r="F78" i="34"/>
  <c r="G78" i="34"/>
  <c r="J15" i="34"/>
  <c r="H41" i="33"/>
  <c r="U41" i="33"/>
  <c r="F121" i="33"/>
  <c r="G121" i="33"/>
  <c r="H121" i="33" s="1"/>
  <c r="I121" i="33" s="1"/>
  <c r="J121" i="33" s="1"/>
  <c r="K121" i="33" s="1"/>
  <c r="L121" i="33" s="1"/>
  <c r="M121" i="33" s="1"/>
  <c r="F30" i="40"/>
  <c r="AA30" i="40"/>
  <c r="H100" i="40"/>
  <c r="I100" i="40"/>
  <c r="J100" i="40"/>
  <c r="K100" i="40"/>
  <c r="L100" i="40" s="1"/>
  <c r="M100" i="40" s="1"/>
  <c r="AB38" i="34"/>
  <c r="AB37" i="39"/>
  <c r="U39" i="39"/>
  <c r="J29" i="39"/>
  <c r="AB21" i="39"/>
  <c r="U21" i="39"/>
  <c r="AB17" i="39"/>
  <c r="AB33" i="36"/>
  <c r="AA14" i="35"/>
  <c r="S14" i="35"/>
  <c r="G99" i="37"/>
  <c r="H99" i="37" s="1"/>
  <c r="I99" i="37" s="1"/>
  <c r="J99" i="37" s="1"/>
  <c r="K99" i="37" s="1"/>
  <c r="L99" i="37" s="1"/>
  <c r="M99" i="37" s="1"/>
  <c r="F33" i="37"/>
  <c r="U19" i="39"/>
  <c r="U46" i="34"/>
  <c r="AC30" i="34"/>
  <c r="AA14" i="34"/>
  <c r="W12" i="34"/>
  <c r="U29" i="33"/>
  <c r="AC13" i="33"/>
  <c r="AA11" i="34"/>
  <c r="W32" i="33"/>
  <c r="H15" i="33"/>
  <c r="U15" i="33" s="1"/>
  <c r="AA11" i="33"/>
  <c r="U17" i="21"/>
  <c r="W34" i="40"/>
  <c r="AB34" i="40"/>
  <c r="AB42" i="40"/>
  <c r="W32" i="40"/>
  <c r="H25" i="40"/>
  <c r="F94" i="40"/>
  <c r="G94" i="40"/>
  <c r="U47" i="39"/>
  <c r="J37" i="34"/>
  <c r="AC37" i="34"/>
  <c r="J36" i="33"/>
  <c r="W36" i="33" s="1"/>
  <c r="U27" i="39"/>
  <c r="H23" i="39"/>
  <c r="AB23" i="39"/>
  <c r="F97" i="39"/>
  <c r="G97" i="39"/>
  <c r="S16" i="39"/>
  <c r="AA41" i="33"/>
  <c r="F106" i="33"/>
  <c r="G106" i="33"/>
  <c r="H106" i="33" s="1"/>
  <c r="I106" i="33" s="1"/>
  <c r="J106" i="33" s="1"/>
  <c r="K106" i="33" s="1"/>
  <c r="L106" i="33" s="1"/>
  <c r="M106" i="33" s="1"/>
  <c r="J34" i="33"/>
  <c r="AC34" i="33"/>
  <c r="U30" i="40"/>
  <c r="W29" i="35"/>
  <c r="W39" i="39"/>
  <c r="S39" i="39"/>
  <c r="AB46" i="39"/>
  <c r="AB44" i="39"/>
  <c r="AC33" i="39"/>
  <c r="W33" i="39"/>
  <c r="S33" i="39"/>
  <c r="S17" i="39"/>
  <c r="G80" i="35"/>
  <c r="H80" i="35" s="1"/>
  <c r="I80" i="35" s="1"/>
  <c r="J80" i="35" s="1"/>
  <c r="K80" i="35" s="1"/>
  <c r="L80" i="35" s="1"/>
  <c r="M80" i="35" s="1"/>
  <c r="F90" i="34"/>
  <c r="G90" i="34" s="1"/>
  <c r="H90" i="34" s="1"/>
  <c r="I90" i="34" s="1"/>
  <c r="J90" i="34" s="1"/>
  <c r="K90" i="34" s="1"/>
  <c r="L90" i="34" s="1"/>
  <c r="M90" i="34" s="1"/>
  <c r="F27" i="34"/>
  <c r="AC43" i="39"/>
  <c r="W43" i="39"/>
  <c r="S43" i="39"/>
  <c r="G96" i="37"/>
  <c r="H96" i="37" s="1"/>
  <c r="I96" i="37" s="1"/>
  <c r="J96" i="37"/>
  <c r="K96" i="37"/>
  <c r="L96" i="37" s="1"/>
  <c r="M96" i="37" s="1"/>
  <c r="F32" i="37"/>
  <c r="S46" i="34"/>
  <c r="U32" i="34"/>
  <c r="U12" i="34"/>
  <c r="AB13" i="33"/>
  <c r="F17" i="34"/>
  <c r="AA17" i="34"/>
  <c r="J17" i="34"/>
  <c r="AC17" i="34" s="1"/>
  <c r="H11" i="34"/>
  <c r="U11" i="34" s="1"/>
  <c r="AB11" i="34"/>
  <c r="J35" i="33"/>
  <c r="AC15" i="33"/>
  <c r="H11" i="33"/>
  <c r="H10" i="33"/>
  <c r="U10" i="33"/>
  <c r="I66" i="33"/>
  <c r="J10" i="33"/>
  <c r="AC10" i="33"/>
  <c r="U40" i="21"/>
  <c r="U11" i="37"/>
  <c r="AC13" i="40"/>
  <c r="J11" i="34"/>
  <c r="W11" i="34" s="1"/>
  <c r="S17" i="34"/>
  <c r="AC36" i="33"/>
  <c r="F25" i="40"/>
  <c r="J11" i="33"/>
  <c r="W11" i="33"/>
  <c r="H33" i="37"/>
  <c r="U20" i="35"/>
  <c r="AB20" i="35"/>
  <c r="B11" i="1"/>
  <c r="E11" i="1"/>
  <c r="B9" i="1"/>
  <c r="E9" i="1" s="1"/>
  <c r="B7" i="1"/>
  <c r="E7" i="1"/>
  <c r="C20" i="43"/>
  <c r="AP6" i="1"/>
  <c r="M22" i="44"/>
  <c r="F59" i="15"/>
  <c r="F70" i="9"/>
  <c r="D86" i="9"/>
  <c r="M20" i="44"/>
  <c r="F31" i="43"/>
  <c r="F30" i="44"/>
  <c r="AC25" i="36"/>
  <c r="S23" i="36"/>
  <c r="S8" i="36"/>
  <c r="AA26" i="36"/>
  <c r="AA28" i="36"/>
  <c r="U25" i="36"/>
  <c r="H20" i="36"/>
  <c r="U20" i="36"/>
  <c r="F68" i="36"/>
  <c r="G68" i="36"/>
  <c r="J20" i="36"/>
  <c r="W20" i="36" s="1"/>
  <c r="AC20" i="36"/>
  <c r="F20" i="36"/>
  <c r="S20" i="36"/>
  <c r="F62" i="36"/>
  <c r="G62" i="36"/>
  <c r="J14" i="36"/>
  <c r="H14" i="36"/>
  <c r="F14" i="36"/>
  <c r="AA14" i="36"/>
  <c r="U32" i="36"/>
  <c r="AB12" i="36"/>
  <c r="U9" i="36"/>
  <c r="S33" i="36"/>
  <c r="AA27" i="36"/>
  <c r="S16" i="36"/>
  <c r="S29" i="36"/>
  <c r="AC33" i="35"/>
  <c r="U22" i="35"/>
  <c r="AA13" i="35"/>
  <c r="AC9" i="35"/>
  <c r="S8" i="35"/>
  <c r="U33" i="35"/>
  <c r="AA20" i="35"/>
  <c r="S23" i="35"/>
  <c r="S16" i="35"/>
  <c r="AB14" i="35"/>
  <c r="AC10" i="35"/>
  <c r="W13" i="35"/>
  <c r="AC18" i="35"/>
  <c r="W18" i="35"/>
  <c r="U18" i="35"/>
  <c r="AB18" i="35"/>
  <c r="S30" i="35"/>
  <c r="AB30" i="35"/>
  <c r="S27" i="35"/>
  <c r="S28" i="35"/>
  <c r="J26" i="35"/>
  <c r="F26" i="35"/>
  <c r="H26" i="35"/>
  <c r="U26" i="35" s="1"/>
  <c r="AB9" i="37"/>
  <c r="S17" i="37"/>
  <c r="W28" i="37"/>
  <c r="AA31" i="37"/>
  <c r="S33" i="37"/>
  <c r="AA33" i="37"/>
  <c r="J33" i="37"/>
  <c r="W33" i="37" s="1"/>
  <c r="S29" i="37"/>
  <c r="J19" i="37"/>
  <c r="AC19" i="37" s="1"/>
  <c r="G75" i="37"/>
  <c r="F19" i="37"/>
  <c r="H19" i="37"/>
  <c r="J17" i="37"/>
  <c r="S15" i="37"/>
  <c r="AC10" i="37"/>
  <c r="AC21" i="37"/>
  <c r="W21" i="37"/>
  <c r="AC11" i="37"/>
  <c r="AC9" i="37"/>
  <c r="W32" i="37"/>
  <c r="U8" i="37"/>
  <c r="AB21" i="37"/>
  <c r="U21" i="37"/>
  <c r="S37" i="37"/>
  <c r="S40" i="37"/>
  <c r="AA11" i="37"/>
  <c r="S10" i="37"/>
  <c r="W46" i="34"/>
  <c r="AC45" i="34"/>
  <c r="AA40" i="34"/>
  <c r="W33" i="34"/>
  <c r="U30" i="34"/>
  <c r="S32" i="34"/>
  <c r="AB33" i="34"/>
  <c r="AA12" i="34"/>
  <c r="AC35" i="34"/>
  <c r="AA30" i="34"/>
  <c r="AA33" i="34"/>
  <c r="U44" i="34"/>
  <c r="U34" i="34"/>
  <c r="J25" i="34"/>
  <c r="H25" i="34"/>
  <c r="F25" i="34"/>
  <c r="J23" i="34"/>
  <c r="F86" i="34"/>
  <c r="G86" i="34" s="1"/>
  <c r="F23" i="34"/>
  <c r="H23" i="34"/>
  <c r="W17" i="34"/>
  <c r="AC11" i="34"/>
  <c r="W10" i="34"/>
  <c r="U10" i="34"/>
  <c r="W37" i="34"/>
  <c r="AC40" i="34"/>
  <c r="W44" i="34"/>
  <c r="W19" i="34"/>
  <c r="W29" i="34"/>
  <c r="AC21" i="34"/>
  <c r="W21" i="34"/>
  <c r="U15" i="34"/>
  <c r="AB21" i="34"/>
  <c r="U21" i="34"/>
  <c r="U27" i="34"/>
  <c r="U19" i="34"/>
  <c r="AB41" i="34"/>
  <c r="AA41" i="34"/>
  <c r="S10" i="34"/>
  <c r="U39" i="33"/>
  <c r="U37" i="33"/>
  <c r="W34" i="33"/>
  <c r="AC12" i="33"/>
  <c r="AB41" i="33"/>
  <c r="U36" i="33"/>
  <c r="W31" i="33"/>
  <c r="W43" i="33"/>
  <c r="W39" i="33"/>
  <c r="U35" i="33"/>
  <c r="AB34" i="33"/>
  <c r="W26" i="33"/>
  <c r="H25" i="33"/>
  <c r="AB25" i="33"/>
  <c r="J25" i="33"/>
  <c r="W25" i="33"/>
  <c r="F87" i="33"/>
  <c r="G87" i="33"/>
  <c r="H87" i="33" s="1"/>
  <c r="I87" i="33" s="1"/>
  <c r="J87" i="33"/>
  <c r="K87" i="33"/>
  <c r="L87" i="33" s="1"/>
  <c r="M87" i="33" s="1"/>
  <c r="F25" i="33"/>
  <c r="F85" i="33"/>
  <c r="G85" i="33" s="1"/>
  <c r="J23" i="33"/>
  <c r="F23" i="33"/>
  <c r="H23" i="33"/>
  <c r="U23" i="33" s="1"/>
  <c r="U19" i="33"/>
  <c r="F79" i="33"/>
  <c r="G79" i="33"/>
  <c r="F17" i="33"/>
  <c r="AA17" i="33" s="1"/>
  <c r="H17" i="33"/>
  <c r="J17" i="33"/>
  <c r="AB15" i="33"/>
  <c r="AC11" i="33"/>
  <c r="S14" i="33"/>
  <c r="W10" i="33"/>
  <c r="AC21" i="33"/>
  <c r="W21" i="33"/>
  <c r="W14" i="33"/>
  <c r="AB10" i="33"/>
  <c r="U25" i="33"/>
  <c r="AB21" i="33"/>
  <c r="U21" i="33"/>
  <c r="AA21" i="33"/>
  <c r="S21" i="33"/>
  <c r="AA44" i="33"/>
  <c r="AA36" i="33"/>
  <c r="W39" i="21"/>
  <c r="U35" i="21"/>
  <c r="W43" i="21"/>
  <c r="S42" i="21"/>
  <c r="W28" i="21"/>
  <c r="F85" i="21"/>
  <c r="G85" i="21"/>
  <c r="W23" i="21"/>
  <c r="W17" i="21"/>
  <c r="S15" i="21"/>
  <c r="F77" i="21"/>
  <c r="G77" i="21"/>
  <c r="W21" i="21"/>
  <c r="U21" i="21"/>
  <c r="S35" i="40"/>
  <c r="S14" i="40"/>
  <c r="S15" i="40"/>
  <c r="AB13" i="40"/>
  <c r="W11" i="40"/>
  <c r="AA21" i="40"/>
  <c r="U21" i="40"/>
  <c r="W25" i="40"/>
  <c r="W42" i="40"/>
  <c r="U35" i="40"/>
  <c r="F37" i="40"/>
  <c r="J37" i="40"/>
  <c r="AC37" i="40"/>
  <c r="H37" i="40"/>
  <c r="AB37" i="40" s="1"/>
  <c r="G113" i="40"/>
  <c r="H113" i="40"/>
  <c r="I113" i="40"/>
  <c r="J113" i="40"/>
  <c r="K113" i="40" s="1"/>
  <c r="L113" i="40" s="1"/>
  <c r="M113" i="40"/>
  <c r="F39" i="40"/>
  <c r="H39" i="40"/>
  <c r="J39" i="40"/>
  <c r="W39" i="40" s="1"/>
  <c r="W38" i="40"/>
  <c r="F29" i="40"/>
  <c r="H29" i="40"/>
  <c r="AB29" i="40" s="1"/>
  <c r="J29" i="40"/>
  <c r="W29" i="40" s="1"/>
  <c r="F98" i="40"/>
  <c r="G98" i="40" s="1"/>
  <c r="H98" i="40" s="1"/>
  <c r="I98" i="40" s="1"/>
  <c r="J98" i="40" s="1"/>
  <c r="K98" i="40" s="1"/>
  <c r="L98" i="40" s="1"/>
  <c r="M98" i="40" s="1"/>
  <c r="S30" i="40"/>
  <c r="AA23" i="40"/>
  <c r="F88" i="40"/>
  <c r="G88" i="40" s="1"/>
  <c r="F19" i="40"/>
  <c r="H19" i="40"/>
  <c r="U19" i="40" s="1"/>
  <c r="J19" i="40"/>
  <c r="W17" i="40"/>
  <c r="AC17" i="40"/>
  <c r="F17" i="40"/>
  <c r="S17" i="40" s="1"/>
  <c r="AA17" i="40"/>
  <c r="H17" i="40"/>
  <c r="AB17" i="40" s="1"/>
  <c r="W21" i="40"/>
  <c r="AB40" i="40"/>
  <c r="U10" i="40"/>
  <c r="U27" i="40"/>
  <c r="AB27" i="40"/>
  <c r="AC44" i="39"/>
  <c r="S11" i="39"/>
  <c r="AB45" i="39"/>
  <c r="S27" i="39"/>
  <c r="AC38" i="39"/>
  <c r="S29" i="39"/>
  <c r="AC17" i="39"/>
  <c r="S14" i="39"/>
  <c r="AB15" i="39"/>
  <c r="U11" i="39"/>
  <c r="U41" i="39"/>
  <c r="U23" i="39"/>
  <c r="AB38" i="39"/>
  <c r="S25" i="39"/>
  <c r="S38" i="39"/>
  <c r="S22" i="31"/>
  <c r="R22" i="31" s="1"/>
  <c r="M20" i="15"/>
  <c r="D96" i="9"/>
  <c r="M18" i="15"/>
  <c r="A18" i="64"/>
  <c r="B74" i="63"/>
  <c r="C53" i="10"/>
  <c r="A25" i="64" s="1"/>
  <c r="A18" i="51"/>
  <c r="B14" i="63"/>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G100" i="46"/>
  <c r="H84" i="46"/>
  <c r="H65" i="46"/>
  <c r="H66" i="46"/>
  <c r="J100" i="46"/>
  <c r="M100" i="46"/>
  <c r="AA12" i="36"/>
  <c r="U12" i="35"/>
  <c r="AB12" i="35"/>
  <c r="W11" i="35"/>
  <c r="AA11" i="35"/>
  <c r="S14" i="37"/>
  <c r="U13" i="37"/>
  <c r="C24" i="9"/>
  <c r="C25" i="9"/>
  <c r="AP7" i="1"/>
  <c r="G7" i="1"/>
  <c r="B6" i="63"/>
  <c r="L5" i="54"/>
  <c r="B39" i="63" s="1"/>
  <c r="K5" i="54"/>
  <c r="T41" i="4"/>
  <c r="A17" i="64" s="1"/>
  <c r="B46" i="50"/>
  <c r="B4" i="63"/>
  <c r="P21" i="46"/>
  <c r="H77" i="46"/>
  <c r="H73" i="46"/>
  <c r="H69" i="46"/>
  <c r="H74" i="46"/>
  <c r="H86" i="46"/>
  <c r="H82" i="46"/>
  <c r="H63" i="46"/>
  <c r="H59" i="46"/>
  <c r="H64" i="46"/>
  <c r="H60" i="46"/>
  <c r="H10" i="48"/>
  <c r="H87" i="46"/>
  <c r="H85" i="46"/>
  <c r="H83" i="46"/>
  <c r="R13" i="1"/>
  <c r="B6" i="1"/>
  <c r="E6" i="1" s="1"/>
  <c r="B10" i="1"/>
  <c r="E10" i="1" s="1"/>
  <c r="B8" i="1"/>
  <c r="E8" i="1"/>
  <c r="B12" i="1"/>
  <c r="E12" i="1" s="1"/>
  <c r="F66" i="36"/>
  <c r="G66" i="36" s="1"/>
  <c r="H18" i="36"/>
  <c r="U16" i="36"/>
  <c r="S25" i="36"/>
  <c r="AA34" i="36"/>
  <c r="U23" i="36"/>
  <c r="AC27" i="36"/>
  <c r="W28" i="36"/>
  <c r="AA32" i="36"/>
  <c r="U13" i="36"/>
  <c r="AA22" i="36"/>
  <c r="U10" i="36"/>
  <c r="AA13" i="36"/>
  <c r="W29" i="36"/>
  <c r="S9" i="36"/>
  <c r="W8" i="36"/>
  <c r="AC30" i="35"/>
  <c r="U24" i="35"/>
  <c r="W32" i="35"/>
  <c r="S24" i="35"/>
  <c r="AA33" i="35"/>
  <c r="U32" i="35"/>
  <c r="W22" i="35"/>
  <c r="W34" i="35"/>
  <c r="S32" i="35"/>
  <c r="W35" i="37"/>
  <c r="AC33" i="37"/>
  <c r="AC15" i="37"/>
  <c r="AA13" i="37"/>
  <c r="S12" i="37"/>
  <c r="W38" i="37"/>
  <c r="W36" i="37"/>
  <c r="U26" i="37"/>
  <c r="AB28" i="37"/>
  <c r="S28" i="37"/>
  <c r="W13" i="37"/>
  <c r="U38" i="37"/>
  <c r="S26" i="37"/>
  <c r="AB35" i="34"/>
  <c r="AB29" i="34"/>
  <c r="AC13" i="34"/>
  <c r="S47" i="34"/>
  <c r="AA29" i="34"/>
  <c r="S19" i="34"/>
  <c r="S8" i="34"/>
  <c r="AA19" i="33"/>
  <c r="AC25" i="33"/>
  <c r="S43" i="33"/>
  <c r="AB42" i="33"/>
  <c r="AB14" i="33"/>
  <c r="AB12" i="33"/>
  <c r="S15" i="33"/>
  <c r="S9" i="33"/>
  <c r="S39" i="21"/>
  <c r="W25" i="21"/>
  <c r="W31" i="21"/>
  <c r="S27" i="21"/>
  <c r="W29" i="21"/>
  <c r="G96" i="40"/>
  <c r="J27" i="40"/>
  <c r="W27" i="40" s="1"/>
  <c r="W37" i="40"/>
  <c r="W30" i="40"/>
  <c r="S34" i="40"/>
  <c r="U17" i="40"/>
  <c r="U38" i="40"/>
  <c r="S40" i="40"/>
  <c r="S42" i="40"/>
  <c r="G105" i="39"/>
  <c r="J31" i="39"/>
  <c r="S45" i="39"/>
  <c r="AB43" i="39"/>
  <c r="AB33" i="39"/>
  <c r="S34" i="39"/>
  <c r="W42" i="39"/>
  <c r="W36" i="39"/>
  <c r="W23" i="39"/>
  <c r="AC37" i="39"/>
  <c r="U14" i="39"/>
  <c r="W16" i="39"/>
  <c r="S15" i="39"/>
  <c r="S41"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AA26" i="35"/>
  <c r="S26" i="35"/>
  <c r="AB26" i="35"/>
  <c r="W26" i="35"/>
  <c r="AC26" i="35"/>
  <c r="W19" i="37"/>
  <c r="AB19" i="37"/>
  <c r="U19" i="37"/>
  <c r="AC17" i="37"/>
  <c r="W17" i="37"/>
  <c r="U25" i="34"/>
  <c r="AB25" i="34"/>
  <c r="AA25" i="34"/>
  <c r="S25" i="34"/>
  <c r="U23" i="34"/>
  <c r="AB23" i="34"/>
  <c r="AA23" i="34"/>
  <c r="S23" i="34"/>
  <c r="AC23" i="34"/>
  <c r="W23" i="34"/>
  <c r="AA25" i="33"/>
  <c r="S25" i="33"/>
  <c r="AB23" i="33"/>
  <c r="W23" i="33"/>
  <c r="AC23" i="33"/>
  <c r="W17" i="33"/>
  <c r="AC17" i="33"/>
  <c r="S17" i="33"/>
  <c r="U17" i="33"/>
  <c r="AB17" i="33"/>
  <c r="U23" i="21"/>
  <c r="S23" i="21"/>
  <c r="U15" i="21"/>
  <c r="W15" i="21"/>
  <c r="AB39" i="40"/>
  <c r="U39" i="40"/>
  <c r="AC39" i="40"/>
  <c r="AA39" i="40"/>
  <c r="S39" i="40"/>
  <c r="U37" i="40"/>
  <c r="AA37" i="40"/>
  <c r="S37" i="40"/>
  <c r="U29" i="40"/>
  <c r="AC29" i="40"/>
  <c r="AA29" i="40"/>
  <c r="S29" i="40"/>
  <c r="AA19" i="40"/>
  <c r="S19" i="40"/>
  <c r="AB19" i="40"/>
  <c r="W31" i="39"/>
  <c r="AC31" i="39"/>
  <c r="B20" i="31"/>
  <c r="B21" i="31"/>
  <c r="A17" i="51"/>
  <c r="B13" i="63" s="1"/>
  <c r="AT6" i="3"/>
  <c r="H70" i="46"/>
  <c r="H72" i="46"/>
  <c r="A9" i="64"/>
  <c r="A9" i="51"/>
  <c r="B9" i="63" s="1"/>
  <c r="J18" i="36"/>
  <c r="W18" i="36" s="1"/>
  <c r="F33" i="44"/>
  <c r="F31" i="15"/>
  <c r="F58" i="15"/>
  <c r="M17" i="15"/>
  <c r="M19" i="44"/>
  <c r="AC18" i="36"/>
  <c r="L27" i="6"/>
  <c r="C45" i="9"/>
  <c r="K31" i="9"/>
  <c r="K32" i="9" s="1"/>
  <c r="N76" i="9"/>
  <c r="C46" i="9"/>
  <c r="K33" i="9"/>
  <c r="O41" i="9"/>
  <c r="R8" i="54" s="1"/>
  <c r="B54" i="63" s="1"/>
  <c r="I14" i="66"/>
  <c r="B8" i="66" s="1"/>
  <c r="K34" i="9"/>
  <c r="M26" i="72"/>
  <c r="B14" i="67"/>
  <c r="F36" i="71"/>
  <c r="B13" i="67"/>
  <c r="L49" i="44"/>
  <c r="F12" i="67"/>
  <c r="F18" i="44"/>
  <c r="B8" i="67"/>
  <c r="F40" i="71"/>
  <c r="M24" i="44"/>
  <c r="F10" i="67"/>
  <c r="L48" i="44"/>
  <c r="M24" i="72"/>
  <c r="M29" i="15"/>
  <c r="E12" i="67"/>
  <c r="C19" i="44"/>
  <c r="F9" i="44"/>
  <c r="J6" i="65"/>
  <c r="M8" i="72"/>
  <c r="F37" i="71"/>
  <c r="M22" i="71"/>
  <c r="F9" i="71"/>
  <c r="F7" i="15"/>
  <c r="M28" i="71"/>
  <c r="M27" i="72"/>
  <c r="F9" i="72"/>
  <c r="M27" i="71"/>
  <c r="F8" i="67"/>
  <c r="M23" i="44"/>
  <c r="B10" i="67"/>
  <c r="M31" i="44"/>
  <c r="M23" i="72"/>
  <c r="I7" i="65"/>
  <c r="L48" i="15"/>
  <c r="B9" i="67"/>
  <c r="M24" i="15"/>
  <c r="F6" i="71"/>
  <c r="F8" i="15"/>
  <c r="J36" i="71"/>
  <c r="M6" i="15"/>
  <c r="I5" i="65"/>
  <c r="M8" i="44"/>
  <c r="F45" i="44"/>
  <c r="M9" i="71"/>
  <c r="F11" i="67"/>
  <c r="I6" i="65"/>
  <c r="E11" i="67"/>
  <c r="M8" i="71"/>
  <c r="F36" i="15"/>
  <c r="F26" i="15"/>
  <c r="M26" i="44"/>
  <c r="J15" i="71"/>
  <c r="E14" i="67"/>
  <c r="F40" i="15"/>
  <c r="L47" i="15"/>
  <c r="F40" i="72"/>
  <c r="F15" i="44"/>
  <c r="F8" i="72"/>
  <c r="M28" i="15"/>
  <c r="M25" i="44"/>
  <c r="M11" i="44"/>
  <c r="F41" i="72"/>
  <c r="F37" i="44"/>
  <c r="E8" i="67"/>
  <c r="B11" i="67"/>
  <c r="M6" i="72"/>
  <c r="F37" i="15"/>
  <c r="M9" i="15"/>
  <c r="F8" i="44"/>
  <c r="I4" i="65"/>
  <c r="M27" i="15"/>
  <c r="F38" i="72"/>
  <c r="F26" i="72"/>
  <c r="L47" i="71"/>
  <c r="F36" i="72"/>
  <c r="F38" i="71"/>
  <c r="J15" i="15"/>
  <c r="L48" i="71"/>
  <c r="M28" i="72"/>
  <c r="E9" i="67"/>
  <c r="F10" i="44"/>
  <c r="N3" i="65"/>
  <c r="F9" i="67"/>
  <c r="J36" i="15"/>
  <c r="M22" i="15"/>
  <c r="N7" i="65"/>
  <c r="N6" i="65"/>
  <c r="J15" i="72"/>
  <c r="F13" i="15"/>
  <c r="F28" i="44"/>
  <c r="F16" i="72"/>
  <c r="F38" i="15"/>
  <c r="M28" i="44"/>
  <c r="F8" i="71"/>
  <c r="F13" i="71"/>
  <c r="F42" i="15"/>
  <c r="M26" i="15"/>
  <c r="B12" i="67"/>
  <c r="N4" i="65"/>
  <c r="F42" i="72"/>
  <c r="F43" i="15"/>
  <c r="J36" i="72"/>
  <c r="F13" i="72"/>
  <c r="E13" i="67"/>
  <c r="M22" i="72"/>
  <c r="L47" i="72"/>
  <c r="F37" i="72"/>
  <c r="F26" i="71"/>
  <c r="M29" i="44"/>
  <c r="F9" i="15"/>
  <c r="M24" i="71"/>
  <c r="E10" i="67"/>
  <c r="F46" i="44"/>
  <c r="I3" i="65"/>
  <c r="F14" i="67"/>
  <c r="M23" i="15"/>
  <c r="M8" i="15"/>
  <c r="F39" i="44"/>
  <c r="F40" i="44"/>
  <c r="M30" i="44"/>
  <c r="N5" i="65"/>
  <c r="J4" i="65"/>
  <c r="F6" i="72"/>
  <c r="M23" i="71"/>
  <c r="M9" i="72"/>
  <c r="M10" i="44"/>
  <c r="M6" i="71"/>
  <c r="M26" i="71"/>
  <c r="J3" i="65"/>
  <c r="F43" i="44"/>
  <c r="J17" i="44"/>
  <c r="J5" i="65"/>
  <c r="F42" i="71"/>
  <c r="F13" i="67"/>
  <c r="F16" i="15"/>
  <c r="F38" i="44"/>
  <c r="F16" i="71"/>
  <c r="F11" i="44"/>
  <c r="J7" i="65"/>
  <c r="N16" i="4" l="1"/>
  <c r="K17" i="4" s="1"/>
  <c r="A22" i="51" s="1"/>
  <c r="B16" i="63" s="1"/>
  <c r="D65" i="40"/>
  <c r="C67" i="40"/>
  <c r="C72" i="39"/>
  <c r="D70" i="39"/>
  <c r="D72" i="39" s="1"/>
  <c r="AP10" i="1"/>
  <c r="G10" i="1"/>
  <c r="P23" i="46"/>
  <c r="C7" i="33"/>
  <c r="C58" i="33" s="1"/>
  <c r="D58" i="33" s="1"/>
  <c r="E58" i="33" s="1"/>
  <c r="F58" i="33" s="1"/>
  <c r="G58" i="33" s="1"/>
  <c r="H58" i="33" s="1"/>
  <c r="I58" i="33" s="1"/>
  <c r="C7" i="34"/>
  <c r="C59" i="34" s="1"/>
  <c r="D59" i="34" s="1"/>
  <c r="E59" i="34" s="1"/>
  <c r="F59" i="34" s="1"/>
  <c r="G59" i="34" s="1"/>
  <c r="H59" i="34" s="1"/>
  <c r="I59" i="34" s="1"/>
  <c r="J59" i="34" s="1"/>
  <c r="K59" i="34" s="1"/>
  <c r="L59" i="34" s="1"/>
  <c r="M59" i="34" s="1"/>
  <c r="N59" i="34" s="1"/>
  <c r="O59" i="34" s="1"/>
  <c r="N67" i="9"/>
  <c r="A25" i="51"/>
  <c r="B18" i="63" s="1"/>
  <c r="O19" i="46"/>
  <c r="G9" i="1"/>
  <c r="F8" i="1"/>
  <c r="J51" i="74"/>
  <c r="J51" i="15"/>
  <c r="J57" i="15" s="1"/>
  <c r="J55" i="15" s="1"/>
  <c r="J58" i="15" s="1"/>
  <c r="Q51" i="15" s="1"/>
  <c r="P22" i="46"/>
  <c r="G11" i="1"/>
  <c r="G12" i="1"/>
  <c r="J51" i="72"/>
  <c r="L59" i="72" s="1"/>
  <c r="C28" i="73"/>
  <c r="C42" i="1"/>
  <c r="AB34" i="39"/>
  <c r="C18" i="9"/>
  <c r="M43" i="9" s="1"/>
  <c r="J32" i="21"/>
  <c r="AC32" i="21" s="1"/>
  <c r="H32" i="21"/>
  <c r="F32" i="21"/>
  <c r="AA32" i="21" s="1"/>
  <c r="W32" i="21"/>
  <c r="G29" i="76"/>
  <c r="U6" i="1" s="1"/>
  <c r="U40" i="39"/>
  <c r="AC40" i="39"/>
  <c r="W40" i="39"/>
  <c r="B38" i="63"/>
  <c r="A3" i="55"/>
  <c r="B56" i="63" s="1"/>
  <c r="W19" i="40"/>
  <c r="AC19" i="40"/>
  <c r="W25" i="34"/>
  <c r="AC25" i="34"/>
  <c r="W29" i="39"/>
  <c r="AC29" i="39"/>
  <c r="W16" i="40"/>
  <c r="AC16" i="40"/>
  <c r="AB33" i="40"/>
  <c r="U33" i="40"/>
  <c r="AC25" i="39"/>
  <c r="W25" i="39"/>
  <c r="U15" i="40"/>
  <c r="AB15" i="40"/>
  <c r="S15" i="34"/>
  <c r="AA15" i="34"/>
  <c r="U32" i="37"/>
  <c r="AB32" i="37"/>
  <c r="U13" i="34"/>
  <c r="AB13" i="34"/>
  <c r="W31" i="34"/>
  <c r="AC31" i="34"/>
  <c r="U47" i="34"/>
  <c r="AB47" i="34"/>
  <c r="O40" i="9"/>
  <c r="R7" i="54" s="1"/>
  <c r="B52" i="63" s="1"/>
  <c r="U18" i="36"/>
  <c r="AB18" i="36"/>
  <c r="E52" i="37"/>
  <c r="F52" i="37" s="1"/>
  <c r="G52" i="37" s="1"/>
  <c r="H52" i="37" s="1"/>
  <c r="I52" i="37" s="1"/>
  <c r="J52" i="37" s="1"/>
  <c r="K52" i="37" s="1"/>
  <c r="L52" i="37" s="1"/>
  <c r="M52" i="37" s="1"/>
  <c r="N52" i="37" s="1"/>
  <c r="O52" i="37" s="1"/>
  <c r="F7" i="34"/>
  <c r="AA27" i="34"/>
  <c r="S27" i="34"/>
  <c r="AC23" i="40"/>
  <c r="W23" i="40"/>
  <c r="AC45" i="39"/>
  <c r="W45" i="39"/>
  <c r="U23" i="40"/>
  <c r="AB23" i="40"/>
  <c r="AA29" i="35"/>
  <c r="S29" i="35"/>
  <c r="S32" i="33"/>
  <c r="AA32" i="33"/>
  <c r="W16" i="35"/>
  <c r="AC16" i="35"/>
  <c r="F7" i="35"/>
  <c r="J7" i="37"/>
  <c r="J7" i="34"/>
  <c r="AA32" i="37"/>
  <c r="S32" i="37"/>
  <c r="W15" i="34"/>
  <c r="AC15" i="34"/>
  <c r="S41" i="40"/>
  <c r="AA41" i="40"/>
  <c r="W14" i="35"/>
  <c r="AC14" i="35"/>
  <c r="AA35" i="33"/>
  <c r="S35" i="33"/>
  <c r="F46" i="36"/>
  <c r="G46" i="36" s="1"/>
  <c r="H46" i="36" s="1"/>
  <c r="I46" i="36" s="1"/>
  <c r="J46" i="36" s="1"/>
  <c r="K46" i="36" s="1"/>
  <c r="L46" i="36" s="1"/>
  <c r="M46" i="36" s="1"/>
  <c r="N46" i="36" s="1"/>
  <c r="O46" i="36" s="1"/>
  <c r="F7" i="36"/>
  <c r="H7" i="34"/>
  <c r="H14" i="66"/>
  <c r="B7" i="66" s="1"/>
  <c r="S23" i="33"/>
  <c r="AA23" i="33"/>
  <c r="S19" i="37"/>
  <c r="AA19" i="37"/>
  <c r="AB33" i="37"/>
  <c r="U33" i="37"/>
  <c r="AC41" i="39"/>
  <c r="W41" i="39"/>
  <c r="W15" i="39"/>
  <c r="AC15" i="39"/>
  <c r="AA38" i="40"/>
  <c r="S38" i="40"/>
  <c r="W35" i="33"/>
  <c r="AC35" i="33"/>
  <c r="AB25" i="40"/>
  <c r="U25" i="40"/>
  <c r="AC33" i="40"/>
  <c r="W33" i="40"/>
  <c r="S34" i="33"/>
  <c r="AA34" i="33"/>
  <c r="U29" i="39"/>
  <c r="AB29" i="39"/>
  <c r="W46" i="39"/>
  <c r="W32" i="34"/>
  <c r="AB14" i="34"/>
  <c r="W14" i="34"/>
  <c r="AA29" i="33"/>
  <c r="AA35" i="35"/>
  <c r="S35" i="35"/>
  <c r="AC27" i="40"/>
  <c r="H7" i="35"/>
  <c r="J7" i="35"/>
  <c r="AC34" i="39"/>
  <c r="W34" i="39"/>
  <c r="AB11" i="36"/>
  <c r="U11" i="36"/>
  <c r="U11" i="35"/>
  <c r="AB11" i="35"/>
  <c r="U27" i="37"/>
  <c r="AB27" i="37"/>
  <c r="AA25" i="40"/>
  <c r="S25" i="40"/>
  <c r="U11" i="33"/>
  <c r="AB11" i="33"/>
  <c r="AC28" i="33"/>
  <c r="W28" i="33"/>
  <c r="AA16" i="40"/>
  <c r="S16" i="40"/>
  <c r="AC12" i="37"/>
  <c r="S9" i="37"/>
  <c r="S27" i="37"/>
  <c r="U17" i="37"/>
  <c r="W46" i="33"/>
  <c r="S38" i="37"/>
  <c r="AC35" i="35"/>
  <c r="AA25" i="35"/>
  <c r="AA45" i="34"/>
  <c r="U45" i="34"/>
  <c r="AB31" i="34"/>
  <c r="AB46" i="33"/>
  <c r="AC44" i="33"/>
  <c r="U37" i="37"/>
  <c r="U31" i="33"/>
  <c r="W29" i="33"/>
  <c r="F28" i="33"/>
  <c r="AC42" i="34"/>
  <c r="S34" i="37"/>
  <c r="AC34" i="36"/>
  <c r="U10" i="35"/>
  <c r="F26" i="33"/>
  <c r="AA43" i="34"/>
  <c r="H9" i="35"/>
  <c r="W31" i="36"/>
  <c r="AC31" i="36"/>
  <c r="AC39" i="37"/>
  <c r="AB31" i="35"/>
  <c r="U31" i="35"/>
  <c r="C29" i="39"/>
  <c r="B73" i="46"/>
  <c r="W9" i="34"/>
  <c r="AC9" i="34"/>
  <c r="S34" i="35"/>
  <c r="AA34" i="35"/>
  <c r="H28" i="34"/>
  <c r="AB28" i="36"/>
  <c r="AA28" i="34"/>
  <c r="AB9" i="33"/>
  <c r="U9" i="33"/>
  <c r="J24" i="36"/>
  <c r="H24" i="36"/>
  <c r="AB8" i="34"/>
  <c r="AC41" i="34"/>
  <c r="AB45" i="33"/>
  <c r="U30" i="33"/>
  <c r="J47" i="34"/>
  <c r="F31" i="34"/>
  <c r="F13" i="34"/>
  <c r="S31" i="33"/>
  <c r="H26" i="33"/>
  <c r="S22" i="35"/>
  <c r="J28" i="34"/>
  <c r="W24" i="35"/>
  <c r="F9" i="34"/>
  <c r="J9" i="36"/>
  <c r="H25" i="37"/>
  <c r="F25" i="37"/>
  <c r="AA31" i="35"/>
  <c r="S31" i="35"/>
  <c r="C35" i="59"/>
  <c r="D34" i="59"/>
  <c r="D1" i="57"/>
  <c r="E10" i="57" s="1"/>
  <c r="I21" i="57"/>
  <c r="C65" i="59"/>
  <c r="D65" i="59" s="1"/>
  <c r="D66" i="59"/>
  <c r="C110" i="9"/>
  <c r="T55" i="59"/>
  <c r="D55" i="59"/>
  <c r="E100" i="46"/>
  <c r="E108" i="46"/>
  <c r="E47" i="46"/>
  <c r="B45" i="46" s="1"/>
  <c r="E11" i="46"/>
  <c r="E8" i="46"/>
  <c r="AA11" i="59"/>
  <c r="AA5" i="59"/>
  <c r="AA3" i="59"/>
  <c r="V7" i="59"/>
  <c r="F6" i="59"/>
  <c r="F5" i="59" s="1"/>
  <c r="P25" i="46"/>
  <c r="B73" i="39" s="1"/>
  <c r="F37" i="21"/>
  <c r="J37" i="21"/>
  <c r="H37" i="21"/>
  <c r="F9" i="21"/>
  <c r="J9" i="21"/>
  <c r="S13" i="1"/>
  <c r="K13" i="1"/>
  <c r="M13" i="1" s="1"/>
  <c r="AP13" i="1"/>
  <c r="S21" i="34"/>
  <c r="P27" i="6"/>
  <c r="T43" i="59"/>
  <c r="D50" i="59"/>
  <c r="D70" i="59"/>
  <c r="E62" i="59"/>
  <c r="E61" i="59" s="1"/>
  <c r="C58" i="59"/>
  <c r="E49" i="59"/>
  <c r="AA10" i="59"/>
  <c r="U55" i="59"/>
  <c r="AA13" i="59"/>
  <c r="AA12" i="59"/>
  <c r="O76" i="9"/>
  <c r="A11" i="55"/>
  <c r="B62" i="63" s="1"/>
  <c r="P62" i="15"/>
  <c r="A30" i="64"/>
  <c r="F108" i="46"/>
  <c r="F33" i="46"/>
  <c r="F36" i="46"/>
  <c r="F38" i="46"/>
  <c r="F10" i="59"/>
  <c r="F9" i="59" s="1"/>
  <c r="V11" i="59"/>
  <c r="C6" i="59"/>
  <c r="T7" i="59"/>
  <c r="C9" i="59"/>
  <c r="D9" i="59" s="1"/>
  <c r="D10" i="59"/>
  <c r="Y5" i="59"/>
  <c r="Z5" i="59" s="1"/>
  <c r="E22" i="59"/>
  <c r="E23" i="59" s="1"/>
  <c r="U23" i="59" s="1"/>
  <c r="E18" i="59"/>
  <c r="E19" i="59" s="1"/>
  <c r="U19" i="59" s="1"/>
  <c r="E14" i="59"/>
  <c r="E15" i="59" s="1"/>
  <c r="U15" i="59" s="1"/>
  <c r="P12" i="1"/>
  <c r="D22" i="72"/>
  <c r="D24" i="72"/>
  <c r="E29" i="76"/>
  <c r="I4" i="6"/>
  <c r="K10" i="1"/>
  <c r="M10" i="1" s="1"/>
  <c r="G1" i="74"/>
  <c r="G386" i="3"/>
  <c r="G278" i="3"/>
  <c r="H5" i="3"/>
  <c r="S21" i="37"/>
  <c r="O48" i="59"/>
  <c r="T27" i="59"/>
  <c r="O50" i="59"/>
  <c r="D33" i="59"/>
  <c r="AA9" i="59"/>
  <c r="E26" i="59"/>
  <c r="E27" i="59" s="1"/>
  <c r="U27" i="59" s="1"/>
  <c r="AJ10" i="46"/>
  <c r="AA17" i="59"/>
  <c r="AA16" i="59"/>
  <c r="E10" i="46"/>
  <c r="C6" i="46"/>
  <c r="J17" i="46"/>
  <c r="G17" i="46"/>
  <c r="C17" i="46"/>
  <c r="C16" i="46" s="1"/>
  <c r="F39" i="46"/>
  <c r="F34" i="46"/>
  <c r="H17" i="46"/>
  <c r="F35" i="46"/>
  <c r="D22" i="59"/>
  <c r="C23" i="59"/>
  <c r="D18" i="59"/>
  <c r="C19" i="59"/>
  <c r="D14" i="59"/>
  <c r="C15" i="59"/>
  <c r="E9" i="59"/>
  <c r="E6" i="59"/>
  <c r="E5" i="59" s="1"/>
  <c r="E5" i="6"/>
  <c r="F44" i="21"/>
  <c r="J44" i="21"/>
  <c r="F13" i="21"/>
  <c r="J13" i="21"/>
  <c r="F10" i="21"/>
  <c r="H10" i="21"/>
  <c r="J10" i="21"/>
  <c r="D24" i="71"/>
  <c r="D23" i="71"/>
  <c r="D22" i="71"/>
  <c r="E7" i="21"/>
  <c r="G7" i="21" s="1"/>
  <c r="C58" i="21"/>
  <c r="D58" i="21" s="1"/>
  <c r="E58" i="21" s="1"/>
  <c r="F58" i="21" s="1"/>
  <c r="G58" i="21" s="1"/>
  <c r="H58" i="21" s="1"/>
  <c r="I58" i="21" s="1"/>
  <c r="J58" i="21" s="1"/>
  <c r="K58" i="21" s="1"/>
  <c r="L58" i="21" s="1"/>
  <c r="M58" i="21" s="1"/>
  <c r="N58" i="21" s="1"/>
  <c r="O58" i="21" s="1"/>
  <c r="G201" i="3"/>
  <c r="AC5" i="3"/>
  <c r="L108" i="46"/>
  <c r="S18" i="36"/>
  <c r="D49" i="59"/>
  <c r="C39" i="59"/>
  <c r="B50" i="59"/>
  <c r="N51" i="59"/>
  <c r="T59" i="59"/>
  <c r="Y21" i="59"/>
  <c r="Z21" i="59" s="1"/>
  <c r="AA20" i="59"/>
  <c r="Y14" i="59"/>
  <c r="Z14" i="59" s="1"/>
  <c r="A30" i="51"/>
  <c r="B22" i="63" s="1"/>
  <c r="Y6" i="59"/>
  <c r="Z6" i="59" s="1"/>
  <c r="E9" i="46"/>
  <c r="D7" i="59"/>
  <c r="X8" i="59"/>
  <c r="B10" i="59"/>
  <c r="B9" i="59" s="1"/>
  <c r="X5" i="59"/>
  <c r="AB3" i="59"/>
  <c r="AB5" i="59"/>
  <c r="F40" i="39"/>
  <c r="F31" i="39"/>
  <c r="H31" i="39"/>
  <c r="H44" i="21"/>
  <c r="F30" i="21"/>
  <c r="J30" i="21"/>
  <c r="G378" i="3"/>
  <c r="G286" i="3"/>
  <c r="G179" i="3"/>
  <c r="G163" i="3"/>
  <c r="AZ321" i="3"/>
  <c r="C15" i="12"/>
  <c r="G275" i="3"/>
  <c r="G191" i="3"/>
  <c r="G159" i="3"/>
  <c r="AA18" i="59"/>
  <c r="AA14" i="59"/>
  <c r="P8" i="12"/>
  <c r="O11" i="1"/>
  <c r="P11" i="1" s="1"/>
  <c r="H45" i="21"/>
  <c r="H31" i="21"/>
  <c r="H27" i="21"/>
  <c r="H14" i="21"/>
  <c r="G1" i="73"/>
  <c r="G207" i="3"/>
  <c r="G200" i="3"/>
  <c r="K7" i="1"/>
  <c r="G267" i="3"/>
  <c r="G183" i="3"/>
  <c r="G167" i="3"/>
  <c r="BA565" i="3"/>
  <c r="AZ565" i="3" s="1"/>
  <c r="BA560" i="3"/>
  <c r="AZ560" i="3" s="1"/>
  <c r="BA549" i="3"/>
  <c r="AZ549" i="3" s="1"/>
  <c r="BA544" i="3"/>
  <c r="AZ544" i="3" s="1"/>
  <c r="BA533" i="3"/>
  <c r="AZ533" i="3" s="1"/>
  <c r="BA528" i="3"/>
  <c r="AZ528" i="3" s="1"/>
  <c r="BA517" i="3"/>
  <c r="AZ517" i="3" s="1"/>
  <c r="BA512" i="3"/>
  <c r="AZ512" i="3" s="1"/>
  <c r="BA501" i="3"/>
  <c r="AZ501" i="3" s="1"/>
  <c r="BA496" i="3"/>
  <c r="AZ496" i="3" s="1"/>
  <c r="BA485" i="3"/>
  <c r="AZ485" i="3" s="1"/>
  <c r="BA480" i="3"/>
  <c r="AZ480" i="3" s="1"/>
  <c r="BA460" i="3"/>
  <c r="AZ460" i="3" s="1"/>
  <c r="BA444" i="3"/>
  <c r="AZ444" i="3" s="1"/>
  <c r="BA428" i="3"/>
  <c r="AZ428" i="3" s="1"/>
  <c r="BA412" i="3"/>
  <c r="AZ412" i="3" s="1"/>
  <c r="BA380" i="3"/>
  <c r="AZ380" i="3" s="1"/>
  <c r="BA361" i="3"/>
  <c r="AZ361" i="3" s="1"/>
  <c r="BA345" i="3"/>
  <c r="AZ345" i="3" s="1"/>
  <c r="BS5" i="3"/>
  <c r="BL15" i="3"/>
  <c r="BL5" i="3" s="1"/>
  <c r="BO5" i="3"/>
  <c r="F29" i="6"/>
  <c r="E29" i="6" s="1"/>
  <c r="K15" i="1" s="1"/>
  <c r="BA572" i="3"/>
  <c r="AZ572" i="3" s="1"/>
  <c r="BA563" i="3"/>
  <c r="AZ563" i="3" s="1"/>
  <c r="BA561" i="3"/>
  <c r="AZ561" i="3" s="1"/>
  <c r="BA556" i="3"/>
  <c r="AZ556" i="3" s="1"/>
  <c r="BA547" i="3"/>
  <c r="AZ547" i="3" s="1"/>
  <c r="BA545" i="3"/>
  <c r="AZ545" i="3" s="1"/>
  <c r="BA540" i="3"/>
  <c r="AZ540" i="3" s="1"/>
  <c r="BA531" i="3"/>
  <c r="AZ531" i="3" s="1"/>
  <c r="BA529" i="3"/>
  <c r="AZ529" i="3" s="1"/>
  <c r="BA524" i="3"/>
  <c r="AZ524" i="3" s="1"/>
  <c r="BA515" i="3"/>
  <c r="AZ515" i="3" s="1"/>
  <c r="BA513" i="3"/>
  <c r="AZ513" i="3" s="1"/>
  <c r="BA508" i="3"/>
  <c r="AZ508" i="3" s="1"/>
  <c r="BA499" i="3"/>
  <c r="AZ499" i="3" s="1"/>
  <c r="BA497" i="3"/>
  <c r="AZ497" i="3" s="1"/>
  <c r="BA492" i="3"/>
  <c r="AZ492" i="3" s="1"/>
  <c r="BA483" i="3"/>
  <c r="AZ483" i="3" s="1"/>
  <c r="BA481" i="3"/>
  <c r="AZ481" i="3" s="1"/>
  <c r="BA476" i="3"/>
  <c r="AZ476" i="3" s="1"/>
  <c r="BA467" i="3"/>
  <c r="AZ467" i="3" s="1"/>
  <c r="BA451" i="3"/>
  <c r="AZ451" i="3" s="1"/>
  <c r="BA435" i="3"/>
  <c r="AZ435" i="3" s="1"/>
  <c r="BA419" i="3"/>
  <c r="AZ419" i="3" s="1"/>
  <c r="BA403" i="3"/>
  <c r="AZ403" i="3" s="1"/>
  <c r="BA387" i="3"/>
  <c r="AZ387" i="3" s="1"/>
  <c r="BA371" i="3"/>
  <c r="AZ371" i="3" s="1"/>
  <c r="BT5" i="3"/>
  <c r="G28" i="6"/>
  <c r="G30" i="6" s="1"/>
  <c r="G31" i="6" s="1"/>
  <c r="BA568" i="3"/>
  <c r="AZ568" i="3" s="1"/>
  <c r="BA557" i="3"/>
  <c r="AZ557" i="3" s="1"/>
  <c r="BA552" i="3"/>
  <c r="AZ552" i="3" s="1"/>
  <c r="BA541" i="3"/>
  <c r="AZ541" i="3" s="1"/>
  <c r="BA536" i="3"/>
  <c r="AZ536" i="3" s="1"/>
  <c r="BA525" i="3"/>
  <c r="AZ525" i="3" s="1"/>
  <c r="BA520" i="3"/>
  <c r="AZ520" i="3" s="1"/>
  <c r="BA509" i="3"/>
  <c r="AZ509" i="3" s="1"/>
  <c r="BA504" i="3"/>
  <c r="AZ504" i="3" s="1"/>
  <c r="BA493" i="3"/>
  <c r="AZ493" i="3" s="1"/>
  <c r="BA488" i="3"/>
  <c r="AZ488" i="3" s="1"/>
  <c r="BA477" i="3"/>
  <c r="AZ477" i="3" s="1"/>
  <c r="BA468" i="3"/>
  <c r="AZ468" i="3" s="1"/>
  <c r="BA452" i="3"/>
  <c r="AZ452" i="3" s="1"/>
  <c r="BA436" i="3"/>
  <c r="AZ436" i="3" s="1"/>
  <c r="BA420" i="3"/>
  <c r="AZ420" i="3" s="1"/>
  <c r="BA404" i="3"/>
  <c r="AZ404" i="3" s="1"/>
  <c r="BA372" i="3"/>
  <c r="AZ372" i="3" s="1"/>
  <c r="BN5" i="3"/>
  <c r="G29" i="6" s="1"/>
  <c r="BQ5" i="3"/>
  <c r="F28" i="6" s="1"/>
  <c r="BA571" i="3"/>
  <c r="AZ571" i="3" s="1"/>
  <c r="BA569" i="3"/>
  <c r="AZ569" i="3" s="1"/>
  <c r="BA564" i="3"/>
  <c r="AZ564" i="3" s="1"/>
  <c r="BA555" i="3"/>
  <c r="AZ555" i="3" s="1"/>
  <c r="BA553" i="3"/>
  <c r="AZ553" i="3" s="1"/>
  <c r="BA548" i="3"/>
  <c r="AZ548" i="3" s="1"/>
  <c r="BA539" i="3"/>
  <c r="AZ539" i="3" s="1"/>
  <c r="BA537" i="3"/>
  <c r="AZ537" i="3" s="1"/>
  <c r="BA532" i="3"/>
  <c r="AZ532" i="3" s="1"/>
  <c r="BA523" i="3"/>
  <c r="AZ523" i="3" s="1"/>
  <c r="BA521" i="3"/>
  <c r="AZ521" i="3" s="1"/>
  <c r="BA516" i="3"/>
  <c r="AZ516" i="3" s="1"/>
  <c r="BA507" i="3"/>
  <c r="AZ507" i="3" s="1"/>
  <c r="BA505" i="3"/>
  <c r="AZ505" i="3" s="1"/>
  <c r="BA500" i="3"/>
  <c r="AZ500" i="3" s="1"/>
  <c r="BA491" i="3"/>
  <c r="AZ491" i="3" s="1"/>
  <c r="BA489" i="3"/>
  <c r="AZ489" i="3" s="1"/>
  <c r="BA484" i="3"/>
  <c r="AZ484" i="3" s="1"/>
  <c r="BA475" i="3"/>
  <c r="AZ475" i="3" s="1"/>
  <c r="BA473" i="3"/>
  <c r="AZ473" i="3" s="1"/>
  <c r="BA459" i="3"/>
  <c r="AZ459" i="3" s="1"/>
  <c r="BA443" i="3"/>
  <c r="AZ443" i="3" s="1"/>
  <c r="BA427" i="3"/>
  <c r="AZ427" i="3" s="1"/>
  <c r="BA411" i="3"/>
  <c r="AZ411" i="3" s="1"/>
  <c r="BA395" i="3"/>
  <c r="AZ395" i="3" s="1"/>
  <c r="BA379" i="3"/>
  <c r="AZ379" i="3" s="1"/>
  <c r="BA466" i="3"/>
  <c r="AZ466" i="3" s="1"/>
  <c r="BA458" i="3"/>
  <c r="AZ458" i="3" s="1"/>
  <c r="BA450" i="3"/>
  <c r="AZ450" i="3" s="1"/>
  <c r="BA442" i="3"/>
  <c r="AZ442" i="3" s="1"/>
  <c r="BA434" i="3"/>
  <c r="AZ434" i="3" s="1"/>
  <c r="BA426" i="3"/>
  <c r="AZ426" i="3" s="1"/>
  <c r="BA418" i="3"/>
  <c r="AZ418" i="3" s="1"/>
  <c r="BA410" i="3"/>
  <c r="AZ410" i="3" s="1"/>
  <c r="BA402" i="3"/>
  <c r="AZ402" i="3" s="1"/>
  <c r="BA396" i="3"/>
  <c r="AZ396" i="3" s="1"/>
  <c r="BA394" i="3"/>
  <c r="AZ394" i="3" s="1"/>
  <c r="BA388" i="3"/>
  <c r="AZ388" i="3" s="1"/>
  <c r="BA360" i="3"/>
  <c r="AZ360" i="3" s="1"/>
  <c r="BA357" i="3"/>
  <c r="AZ357" i="3" s="1"/>
  <c r="BA350" i="3"/>
  <c r="AZ350" i="3" s="1"/>
  <c r="BA344" i="3"/>
  <c r="AZ344" i="3" s="1"/>
  <c r="BA341" i="3"/>
  <c r="AZ341" i="3" s="1"/>
  <c r="BA334" i="3"/>
  <c r="AZ334" i="3" s="1"/>
  <c r="BA328" i="3"/>
  <c r="AZ328" i="3" s="1"/>
  <c r="BA312" i="3"/>
  <c r="AZ312" i="3" s="1"/>
  <c r="BA296" i="3"/>
  <c r="AZ296" i="3" s="1"/>
  <c r="BA280" i="3"/>
  <c r="AZ280" i="3" s="1"/>
  <c r="BA263" i="3"/>
  <c r="AZ263" i="3" s="1"/>
  <c r="BA261" i="3"/>
  <c r="AZ261" i="3" s="1"/>
  <c r="BA252" i="3"/>
  <c r="AZ252" i="3" s="1"/>
  <c r="M6" i="1"/>
  <c r="BA472" i="3"/>
  <c r="AZ472" i="3" s="1"/>
  <c r="BA464" i="3"/>
  <c r="AZ464" i="3" s="1"/>
  <c r="BA456" i="3"/>
  <c r="AZ456" i="3" s="1"/>
  <c r="BA448" i="3"/>
  <c r="AZ448" i="3" s="1"/>
  <c r="BA440" i="3"/>
  <c r="AZ440" i="3" s="1"/>
  <c r="BA432" i="3"/>
  <c r="AZ432" i="3" s="1"/>
  <c r="BA424" i="3"/>
  <c r="AZ424" i="3" s="1"/>
  <c r="BA416" i="3"/>
  <c r="AZ416" i="3" s="1"/>
  <c r="BA408" i="3"/>
  <c r="AZ408" i="3" s="1"/>
  <c r="BA400" i="3"/>
  <c r="AZ400" i="3" s="1"/>
  <c r="BA386" i="3"/>
  <c r="AZ386" i="3" s="1"/>
  <c r="BA384" i="3"/>
  <c r="AZ384" i="3" s="1"/>
  <c r="BA378" i="3"/>
  <c r="AZ378" i="3" s="1"/>
  <c r="BA376" i="3"/>
  <c r="AZ376" i="3" s="1"/>
  <c r="BA370" i="3"/>
  <c r="AZ370" i="3" s="1"/>
  <c r="BA368" i="3"/>
  <c r="AZ368" i="3" s="1"/>
  <c r="BA356" i="3"/>
  <c r="AZ356" i="3" s="1"/>
  <c r="BA353" i="3"/>
  <c r="AZ353" i="3" s="1"/>
  <c r="BA340" i="3"/>
  <c r="AZ340" i="3" s="1"/>
  <c r="BA337" i="3"/>
  <c r="AZ337" i="3" s="1"/>
  <c r="BA266" i="3"/>
  <c r="AZ266" i="3" s="1"/>
  <c r="BA264" i="3"/>
  <c r="AZ264" i="3" s="1"/>
  <c r="BA470" i="3"/>
  <c r="AZ470" i="3" s="1"/>
  <c r="BA462" i="3"/>
  <c r="AZ462" i="3" s="1"/>
  <c r="BA454" i="3"/>
  <c r="AZ454" i="3" s="1"/>
  <c r="BA446" i="3"/>
  <c r="AZ446" i="3" s="1"/>
  <c r="BA438" i="3"/>
  <c r="AZ438" i="3" s="1"/>
  <c r="BA430" i="3"/>
  <c r="AZ430" i="3" s="1"/>
  <c r="BA422" i="3"/>
  <c r="AZ422" i="3" s="1"/>
  <c r="BA414" i="3"/>
  <c r="AZ414" i="3" s="1"/>
  <c r="BA406" i="3"/>
  <c r="AZ406" i="3" s="1"/>
  <c r="BA398" i="3"/>
  <c r="AZ398" i="3" s="1"/>
  <c r="BA392" i="3"/>
  <c r="AZ392" i="3" s="1"/>
  <c r="BA390" i="3"/>
  <c r="AZ390" i="3" s="1"/>
  <c r="BA349" i="3"/>
  <c r="AZ349" i="3" s="1"/>
  <c r="BA333" i="3"/>
  <c r="AZ333" i="3" s="1"/>
  <c r="BA320" i="3"/>
  <c r="AZ320" i="3" s="1"/>
  <c r="BA304" i="3"/>
  <c r="AZ304" i="3" s="1"/>
  <c r="BA288" i="3"/>
  <c r="AZ288" i="3" s="1"/>
  <c r="BA272" i="3"/>
  <c r="AZ272" i="3" s="1"/>
  <c r="BA267" i="3"/>
  <c r="AZ267" i="3" s="1"/>
  <c r="BA242" i="3"/>
  <c r="AZ242" i="3" s="1"/>
  <c r="BA233" i="3"/>
  <c r="AZ233" i="3" s="1"/>
  <c r="BA230" i="3"/>
  <c r="AZ230" i="3" s="1"/>
  <c r="BA228" i="3"/>
  <c r="AZ228" i="3" s="1"/>
  <c r="BA217" i="3"/>
  <c r="AZ217" i="3" s="1"/>
  <c r="BA214" i="3"/>
  <c r="AZ214" i="3" s="1"/>
  <c r="BA212" i="3"/>
  <c r="AZ212" i="3" s="1"/>
  <c r="BA201" i="3"/>
  <c r="AZ201" i="3" s="1"/>
  <c r="BA198" i="3"/>
  <c r="AZ198" i="3" s="1"/>
  <c r="BA196" i="3"/>
  <c r="AZ196" i="3" s="1"/>
  <c r="BA185" i="3"/>
  <c r="AZ185" i="3" s="1"/>
  <c r="BA182" i="3"/>
  <c r="AZ182" i="3" s="1"/>
  <c r="BA180" i="3"/>
  <c r="AZ180" i="3" s="1"/>
  <c r="BA169" i="3"/>
  <c r="AZ169" i="3" s="1"/>
  <c r="BA166" i="3"/>
  <c r="AZ166" i="3" s="1"/>
  <c r="BA164" i="3"/>
  <c r="AZ164" i="3" s="1"/>
  <c r="BA153" i="3"/>
  <c r="AZ153" i="3" s="1"/>
  <c r="BA148" i="3"/>
  <c r="AZ148" i="3" s="1"/>
  <c r="BA137" i="3"/>
  <c r="AZ137" i="3" s="1"/>
  <c r="BA132" i="3"/>
  <c r="AZ132" i="3" s="1"/>
  <c r="BA121" i="3"/>
  <c r="AZ121" i="3" s="1"/>
  <c r="BA116" i="3"/>
  <c r="AZ116" i="3" s="1"/>
  <c r="BA105" i="3"/>
  <c r="AZ105" i="3" s="1"/>
  <c r="BA100" i="3"/>
  <c r="AZ100" i="3" s="1"/>
  <c r="BA89" i="3"/>
  <c r="AZ89" i="3" s="1"/>
  <c r="BA84" i="3"/>
  <c r="AZ84" i="3" s="1"/>
  <c r="BA73" i="3"/>
  <c r="AZ73" i="3" s="1"/>
  <c r="BA68" i="3"/>
  <c r="AZ68" i="3" s="1"/>
  <c r="BA57" i="3"/>
  <c r="AZ57" i="3" s="1"/>
  <c r="BA52" i="3"/>
  <c r="AZ52" i="3" s="1"/>
  <c r="BA41" i="3"/>
  <c r="AZ41" i="3" s="1"/>
  <c r="BA36" i="3"/>
  <c r="AZ36" i="3" s="1"/>
  <c r="BA25" i="3"/>
  <c r="AZ25" i="3" s="1"/>
  <c r="BA20" i="3"/>
  <c r="AZ20" i="3" s="1"/>
  <c r="BA331" i="3"/>
  <c r="AZ331" i="3" s="1"/>
  <c r="BA326" i="3"/>
  <c r="AZ326" i="3" s="1"/>
  <c r="BA323" i="3"/>
  <c r="AZ323" i="3" s="1"/>
  <c r="BA318" i="3"/>
  <c r="AZ318" i="3" s="1"/>
  <c r="BA315" i="3"/>
  <c r="AZ315" i="3" s="1"/>
  <c r="BA310" i="3"/>
  <c r="AZ310" i="3" s="1"/>
  <c r="BA307" i="3"/>
  <c r="AZ307" i="3" s="1"/>
  <c r="BA302" i="3"/>
  <c r="AZ302" i="3" s="1"/>
  <c r="BA299" i="3"/>
  <c r="AZ299" i="3" s="1"/>
  <c r="BA294" i="3"/>
  <c r="AZ294" i="3" s="1"/>
  <c r="BA291" i="3"/>
  <c r="AZ291" i="3" s="1"/>
  <c r="BA286" i="3"/>
  <c r="AZ286" i="3" s="1"/>
  <c r="BA283" i="3"/>
  <c r="AZ283" i="3" s="1"/>
  <c r="BA278" i="3"/>
  <c r="AZ278" i="3" s="1"/>
  <c r="BA275" i="3"/>
  <c r="AZ275" i="3" s="1"/>
  <c r="BA270" i="3"/>
  <c r="AZ270" i="3" s="1"/>
  <c r="BA257" i="3"/>
  <c r="AZ257" i="3" s="1"/>
  <c r="BA255" i="3"/>
  <c r="AZ255" i="3" s="1"/>
  <c r="BA231" i="3"/>
  <c r="AZ231" i="3" s="1"/>
  <c r="BA215" i="3"/>
  <c r="AZ215" i="3" s="1"/>
  <c r="BA199" i="3"/>
  <c r="AZ199" i="3" s="1"/>
  <c r="BA183" i="3"/>
  <c r="AZ183" i="3" s="1"/>
  <c r="BA167" i="3"/>
  <c r="AZ167" i="3" s="1"/>
  <c r="BA149" i="3"/>
  <c r="AZ149" i="3" s="1"/>
  <c r="BA144" i="3"/>
  <c r="AZ144" i="3" s="1"/>
  <c r="BA133" i="3"/>
  <c r="AZ133" i="3" s="1"/>
  <c r="BA128" i="3"/>
  <c r="AZ128" i="3" s="1"/>
  <c r="BA117" i="3"/>
  <c r="AZ117" i="3" s="1"/>
  <c r="BA112" i="3"/>
  <c r="AZ112" i="3" s="1"/>
  <c r="BA101" i="3"/>
  <c r="AZ101" i="3" s="1"/>
  <c r="BA96" i="3"/>
  <c r="AZ96" i="3" s="1"/>
  <c r="BA85" i="3"/>
  <c r="AZ85" i="3" s="1"/>
  <c r="BA80" i="3"/>
  <c r="AZ80" i="3" s="1"/>
  <c r="BA69" i="3"/>
  <c r="AZ69" i="3" s="1"/>
  <c r="BA64" i="3"/>
  <c r="AZ64" i="3" s="1"/>
  <c r="BA53" i="3"/>
  <c r="AZ53" i="3" s="1"/>
  <c r="BA48" i="3"/>
  <c r="AZ48" i="3" s="1"/>
  <c r="BA37" i="3"/>
  <c r="AZ37" i="3" s="1"/>
  <c r="BA32" i="3"/>
  <c r="AZ32" i="3" s="1"/>
  <c r="BA268" i="3"/>
  <c r="AZ268" i="3" s="1"/>
  <c r="BA258" i="3"/>
  <c r="AZ258" i="3" s="1"/>
  <c r="BA254" i="3"/>
  <c r="AZ254" i="3" s="1"/>
  <c r="BA251" i="3"/>
  <c r="AZ251" i="3" s="1"/>
  <c r="BA248" i="3"/>
  <c r="AZ248" i="3" s="1"/>
  <c r="BA245" i="3"/>
  <c r="AZ245" i="3" s="1"/>
  <c r="BA238" i="3"/>
  <c r="AZ238" i="3" s="1"/>
  <c r="BA236" i="3"/>
  <c r="AZ236" i="3" s="1"/>
  <c r="BA225" i="3"/>
  <c r="AZ225" i="3" s="1"/>
  <c r="BA222" i="3"/>
  <c r="AZ222" i="3" s="1"/>
  <c r="BA220" i="3"/>
  <c r="AZ220" i="3" s="1"/>
  <c r="BA209" i="3"/>
  <c r="AZ209" i="3" s="1"/>
  <c r="BA206" i="3"/>
  <c r="AZ206" i="3" s="1"/>
  <c r="BA204" i="3"/>
  <c r="AZ204" i="3" s="1"/>
  <c r="BA193" i="3"/>
  <c r="AZ193" i="3" s="1"/>
  <c r="BA190" i="3"/>
  <c r="AZ190" i="3" s="1"/>
  <c r="BA188" i="3"/>
  <c r="AZ188" i="3" s="1"/>
  <c r="BA177" i="3"/>
  <c r="AZ177" i="3" s="1"/>
  <c r="BA174" i="3"/>
  <c r="AZ174" i="3" s="1"/>
  <c r="BA172" i="3"/>
  <c r="AZ172" i="3" s="1"/>
  <c r="BA161" i="3"/>
  <c r="AZ161" i="3" s="1"/>
  <c r="BA158" i="3"/>
  <c r="AZ158" i="3" s="1"/>
  <c r="BA156" i="3"/>
  <c r="AZ156" i="3" s="1"/>
  <c r="BA330" i="3"/>
  <c r="AZ330" i="3" s="1"/>
  <c r="BA327" i="3"/>
  <c r="AZ327" i="3" s="1"/>
  <c r="BA322" i="3"/>
  <c r="AZ322" i="3" s="1"/>
  <c r="BA319" i="3"/>
  <c r="AZ319" i="3" s="1"/>
  <c r="BA314" i="3"/>
  <c r="AZ314" i="3" s="1"/>
  <c r="BA311" i="3"/>
  <c r="AZ311" i="3" s="1"/>
  <c r="BA306" i="3"/>
  <c r="AZ306" i="3" s="1"/>
  <c r="BA303" i="3"/>
  <c r="AZ303" i="3" s="1"/>
  <c r="BA298" i="3"/>
  <c r="AZ298" i="3" s="1"/>
  <c r="BA295" i="3"/>
  <c r="AZ295" i="3" s="1"/>
  <c r="BA290" i="3"/>
  <c r="AZ290" i="3" s="1"/>
  <c r="BA287" i="3"/>
  <c r="AZ287" i="3" s="1"/>
  <c r="BA282" i="3"/>
  <c r="AZ282" i="3" s="1"/>
  <c r="BA279" i="3"/>
  <c r="AZ279" i="3" s="1"/>
  <c r="BA274" i="3"/>
  <c r="AZ274" i="3" s="1"/>
  <c r="BA271" i="3"/>
  <c r="AZ271" i="3" s="1"/>
  <c r="BA241" i="3"/>
  <c r="AZ241" i="3" s="1"/>
  <c r="BA239" i="3"/>
  <c r="AZ239" i="3" s="1"/>
  <c r="BA223" i="3"/>
  <c r="AZ223" i="3" s="1"/>
  <c r="BA207" i="3"/>
  <c r="AZ207" i="3" s="1"/>
  <c r="BA191" i="3"/>
  <c r="AZ191" i="3" s="1"/>
  <c r="BA175" i="3"/>
  <c r="AZ175" i="3" s="1"/>
  <c r="BA159" i="3"/>
  <c r="AZ159" i="3" s="1"/>
  <c r="BA21" i="3"/>
  <c r="AZ21" i="3" s="1"/>
  <c r="BA16" i="3"/>
  <c r="AZ16" i="3" s="1"/>
  <c r="BA256" i="3"/>
  <c r="AZ256" i="3" s="1"/>
  <c r="BA240" i="3"/>
  <c r="AZ240" i="3" s="1"/>
  <c r="BA147" i="3"/>
  <c r="AZ147" i="3" s="1"/>
  <c r="BA145" i="3"/>
  <c r="AZ145" i="3" s="1"/>
  <c r="BA140" i="3"/>
  <c r="AZ140" i="3" s="1"/>
  <c r="BA131" i="3"/>
  <c r="AZ131" i="3" s="1"/>
  <c r="BA129" i="3"/>
  <c r="AZ129" i="3" s="1"/>
  <c r="BA124" i="3"/>
  <c r="AZ124" i="3" s="1"/>
  <c r="BA115" i="3"/>
  <c r="AZ115" i="3" s="1"/>
  <c r="BA113" i="3"/>
  <c r="AZ113" i="3" s="1"/>
  <c r="BA108" i="3"/>
  <c r="AZ108" i="3" s="1"/>
  <c r="BA99" i="3"/>
  <c r="AZ99" i="3" s="1"/>
  <c r="BA97" i="3"/>
  <c r="AZ97" i="3" s="1"/>
  <c r="BA92" i="3"/>
  <c r="AZ92" i="3" s="1"/>
  <c r="BA83" i="3"/>
  <c r="AZ83" i="3" s="1"/>
  <c r="BA81" i="3"/>
  <c r="AZ81" i="3" s="1"/>
  <c r="BA76" i="3"/>
  <c r="AZ76" i="3" s="1"/>
  <c r="BA67" i="3"/>
  <c r="AZ67" i="3" s="1"/>
  <c r="BA65" i="3"/>
  <c r="AZ65" i="3" s="1"/>
  <c r="BA60" i="3"/>
  <c r="AZ60" i="3" s="1"/>
  <c r="BA51" i="3"/>
  <c r="AZ51" i="3" s="1"/>
  <c r="BA49" i="3"/>
  <c r="AZ49" i="3" s="1"/>
  <c r="BA44" i="3"/>
  <c r="AZ44" i="3" s="1"/>
  <c r="BA35" i="3"/>
  <c r="AZ35" i="3" s="1"/>
  <c r="BA33" i="3"/>
  <c r="AZ33" i="3" s="1"/>
  <c r="BA28" i="3"/>
  <c r="AZ28" i="3" s="1"/>
  <c r="BA19" i="3"/>
  <c r="AZ19" i="3" s="1"/>
  <c r="BA17" i="3"/>
  <c r="AZ17" i="3" s="1"/>
  <c r="BA13" i="3"/>
  <c r="BA260" i="3"/>
  <c r="AZ260" i="3" s="1"/>
  <c r="BA244" i="3"/>
  <c r="AZ244" i="3" s="1"/>
  <c r="BA235" i="3"/>
  <c r="AZ235" i="3" s="1"/>
  <c r="BA232" i="3"/>
  <c r="AZ232" i="3" s="1"/>
  <c r="BA227" i="3"/>
  <c r="AZ227" i="3" s="1"/>
  <c r="BA224" i="3"/>
  <c r="AZ224" i="3" s="1"/>
  <c r="BA219" i="3"/>
  <c r="AZ219" i="3" s="1"/>
  <c r="BA216" i="3"/>
  <c r="AZ216" i="3" s="1"/>
  <c r="BA211" i="3"/>
  <c r="AZ211" i="3" s="1"/>
  <c r="BA208" i="3"/>
  <c r="AZ208" i="3" s="1"/>
  <c r="BA203" i="3"/>
  <c r="AZ203" i="3" s="1"/>
  <c r="BA200" i="3"/>
  <c r="AZ200" i="3" s="1"/>
  <c r="BA195" i="3"/>
  <c r="AZ195" i="3" s="1"/>
  <c r="BA192" i="3"/>
  <c r="AZ192" i="3" s="1"/>
  <c r="BA187" i="3"/>
  <c r="AZ187" i="3" s="1"/>
  <c r="BA184" i="3"/>
  <c r="AZ184" i="3" s="1"/>
  <c r="BA179" i="3"/>
  <c r="AZ179" i="3" s="1"/>
  <c r="BA176" i="3"/>
  <c r="AZ176" i="3" s="1"/>
  <c r="BA171" i="3"/>
  <c r="AZ171" i="3" s="1"/>
  <c r="BA168" i="3"/>
  <c r="AZ168" i="3" s="1"/>
  <c r="BA163" i="3"/>
  <c r="AZ163" i="3" s="1"/>
  <c r="BA160" i="3"/>
  <c r="AZ160" i="3" s="1"/>
  <c r="BA155" i="3"/>
  <c r="AZ155" i="3" s="1"/>
  <c r="BA152" i="3"/>
  <c r="AZ152" i="3" s="1"/>
  <c r="BA143" i="3"/>
  <c r="AZ143" i="3" s="1"/>
  <c r="BA141" i="3"/>
  <c r="AZ141" i="3" s="1"/>
  <c r="BA136" i="3"/>
  <c r="AZ136" i="3" s="1"/>
  <c r="BA127" i="3"/>
  <c r="AZ127" i="3" s="1"/>
  <c r="BA125" i="3"/>
  <c r="AZ125" i="3" s="1"/>
  <c r="BA120" i="3"/>
  <c r="AZ120" i="3" s="1"/>
  <c r="BA111" i="3"/>
  <c r="AZ111" i="3" s="1"/>
  <c r="BA109" i="3"/>
  <c r="AZ109" i="3" s="1"/>
  <c r="BA104" i="3"/>
  <c r="AZ104" i="3" s="1"/>
  <c r="BA95" i="3"/>
  <c r="AZ95" i="3" s="1"/>
  <c r="BA93" i="3"/>
  <c r="AZ93" i="3" s="1"/>
  <c r="BA88" i="3"/>
  <c r="AZ88" i="3" s="1"/>
  <c r="BA79" i="3"/>
  <c r="AZ79" i="3" s="1"/>
  <c r="BA77" i="3"/>
  <c r="AZ77" i="3" s="1"/>
  <c r="BA72" i="3"/>
  <c r="AZ72" i="3" s="1"/>
  <c r="BA63" i="3"/>
  <c r="AZ63" i="3" s="1"/>
  <c r="BA61" i="3"/>
  <c r="AZ61" i="3" s="1"/>
  <c r="BA56" i="3"/>
  <c r="AZ56" i="3" s="1"/>
  <c r="BA47" i="3"/>
  <c r="AZ47" i="3" s="1"/>
  <c r="BA45" i="3"/>
  <c r="AZ45" i="3" s="1"/>
  <c r="BA40" i="3"/>
  <c r="AZ40" i="3" s="1"/>
  <c r="BA31" i="3"/>
  <c r="AZ31" i="3" s="1"/>
  <c r="BA29" i="3"/>
  <c r="AZ29" i="3" s="1"/>
  <c r="BA24" i="3"/>
  <c r="AZ24" i="3" s="1"/>
  <c r="BA15" i="3"/>
  <c r="F21" i="6"/>
  <c r="E21" i="6" s="1"/>
  <c r="BD13" i="3"/>
  <c r="BD5" i="3" s="1"/>
  <c r="M9" i="1"/>
  <c r="E5" i="52"/>
  <c r="E10" i="52"/>
  <c r="B9" i="52"/>
  <c r="E4" i="52"/>
  <c r="B5" i="52"/>
  <c r="B14" i="52"/>
  <c r="B16" i="52"/>
  <c r="B8" i="52"/>
  <c r="B7" i="52"/>
  <c r="B11" i="52"/>
  <c r="B22" i="52"/>
  <c r="E7" i="52"/>
  <c r="C4" i="4" s="1"/>
  <c r="B20" i="55" s="1"/>
  <c r="B70" i="63" s="1"/>
  <c r="B6" i="52"/>
  <c r="B23" i="52"/>
  <c r="E9" i="52"/>
  <c r="B4" i="52"/>
  <c r="B10" i="52"/>
  <c r="E11" i="52"/>
  <c r="E4" i="4" s="1"/>
  <c r="B21" i="55" s="1"/>
  <c r="B72" i="63" s="1"/>
  <c r="E16" i="52"/>
  <c r="E8" i="52"/>
  <c r="B13" i="52"/>
  <c r="E21" i="52"/>
  <c r="E6" i="52"/>
  <c r="O9" i="1"/>
  <c r="J22" i="44"/>
  <c r="Q72" i="15"/>
  <c r="C36" i="44"/>
  <c r="L58" i="15"/>
  <c r="L59" i="15"/>
  <c r="L59" i="44"/>
  <c r="L60" i="44"/>
  <c r="J1" i="65"/>
  <c r="Q73" i="44"/>
  <c r="M9" i="44"/>
  <c r="J8" i="44" s="1"/>
  <c r="C8" i="44"/>
  <c r="C29" i="44"/>
  <c r="E20" i="46"/>
  <c r="Q72" i="71"/>
  <c r="L59" i="71"/>
  <c r="L58" i="71"/>
  <c r="J54" i="44"/>
  <c r="L57" i="44"/>
  <c r="J61" i="44"/>
  <c r="Q50" i="44" s="1"/>
  <c r="I55" i="44"/>
  <c r="J60" i="44"/>
  <c r="J58" i="44"/>
  <c r="J56" i="44" s="1"/>
  <c r="J59" i="44" s="1"/>
  <c r="Q52" i="44" s="1"/>
  <c r="Q72" i="72"/>
  <c r="F67" i="71"/>
  <c r="C27" i="71"/>
  <c r="F65" i="15"/>
  <c r="C4" i="65"/>
  <c r="B39" i="1" s="1"/>
  <c r="F50" i="15"/>
  <c r="F68" i="72"/>
  <c r="F64" i="72"/>
  <c r="F63" i="72"/>
  <c r="C27" i="72"/>
  <c r="F50" i="72"/>
  <c r="F65" i="71"/>
  <c r="F70" i="15"/>
  <c r="F67" i="72"/>
  <c r="I54" i="15"/>
  <c r="L57" i="15"/>
  <c r="F64" i="15"/>
  <c r="F63" i="15"/>
  <c r="F65" i="72"/>
  <c r="J53" i="71"/>
  <c r="J57" i="71"/>
  <c r="J55" i="71" s="1"/>
  <c r="J58" i="71" s="1"/>
  <c r="Q51" i="71" s="1"/>
  <c r="L57" i="71"/>
  <c r="J60" i="71"/>
  <c r="Q49" i="71" s="1"/>
  <c r="L56" i="71"/>
  <c r="I54" i="71"/>
  <c r="L60" i="71"/>
  <c r="J59" i="71"/>
  <c r="F64" i="71"/>
  <c r="F63" i="71"/>
  <c r="F50" i="71"/>
  <c r="F67" i="15"/>
  <c r="C27" i="15"/>
  <c r="M7" i="15"/>
  <c r="J6" i="15" s="1"/>
  <c r="F49" i="15"/>
  <c r="L48" i="72"/>
  <c r="E3" i="65"/>
  <c r="F6" i="15"/>
  <c r="C18" i="44"/>
  <c r="M29" i="71"/>
  <c r="C16" i="15"/>
  <c r="F7" i="71"/>
  <c r="E2" i="65"/>
  <c r="F43" i="71"/>
  <c r="J53" i="72" l="1"/>
  <c r="F1" i="72" s="1"/>
  <c r="L60" i="72"/>
  <c r="L56" i="72"/>
  <c r="L58" i="72"/>
  <c r="Q61" i="72" s="1"/>
  <c r="I54" i="72"/>
  <c r="L57" i="72"/>
  <c r="J60" i="15"/>
  <c r="Q49" i="15" s="1"/>
  <c r="J59" i="15"/>
  <c r="J53" i="15"/>
  <c r="F1" i="15" s="1"/>
  <c r="J59" i="72"/>
  <c r="J60" i="72"/>
  <c r="Q49" i="72" s="1"/>
  <c r="E70" i="39"/>
  <c r="C28" i="71"/>
  <c r="C28" i="74"/>
  <c r="C28" i="72"/>
  <c r="C25" i="12"/>
  <c r="C30" i="44"/>
  <c r="C15" i="43"/>
  <c r="C28" i="15"/>
  <c r="C27" i="43"/>
  <c r="C31" i="43"/>
  <c r="G8" i="1"/>
  <c r="AP8" i="1"/>
  <c r="L56" i="15"/>
  <c r="J57" i="72"/>
  <c r="J55" i="72" s="1"/>
  <c r="J58" i="72" s="1"/>
  <c r="Q51" i="72" s="1"/>
  <c r="L60" i="15"/>
  <c r="Q67" i="15" s="1"/>
  <c r="D67" i="40"/>
  <c r="E65" i="40"/>
  <c r="S32" i="21"/>
  <c r="D18" i="9"/>
  <c r="M44" i="9" s="1"/>
  <c r="AB32" i="21"/>
  <c r="U32" i="21"/>
  <c r="C6" i="15"/>
  <c r="F70" i="71"/>
  <c r="C6" i="71"/>
  <c r="M7" i="71"/>
  <c r="J6" i="71" s="1"/>
  <c r="F49" i="71"/>
  <c r="C48" i="71" s="1"/>
  <c r="B40" i="1"/>
  <c r="F24" i="15" s="1"/>
  <c r="C24" i="15" s="1"/>
  <c r="D3" i="21"/>
  <c r="K8" i="1"/>
  <c r="E9" i="12"/>
  <c r="AA30" i="21"/>
  <c r="S30" i="21"/>
  <c r="D39" i="59"/>
  <c r="T39" i="59"/>
  <c r="F7" i="21"/>
  <c r="E12" i="6"/>
  <c r="E14" i="6"/>
  <c r="E10" i="6"/>
  <c r="E13" i="6"/>
  <c r="E11" i="6"/>
  <c r="E15" i="6"/>
  <c r="AB31" i="21"/>
  <c r="U31" i="21"/>
  <c r="Q14" i="12"/>
  <c r="P9" i="12"/>
  <c r="P10" i="12" s="1"/>
  <c r="P11" i="12" s="1"/>
  <c r="P12" i="12" s="1"/>
  <c r="G5" i="3"/>
  <c r="B3" i="3" s="1"/>
  <c r="E159" i="3" s="1"/>
  <c r="AC30" i="21"/>
  <c r="W30" i="21"/>
  <c r="AA31" i="39"/>
  <c r="S31" i="39"/>
  <c r="B49" i="59"/>
  <c r="N50" i="59"/>
  <c r="AC13" i="21"/>
  <c r="W13" i="21"/>
  <c r="D21" i="12"/>
  <c r="C21" i="12" s="1"/>
  <c r="D12" i="11"/>
  <c r="C12" i="11" s="1"/>
  <c r="C5" i="46"/>
  <c r="P48" i="59"/>
  <c r="P49" i="59"/>
  <c r="AP16" i="1"/>
  <c r="F22" i="11" s="1"/>
  <c r="AC9" i="21"/>
  <c r="W9" i="21"/>
  <c r="AA37" i="21"/>
  <c r="S37" i="21"/>
  <c r="E8" i="6"/>
  <c r="W9" i="36"/>
  <c r="AC9" i="36"/>
  <c r="S31" i="34"/>
  <c r="AA31" i="34"/>
  <c r="U28" i="34"/>
  <c r="AB28" i="34"/>
  <c r="AA28" i="33"/>
  <c r="S28" i="33"/>
  <c r="J58" i="33"/>
  <c r="U7" i="35"/>
  <c r="AB7" i="35"/>
  <c r="T38" i="35" s="1"/>
  <c r="G38" i="35" s="1"/>
  <c r="AB7" i="34"/>
  <c r="T49" i="34" s="1"/>
  <c r="G49" i="34" s="1"/>
  <c r="U7" i="34"/>
  <c r="AC7" i="37"/>
  <c r="V42" i="37" s="1"/>
  <c r="I42" i="37" s="1"/>
  <c r="W7" i="37"/>
  <c r="H7" i="36"/>
  <c r="AA9" i="34"/>
  <c r="S9" i="34"/>
  <c r="U26" i="33"/>
  <c r="AB26" i="33"/>
  <c r="W47" i="34"/>
  <c r="AC47" i="34"/>
  <c r="AB9" i="35"/>
  <c r="U9" i="35"/>
  <c r="S7" i="36"/>
  <c r="AA7" i="36"/>
  <c r="R36" i="36" s="1"/>
  <c r="S7" i="35"/>
  <c r="AA7" i="35"/>
  <c r="R38" i="35" s="1"/>
  <c r="AA7" i="34"/>
  <c r="R49" i="34" s="1"/>
  <c r="S7" i="34"/>
  <c r="M7" i="1"/>
  <c r="H16" i="1"/>
  <c r="AB45" i="21"/>
  <c r="U45" i="21"/>
  <c r="E163" i="3"/>
  <c r="AA40" i="39"/>
  <c r="S40" i="39"/>
  <c r="AC10" i="21"/>
  <c r="W10" i="21"/>
  <c r="AA13" i="21"/>
  <c r="S13" i="21"/>
  <c r="D19" i="59"/>
  <c r="T19" i="59"/>
  <c r="O10" i="1"/>
  <c r="P10" i="1" s="1"/>
  <c r="C5" i="59"/>
  <c r="D6" i="59"/>
  <c r="D58" i="59"/>
  <c r="C57" i="59"/>
  <c r="D57" i="59" s="1"/>
  <c r="AA9" i="21"/>
  <c r="S9" i="21"/>
  <c r="AZ15" i="3"/>
  <c r="O6" i="1"/>
  <c r="P6" i="1" s="1"/>
  <c r="E167" i="3"/>
  <c r="E200" i="3"/>
  <c r="AB14" i="21"/>
  <c r="U14" i="21"/>
  <c r="E275" i="3"/>
  <c r="E179" i="3"/>
  <c r="AB44" i="21"/>
  <c r="U44" i="21"/>
  <c r="E201" i="3"/>
  <c r="AB10" i="21"/>
  <c r="U10" i="21"/>
  <c r="AC44" i="21"/>
  <c r="W44" i="21"/>
  <c r="E278" i="3"/>
  <c r="O13" i="1"/>
  <c r="P13" i="1" s="1"/>
  <c r="AB37" i="21"/>
  <c r="U37" i="21"/>
  <c r="E72" i="39"/>
  <c r="F70" i="39"/>
  <c r="T35" i="59"/>
  <c r="D35" i="59"/>
  <c r="AA25" i="37"/>
  <c r="S25" i="37"/>
  <c r="AB24" i="36"/>
  <c r="U24" i="36"/>
  <c r="G16" i="1"/>
  <c r="J7" i="36"/>
  <c r="F7" i="37"/>
  <c r="BA5" i="3"/>
  <c r="E27" i="6" s="1"/>
  <c r="AZ13" i="3"/>
  <c r="AZ5" i="3" s="1"/>
  <c r="Q16" i="1"/>
  <c r="E28" i="6"/>
  <c r="F30" i="6"/>
  <c r="E183" i="3"/>
  <c r="E207" i="3"/>
  <c r="AB27" i="21"/>
  <c r="U27" i="21"/>
  <c r="E286" i="3"/>
  <c r="U31" i="39"/>
  <c r="AB31" i="39"/>
  <c r="AA10" i="21"/>
  <c r="S10" i="21"/>
  <c r="AA44" i="21"/>
  <c r="S44" i="21"/>
  <c r="D15" i="59"/>
  <c r="T15" i="59"/>
  <c r="D23" i="59"/>
  <c r="T23" i="59"/>
  <c r="E386" i="3"/>
  <c r="C11" i="21"/>
  <c r="C13" i="39"/>
  <c r="G3" i="46"/>
  <c r="AC37" i="21"/>
  <c r="W37" i="21"/>
  <c r="C7" i="46"/>
  <c r="U25" i="37"/>
  <c r="AB25" i="37"/>
  <c r="W28" i="34"/>
  <c r="AC28" i="34"/>
  <c r="S13" i="34"/>
  <c r="AA13" i="34"/>
  <c r="AC24" i="36"/>
  <c r="W24" i="36"/>
  <c r="AA26" i="33"/>
  <c r="S26" i="33"/>
  <c r="AC7" i="35"/>
  <c r="V38" i="35" s="1"/>
  <c r="I38" i="35" s="1"/>
  <c r="W7" i="35"/>
  <c r="AC7" i="34"/>
  <c r="V49" i="34" s="1"/>
  <c r="I49" i="34" s="1"/>
  <c r="W7" i="34"/>
  <c r="H7" i="37"/>
  <c r="L47" i="44"/>
  <c r="P9" i="1"/>
  <c r="F17" i="11"/>
  <c r="C17" i="11" s="1"/>
  <c r="M11" i="15"/>
  <c r="J10" i="15" s="1"/>
  <c r="J5" i="15" s="1"/>
  <c r="F11" i="71"/>
  <c r="C52" i="71" s="1"/>
  <c r="M11" i="72"/>
  <c r="J10" i="72" s="1"/>
  <c r="F11" i="15"/>
  <c r="C52" i="15" s="1"/>
  <c r="M11" i="73"/>
  <c r="J10" i="73" s="1"/>
  <c r="F11" i="74"/>
  <c r="C52" i="74" s="1"/>
  <c r="M11" i="74"/>
  <c r="J10" i="74" s="1"/>
  <c r="M11" i="71"/>
  <c r="J10" i="71" s="1"/>
  <c r="F11" i="73"/>
  <c r="C52" i="73" s="1"/>
  <c r="F11" i="72"/>
  <c r="C52" i="72" s="1"/>
  <c r="F13" i="44"/>
  <c r="C12" i="44" s="1"/>
  <c r="C7" i="44" s="1"/>
  <c r="M13" i="44"/>
  <c r="J12" i="44" s="1"/>
  <c r="J7" i="44" s="1"/>
  <c r="Q54" i="44"/>
  <c r="F1" i="44"/>
  <c r="Q75" i="15"/>
  <c r="Q62" i="15"/>
  <c r="Q67" i="72"/>
  <c r="Q58" i="72"/>
  <c r="Q62" i="72"/>
  <c r="Q75" i="72"/>
  <c r="O17" i="46"/>
  <c r="N17" i="46"/>
  <c r="M17" i="46"/>
  <c r="P17" i="46"/>
  <c r="Q63" i="44"/>
  <c r="Q76" i="44"/>
  <c r="Q61" i="15"/>
  <c r="Q74" i="15"/>
  <c r="F1" i="71"/>
  <c r="Q53" i="71"/>
  <c r="Q74" i="71"/>
  <c r="Q61" i="71"/>
  <c r="Q62" i="44"/>
  <c r="Q75" i="44"/>
  <c r="Q67" i="71"/>
  <c r="Q58" i="71"/>
  <c r="Q53" i="15"/>
  <c r="C48" i="15"/>
  <c r="Q75" i="71"/>
  <c r="Q62" i="71"/>
  <c r="F13" i="74"/>
  <c r="F6" i="73"/>
  <c r="M9" i="74"/>
  <c r="M28" i="73"/>
  <c r="F36" i="73"/>
  <c r="F43" i="72"/>
  <c r="J15" i="74"/>
  <c r="M27" i="73"/>
  <c r="J36" i="73"/>
  <c r="F26" i="73"/>
  <c r="M22" i="73"/>
  <c r="F26" i="74"/>
  <c r="F16" i="74"/>
  <c r="M6" i="73"/>
  <c r="M23" i="74"/>
  <c r="M29" i="73"/>
  <c r="M26" i="74"/>
  <c r="J36" i="74"/>
  <c r="M24" i="73"/>
  <c r="F8" i="74"/>
  <c r="J15" i="73"/>
  <c r="F9" i="74"/>
  <c r="F37" i="74"/>
  <c r="F42" i="73"/>
  <c r="F43" i="73"/>
  <c r="AE7" i="1"/>
  <c r="F7" i="72"/>
  <c r="F40" i="74"/>
  <c r="L47" i="74"/>
  <c r="M23" i="73"/>
  <c r="M6" i="74"/>
  <c r="F6" i="74"/>
  <c r="F38" i="74"/>
  <c r="M8" i="74"/>
  <c r="AE6" i="1"/>
  <c r="M24" i="74"/>
  <c r="F38" i="73"/>
  <c r="F40" i="73"/>
  <c r="F9" i="73"/>
  <c r="F13" i="73"/>
  <c r="F37" i="73"/>
  <c r="F36" i="74"/>
  <c r="M27" i="74"/>
  <c r="F42" i="74"/>
  <c r="M28" i="74"/>
  <c r="L48" i="74"/>
  <c r="M29" i="74"/>
  <c r="C16" i="71"/>
  <c r="M8" i="73"/>
  <c r="M22" i="74"/>
  <c r="F16" i="73"/>
  <c r="M26" i="73"/>
  <c r="F7" i="73"/>
  <c r="F7" i="74"/>
  <c r="L47" i="73"/>
  <c r="L48" i="73"/>
  <c r="F8" i="73"/>
  <c r="F43" i="74"/>
  <c r="M9" i="73"/>
  <c r="M29" i="72"/>
  <c r="Q53" i="72" l="1"/>
  <c r="Q58" i="15"/>
  <c r="Q74" i="72"/>
  <c r="E67" i="40"/>
  <c r="F65" i="40"/>
  <c r="F44" i="74"/>
  <c r="F24" i="74"/>
  <c r="C24" i="74" s="1"/>
  <c r="F24" i="73"/>
  <c r="C24" i="73" s="1"/>
  <c r="F21" i="43"/>
  <c r="C23" i="43" s="1"/>
  <c r="D21" i="43" s="1"/>
  <c r="F24" i="71"/>
  <c r="C24" i="71" s="1"/>
  <c r="J5" i="71"/>
  <c r="J24" i="71" s="1"/>
  <c r="F24" i="72"/>
  <c r="C24" i="72" s="1"/>
  <c r="F26" i="12"/>
  <c r="C27" i="12" s="1"/>
  <c r="D26" i="12" s="1"/>
  <c r="C32" i="12" s="1"/>
  <c r="D30" i="12" s="1"/>
  <c r="F26" i="44"/>
  <c r="C26" i="44" s="1"/>
  <c r="C47" i="71"/>
  <c r="C59" i="71" s="1"/>
  <c r="L59" i="74"/>
  <c r="L58" i="74"/>
  <c r="F64" i="74"/>
  <c r="F65" i="73"/>
  <c r="F64" i="73"/>
  <c r="F63" i="73"/>
  <c r="F49" i="73"/>
  <c r="M7" i="73"/>
  <c r="J6" i="73" s="1"/>
  <c r="J5" i="73" s="1"/>
  <c r="J26" i="73" s="1"/>
  <c r="Q72" i="74"/>
  <c r="F49" i="74"/>
  <c r="M7" i="74"/>
  <c r="J6" i="74" s="1"/>
  <c r="J5" i="74" s="1"/>
  <c r="C27" i="74"/>
  <c r="F50" i="73"/>
  <c r="C27" i="73"/>
  <c r="C6" i="73"/>
  <c r="C10" i="73" s="1"/>
  <c r="C5" i="73" s="1"/>
  <c r="C38" i="73" s="1"/>
  <c r="F67" i="74"/>
  <c r="F70" i="74"/>
  <c r="F65" i="74"/>
  <c r="F50" i="74"/>
  <c r="L58" i="73"/>
  <c r="L59" i="73"/>
  <c r="F70" i="73"/>
  <c r="F67" i="73"/>
  <c r="F63" i="74"/>
  <c r="C6" i="74"/>
  <c r="C10" i="74" s="1"/>
  <c r="C5" i="74" s="1"/>
  <c r="C32" i="74" s="1"/>
  <c r="J57" i="74"/>
  <c r="J55" i="74" s="1"/>
  <c r="J58" i="74" s="1"/>
  <c r="Q51" i="74" s="1"/>
  <c r="I54" i="74"/>
  <c r="J53" i="74"/>
  <c r="L60" i="74"/>
  <c r="J60" i="74"/>
  <c r="Q49" i="74" s="1"/>
  <c r="J59" i="74"/>
  <c r="L56" i="74"/>
  <c r="L57" i="74"/>
  <c r="J59" i="73"/>
  <c r="L56" i="73"/>
  <c r="J57" i="73"/>
  <c r="J55" i="73" s="1"/>
  <c r="J58" i="73" s="1"/>
  <c r="Q51" i="73" s="1"/>
  <c r="J53" i="73"/>
  <c r="L57" i="73"/>
  <c r="L60" i="73"/>
  <c r="J60" i="73"/>
  <c r="Q49" i="73" s="1"/>
  <c r="I54" i="73"/>
  <c r="Q72" i="73"/>
  <c r="C6" i="72"/>
  <c r="C10" i="72" s="1"/>
  <c r="C5" i="72" s="1"/>
  <c r="C38" i="72" s="1"/>
  <c r="F49" i="72"/>
  <c r="C48" i="72" s="1"/>
  <c r="C47" i="72" s="1"/>
  <c r="C59" i="72" s="1"/>
  <c r="M7" i="72"/>
  <c r="J6" i="72" s="1"/>
  <c r="J5" i="72" s="1"/>
  <c r="F70" i="72"/>
  <c r="O7" i="1"/>
  <c r="P7" i="1" s="1"/>
  <c r="N49" i="59"/>
  <c r="N48" i="59"/>
  <c r="E60" i="40"/>
  <c r="E65" i="39"/>
  <c r="U7" i="37"/>
  <c r="AB7" i="37"/>
  <c r="T42" i="37" s="1"/>
  <c r="G42" i="37" s="1"/>
  <c r="F13" i="39"/>
  <c r="H13" i="39"/>
  <c r="J13" i="39"/>
  <c r="F33" i="12"/>
  <c r="C34" i="12" s="1"/>
  <c r="D33" i="12" s="1"/>
  <c r="F18" i="11"/>
  <c r="C18" i="11" s="1"/>
  <c r="F24" i="43"/>
  <c r="C26" i="43" s="1"/>
  <c r="D24" i="43" s="1"/>
  <c r="AC7" i="36"/>
  <c r="V36" i="36" s="1"/>
  <c r="I36" i="36" s="1"/>
  <c r="W7" i="36"/>
  <c r="D5" i="59"/>
  <c r="M20" i="46"/>
  <c r="C19" i="46" s="1"/>
  <c r="C37" i="46" s="1"/>
  <c r="F11" i="21"/>
  <c r="J11" i="21"/>
  <c r="H11" i="21"/>
  <c r="E3" i="6"/>
  <c r="AY6" i="3"/>
  <c r="H12" i="39"/>
  <c r="H12" i="40"/>
  <c r="J12" i="40"/>
  <c r="F12" i="39"/>
  <c r="J12" i="39"/>
  <c r="F12" i="40"/>
  <c r="F72" i="39"/>
  <c r="G70" i="39"/>
  <c r="R37" i="36"/>
  <c r="E36" i="36"/>
  <c r="AB7" i="36"/>
  <c r="T36" i="36" s="1"/>
  <c r="G36" i="36" s="1"/>
  <c r="U7" i="36"/>
  <c r="G54" i="34"/>
  <c r="H54" i="34" s="1"/>
  <c r="G53" i="34"/>
  <c r="H53" i="34" s="1"/>
  <c r="C39" i="46"/>
  <c r="T10" i="46"/>
  <c r="V10" i="46" s="1"/>
  <c r="T12" i="46"/>
  <c r="V12" i="46" s="1"/>
  <c r="E378" i="3"/>
  <c r="E267" i="3"/>
  <c r="AA7" i="21"/>
  <c r="S7" i="21"/>
  <c r="I42" i="35"/>
  <c r="J42" i="35" s="1"/>
  <c r="R50" i="34"/>
  <c r="E49" i="34"/>
  <c r="G43" i="35"/>
  <c r="H43" i="35" s="1"/>
  <c r="G42" i="35"/>
  <c r="H42" i="35" s="1"/>
  <c r="K58" i="33"/>
  <c r="E67" i="39"/>
  <c r="E62" i="40"/>
  <c r="E61" i="40"/>
  <c r="E66" i="39"/>
  <c r="H7" i="21"/>
  <c r="J7" i="21"/>
  <c r="C19" i="11"/>
  <c r="C20" i="11" s="1"/>
  <c r="C21" i="11" s="1"/>
  <c r="C22" i="11" s="1"/>
  <c r="C23" i="11" s="1"/>
  <c r="B2" i="11" s="1"/>
  <c r="I53" i="34"/>
  <c r="J53" i="34" s="1"/>
  <c r="I54" i="34"/>
  <c r="J54" i="34" s="1"/>
  <c r="C23" i="46"/>
  <c r="C21" i="46" s="1"/>
  <c r="F22" i="46"/>
  <c r="E22" i="46"/>
  <c r="E101" i="46"/>
  <c r="F101" i="46"/>
  <c r="G22" i="46"/>
  <c r="H22" i="46"/>
  <c r="D101" i="46"/>
  <c r="B113" i="46"/>
  <c r="C101" i="46"/>
  <c r="AI11" i="46"/>
  <c r="AI13" i="46" s="1"/>
  <c r="S3" i="46"/>
  <c r="AD11" i="46"/>
  <c r="AD13" i="46" s="1"/>
  <c r="S4" i="46"/>
  <c r="N104" i="45"/>
  <c r="H101" i="46"/>
  <c r="K101" i="46"/>
  <c r="S6" i="46"/>
  <c r="AH11" i="46"/>
  <c r="AH13" i="46" s="1"/>
  <c r="AG11" i="46"/>
  <c r="AG13" i="46" s="1"/>
  <c r="AB11" i="46"/>
  <c r="AB13" i="46" s="1"/>
  <c r="AJ11" i="46"/>
  <c r="AJ13" i="46" s="1"/>
  <c r="I101" i="46"/>
  <c r="N101" i="46"/>
  <c r="S5" i="46"/>
  <c r="Z7" i="46"/>
  <c r="G101" i="46"/>
  <c r="L101" i="46"/>
  <c r="AF11" i="46"/>
  <c r="AF13" i="46" s="1"/>
  <c r="S7" i="46"/>
  <c r="AC11" i="46"/>
  <c r="AC13" i="46" s="1"/>
  <c r="M101" i="46"/>
  <c r="AA11" i="46"/>
  <c r="AA13" i="46" s="1"/>
  <c r="J22" i="46"/>
  <c r="AE11" i="46"/>
  <c r="AE13" i="46" s="1"/>
  <c r="S2" i="46"/>
  <c r="T2" i="46" s="1"/>
  <c r="V2" i="46" s="1"/>
  <c r="Z11" i="46"/>
  <c r="Z13" i="46" s="1"/>
  <c r="Y11" i="46"/>
  <c r="Y13" i="46" s="1"/>
  <c r="J101" i="46"/>
  <c r="E30" i="6"/>
  <c r="E31" i="6" s="1"/>
  <c r="K14" i="1"/>
  <c r="K23" i="6"/>
  <c r="K22" i="6"/>
  <c r="K19" i="6"/>
  <c r="K21" i="6"/>
  <c r="K24" i="6"/>
  <c r="K20" i="6"/>
  <c r="K26" i="6"/>
  <c r="M26" i="6" s="1"/>
  <c r="I26" i="6" s="1"/>
  <c r="S26" i="6" s="1"/>
  <c r="K25" i="6"/>
  <c r="M25" i="6" s="1"/>
  <c r="I25" i="6" s="1"/>
  <c r="S25" i="6" s="1"/>
  <c r="S7" i="37"/>
  <c r="AA7" i="37"/>
  <c r="R42" i="37" s="1"/>
  <c r="R39" i="35"/>
  <c r="E38" i="35"/>
  <c r="I46" i="37"/>
  <c r="J46" i="37" s="1"/>
  <c r="F27" i="6"/>
  <c r="F31" i="6" s="1"/>
  <c r="E16" i="6"/>
  <c r="E58" i="39"/>
  <c r="E53" i="40"/>
  <c r="C33" i="21"/>
  <c r="E86" i="3"/>
  <c r="E297" i="3"/>
  <c r="E283" i="3"/>
  <c r="E23" i="3"/>
  <c r="E535"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M6" i="3"/>
  <c r="E192" i="3"/>
  <c r="E114" i="3"/>
  <c r="E206" i="3"/>
  <c r="E381" i="3"/>
  <c r="E93" i="3"/>
  <c r="E333" i="3"/>
  <c r="E427" i="3"/>
  <c r="E55" i="3"/>
  <c r="E115" i="3"/>
  <c r="E570" i="3"/>
  <c r="E195" i="3"/>
  <c r="E94" i="3"/>
  <c r="E409" i="3"/>
  <c r="E349" i="3"/>
  <c r="E36" i="3"/>
  <c r="E127" i="3"/>
  <c r="E311" i="3"/>
  <c r="E237" i="3"/>
  <c r="E215" i="3"/>
  <c r="E424" i="3"/>
  <c r="E428" i="3"/>
  <c r="E548" i="3"/>
  <c r="E164" i="3"/>
  <c r="E100" i="3"/>
  <c r="E45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68" i="3"/>
  <c r="E250" i="3"/>
  <c r="E69" i="3"/>
  <c r="E265" i="3"/>
  <c r="E22" i="3"/>
  <c r="E152" i="3"/>
  <c r="AM6" i="3"/>
  <c r="E459" i="3"/>
  <c r="E46" i="3"/>
  <c r="E337" i="3"/>
  <c r="E231" i="3"/>
  <c r="E457" i="3"/>
  <c r="E158" i="3"/>
  <c r="E470" i="3"/>
  <c r="E492" i="3"/>
  <c r="AA6" i="3"/>
  <c r="E124" i="3"/>
  <c r="E295" i="3"/>
  <c r="E299" i="3"/>
  <c r="E388" i="3"/>
  <c r="E89" i="3"/>
  <c r="E103" i="3"/>
  <c r="E146" i="3"/>
  <c r="E62" i="3"/>
  <c r="E43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323" i="3"/>
  <c r="E312" i="3"/>
  <c r="E514" i="3"/>
  <c r="E501" i="3"/>
  <c r="E512" i="3"/>
  <c r="E384" i="3"/>
  <c r="E371" i="3"/>
  <c r="E310" i="3"/>
  <c r="E567" i="3"/>
  <c r="E487" i="3"/>
  <c r="E329" i="3"/>
  <c r="AB6" i="3"/>
  <c r="E26" i="3"/>
  <c r="S6" i="3"/>
  <c r="E322" i="3"/>
  <c r="E511" i="3"/>
  <c r="E17" i="3"/>
  <c r="E377" i="3"/>
  <c r="E18" i="3"/>
  <c r="E358" i="3"/>
  <c r="E509" i="3"/>
  <c r="E20" i="3"/>
  <c r="E564" i="3"/>
  <c r="E561" i="3"/>
  <c r="E395" i="3"/>
  <c r="E241" i="3"/>
  <c r="E421" i="3"/>
  <c r="E156" i="3"/>
  <c r="E348" i="3"/>
  <c r="E132" i="3"/>
  <c r="E49" i="3"/>
  <c r="E394" i="3"/>
  <c r="E91" i="3"/>
  <c r="E193" i="3"/>
  <c r="E282" i="3"/>
  <c r="E359" i="3"/>
  <c r="E104" i="3"/>
  <c r="E375" i="3"/>
  <c r="E391" i="3"/>
  <c r="E321" i="3"/>
  <c r="E186" i="3"/>
  <c r="E131" i="3"/>
  <c r="E266" i="3"/>
  <c r="E263" i="3"/>
  <c r="E304" i="3"/>
  <c r="I6" i="3"/>
  <c r="E82" i="3"/>
  <c r="E165" i="3"/>
  <c r="E99" i="3"/>
  <c r="E404" i="3"/>
  <c r="E520" i="3"/>
  <c r="E230" i="3"/>
  <c r="AK6" i="3"/>
  <c r="E143" i="3"/>
  <c r="E441" i="3"/>
  <c r="E205" i="3"/>
  <c r="E399" i="3"/>
  <c r="E478" i="3"/>
  <c r="E317" i="3"/>
  <c r="E28" i="3"/>
  <c r="E141" i="3"/>
  <c r="E168" i="3"/>
  <c r="E444" i="3"/>
  <c r="E383" i="3"/>
  <c r="E247" i="3"/>
  <c r="E136" i="3"/>
  <c r="E85" i="3"/>
  <c r="E332" i="3"/>
  <c r="E139" i="3"/>
  <c r="E445" i="3"/>
  <c r="E556" i="3"/>
  <c r="U6" i="3"/>
  <c r="E305" i="3"/>
  <c r="E73" i="3"/>
  <c r="E365" i="3"/>
  <c r="E248" i="3"/>
  <c r="E336" i="3"/>
  <c r="E466" i="3"/>
  <c r="E51" i="3"/>
  <c r="E198" i="3"/>
  <c r="E281" i="3"/>
  <c r="E290" i="3"/>
  <c r="AF6" i="3"/>
  <c r="E331" i="3"/>
  <c r="E362" i="3"/>
  <c r="E150" i="3"/>
  <c r="E314" i="3"/>
  <c r="E502" i="3"/>
  <c r="E489" i="3"/>
  <c r="E320" i="3"/>
  <c r="E45" i="3"/>
  <c r="E284" i="3"/>
  <c r="E42" i="3"/>
  <c r="E181" i="3"/>
  <c r="E269" i="3"/>
  <c r="E338" i="3"/>
  <c r="E562" i="3"/>
  <c r="E518" i="3"/>
  <c r="E515" i="3"/>
  <c r="E553" i="3"/>
  <c r="E273" i="3"/>
  <c r="E563" i="3"/>
  <c r="E112" i="3"/>
  <c r="E268" i="3"/>
  <c r="E175" i="3"/>
  <c r="E565" i="3"/>
  <c r="E503" i="3"/>
  <c r="E413" i="3"/>
  <c r="Z6" i="3"/>
  <c r="E223" i="3"/>
  <c r="E367" i="3"/>
  <c r="E415" i="3"/>
  <c r="E80" i="3"/>
  <c r="E357" i="3"/>
  <c r="AS6" i="3"/>
  <c r="E34" i="3"/>
  <c r="E407" i="3"/>
  <c r="E550" i="3"/>
  <c r="E568" i="3"/>
  <c r="E539" i="3"/>
  <c r="E245" i="3"/>
  <c r="E52" i="3"/>
  <c r="E451" i="3"/>
  <c r="E291" i="3"/>
  <c r="E527" i="3"/>
  <c r="E126" i="3"/>
  <c r="E211" i="3"/>
  <c r="Y6" i="3"/>
  <c r="AR6" i="3"/>
  <c r="E65" i="3"/>
  <c r="E513" i="3"/>
  <c r="E345" i="3"/>
  <c r="E72" i="3"/>
  <c r="E440" i="3"/>
  <c r="E40" i="3"/>
  <c r="E559" i="3"/>
  <c r="E228" i="3"/>
  <c r="E324" i="3"/>
  <c r="E334" i="3"/>
  <c r="E325" i="3"/>
  <c r="E396" i="3"/>
  <c r="E216" i="3"/>
  <c r="E392" i="3"/>
  <c r="E373" i="3"/>
  <c r="E360" i="3"/>
  <c r="T6" i="3"/>
  <c r="E144" i="3"/>
  <c r="E219" i="3"/>
  <c r="E506" i="3"/>
  <c r="E571" i="3"/>
  <c r="E497" i="3"/>
  <c r="E566" i="3"/>
  <c r="E494" i="3"/>
  <c r="E542" i="3"/>
  <c r="E254" i="3"/>
  <c r="E341" i="3"/>
  <c r="E316" i="3"/>
  <c r="E318" i="3"/>
  <c r="E380" i="3"/>
  <c r="E411" i="3"/>
  <c r="E443" i="3"/>
  <c r="E439" i="3"/>
  <c r="E221" i="3"/>
  <c r="E296" i="3"/>
  <c r="AD6" i="3"/>
  <c r="AC6" i="3" s="1"/>
  <c r="E430" i="3"/>
  <c r="E460" i="3"/>
  <c r="E435" i="3"/>
  <c r="E142" i="3"/>
  <c r="E468" i="3"/>
  <c r="E185" i="3"/>
  <c r="E27" i="3"/>
  <c r="E469" i="3"/>
  <c r="E560" i="3"/>
  <c r="E261" i="3"/>
  <c r="E402" i="3"/>
  <c r="E255" i="3"/>
  <c r="E145" i="3"/>
  <c r="E347" i="3"/>
  <c r="E58" i="3"/>
  <c r="E285" i="3"/>
  <c r="E433" i="3"/>
  <c r="E300" i="3"/>
  <c r="E530" i="3"/>
  <c r="E403" i="3"/>
  <c r="E177" i="3"/>
  <c r="E90" i="3"/>
  <c r="E106" i="3"/>
  <c r="E226" i="3"/>
  <c r="E351" i="3"/>
  <c r="E368" i="3"/>
  <c r="E504" i="3"/>
  <c r="E244" i="3"/>
  <c r="E301" i="3"/>
  <c r="E356" i="3"/>
  <c r="E135" i="3"/>
  <c r="E78" i="3"/>
  <c r="E83" i="3"/>
  <c r="E343" i="3"/>
  <c r="E148" i="3"/>
  <c r="E293" i="3"/>
  <c r="E203" i="3"/>
  <c r="E417" i="3"/>
  <c r="E400" i="3"/>
  <c r="E61" i="3"/>
  <c r="E379" i="3"/>
  <c r="E217" i="3"/>
  <c r="E210" i="3"/>
  <c r="E510" i="3"/>
  <c r="E137" i="3"/>
  <c r="E475" i="3"/>
  <c r="E147" i="3"/>
  <c r="E437" i="3"/>
  <c r="E390" i="3"/>
  <c r="X6" i="3"/>
  <c r="E222" i="3"/>
  <c r="E549" i="3"/>
  <c r="E389" i="3"/>
  <c r="P6" i="3"/>
  <c r="AP6" i="3"/>
  <c r="E70" i="3"/>
  <c r="E151" i="3"/>
  <c r="E53" i="3"/>
  <c r="W6" i="3"/>
  <c r="E420" i="3"/>
  <c r="E107" i="3"/>
  <c r="E393" i="3"/>
  <c r="E480" i="3"/>
  <c r="E517" i="3"/>
  <c r="AQ6" i="3"/>
  <c r="E235" i="3"/>
  <c r="E120" i="3"/>
  <c r="E555" i="3"/>
  <c r="E499" i="3"/>
  <c r="E173" i="3"/>
  <c r="E260" i="3"/>
  <c r="E153" i="3"/>
  <c r="E14" i="3"/>
  <c r="E342" i="3"/>
  <c r="E572" i="3"/>
  <c r="E227" i="3"/>
  <c r="E71" i="3"/>
  <c r="E382" i="3"/>
  <c r="E481" i="3"/>
  <c r="E446" i="3"/>
  <c r="E528" i="3"/>
  <c r="E249" i="3"/>
  <c r="E452" i="3"/>
  <c r="E410" i="3"/>
  <c r="E109" i="3"/>
  <c r="E412" i="3"/>
  <c r="E111" i="3"/>
  <c r="E172" i="3"/>
  <c r="E279" i="3"/>
  <c r="E197" i="3"/>
  <c r="E529" i="3"/>
  <c r="E538" i="3"/>
  <c r="E307" i="3"/>
  <c r="E169" i="3"/>
  <c r="AL6" i="3"/>
  <c r="E406" i="3"/>
  <c r="E484" i="3"/>
  <c r="E405" i="3"/>
  <c r="E162" i="3"/>
  <c r="E436" i="3"/>
  <c r="E118" i="3"/>
  <c r="E522" i="3"/>
  <c r="E240" i="3"/>
  <c r="E190" i="3"/>
  <c r="E355" i="3"/>
  <c r="E432" i="3"/>
  <c r="E364" i="3"/>
  <c r="E488" i="3"/>
  <c r="E476" i="3"/>
  <c r="E194" i="3"/>
  <c r="E117" i="3"/>
  <c r="E31" i="3"/>
  <c r="E149" i="3"/>
  <c r="E327" i="3"/>
  <c r="E77" i="3"/>
  <c r="E140" i="3"/>
  <c r="E84" i="3"/>
  <c r="E431" i="3"/>
  <c r="E38" i="3"/>
  <c r="E313" i="3"/>
  <c r="E233" i="3"/>
  <c r="E39" i="3"/>
  <c r="E288" i="3"/>
  <c r="E88" i="3"/>
  <c r="E220" i="3"/>
  <c r="E453" i="3"/>
  <c r="E229" i="3"/>
  <c r="E558" i="3"/>
  <c r="E339" i="3"/>
  <c r="E516" i="3"/>
  <c r="E326" i="3"/>
  <c r="E58" i="40"/>
  <c r="E63" i="39"/>
  <c r="E59" i="40"/>
  <c r="E64" i="39"/>
  <c r="E191" i="3"/>
  <c r="M8" i="1"/>
  <c r="C10" i="71"/>
  <c r="C5" i="71" s="1"/>
  <c r="C32" i="71" s="1"/>
  <c r="C47" i="15"/>
  <c r="C59" i="15" s="1"/>
  <c r="J26" i="15"/>
  <c r="J24" i="15"/>
  <c r="J18" i="15"/>
  <c r="C34" i="44"/>
  <c r="C40" i="44"/>
  <c r="C10" i="15"/>
  <c r="C5" i="15" s="1"/>
  <c r="J26" i="44"/>
  <c r="J28" i="44"/>
  <c r="J31" i="44" s="1"/>
  <c r="J20" i="44"/>
  <c r="C16" i="74"/>
  <c r="C16" i="72"/>
  <c r="F41" i="15"/>
  <c r="L52" i="44"/>
  <c r="C16" i="73"/>
  <c r="F41" i="71"/>
  <c r="T15" i="46" l="1"/>
  <c r="V15" i="46" s="1"/>
  <c r="G65" i="40"/>
  <c r="F67" i="40"/>
  <c r="J18" i="71"/>
  <c r="J26" i="71"/>
  <c r="J29" i="71" s="1"/>
  <c r="C65" i="71"/>
  <c r="C60" i="71"/>
  <c r="J24" i="73"/>
  <c r="J18" i="73"/>
  <c r="J26" i="74"/>
  <c r="J18" i="74"/>
  <c r="J24" i="74"/>
  <c r="C48" i="73"/>
  <c r="C47" i="73" s="1"/>
  <c r="C59" i="73" s="1"/>
  <c r="C60" i="72"/>
  <c r="C33" i="72"/>
  <c r="C48" i="74"/>
  <c r="C47" i="74" s="1"/>
  <c r="C59" i="74" s="1"/>
  <c r="F68" i="15"/>
  <c r="F68" i="71"/>
  <c r="G37" i="46"/>
  <c r="I37" i="46" s="1"/>
  <c r="E37" i="46"/>
  <c r="J24" i="72"/>
  <c r="J18" i="72"/>
  <c r="J26" i="72"/>
  <c r="J29" i="72" s="1"/>
  <c r="E42" i="37"/>
  <c r="R43" i="37"/>
  <c r="M20" i="6"/>
  <c r="I20" i="6" s="1"/>
  <c r="S20" i="6" s="1"/>
  <c r="S7" i="1"/>
  <c r="S9" i="1"/>
  <c r="M22" i="6"/>
  <c r="I22" i="6" s="1"/>
  <c r="S22" i="6" s="1"/>
  <c r="J102" i="46"/>
  <c r="J103" i="46"/>
  <c r="J104" i="46"/>
  <c r="J105" i="46"/>
  <c r="J106" i="46"/>
  <c r="J107" i="46"/>
  <c r="J109" i="46"/>
  <c r="G104" i="46"/>
  <c r="G106" i="46"/>
  <c r="G109" i="46"/>
  <c r="G103" i="46"/>
  <c r="G105" i="46"/>
  <c r="G107" i="46"/>
  <c r="G102" i="46"/>
  <c r="I103" i="46"/>
  <c r="I105" i="46"/>
  <c r="I107" i="46"/>
  <c r="I109" i="46"/>
  <c r="I102" i="46"/>
  <c r="I104" i="46"/>
  <c r="I106" i="46"/>
  <c r="M24" i="6"/>
  <c r="I24" i="6" s="1"/>
  <c r="S24" i="6" s="1"/>
  <c r="S11" i="1"/>
  <c r="M23" i="6"/>
  <c r="I23" i="6" s="1"/>
  <c r="S23" i="6" s="1"/>
  <c r="S10" i="1"/>
  <c r="C103" i="46"/>
  <c r="C107" i="46"/>
  <c r="C102" i="46"/>
  <c r="C104" i="46"/>
  <c r="C109" i="46"/>
  <c r="C105" i="46"/>
  <c r="C106" i="46"/>
  <c r="E54" i="34"/>
  <c r="F54" i="34" s="1"/>
  <c r="E53" i="34"/>
  <c r="F53" i="34" s="1"/>
  <c r="T16" i="46"/>
  <c r="V16" i="46" s="1"/>
  <c r="T9" i="46"/>
  <c r="V9" i="46" s="1"/>
  <c r="T14" i="46"/>
  <c r="V14" i="46" s="1"/>
  <c r="T3" i="46"/>
  <c r="V3" i="46" s="1"/>
  <c r="C36" i="36"/>
  <c r="C37" i="36"/>
  <c r="B3" i="36" s="1"/>
  <c r="B2" i="36" s="1"/>
  <c r="AC12" i="39"/>
  <c r="W12" i="39"/>
  <c r="AB12" i="39"/>
  <c r="U12" i="39"/>
  <c r="AC11" i="21"/>
  <c r="W11" i="21"/>
  <c r="I40" i="36"/>
  <c r="J40" i="36" s="1"/>
  <c r="I41" i="36"/>
  <c r="J41" i="36" s="1"/>
  <c r="AC13" i="39"/>
  <c r="W13" i="39"/>
  <c r="Q75" i="73"/>
  <c r="Q62" i="73"/>
  <c r="E68" i="39"/>
  <c r="E43" i="35"/>
  <c r="F43" i="35" s="1"/>
  <c r="E42" i="35"/>
  <c r="F42" i="35" s="1"/>
  <c r="M21" i="6"/>
  <c r="I21" i="6" s="1"/>
  <c r="S21" i="6" s="1"/>
  <c r="S8" i="1"/>
  <c r="M14" i="1"/>
  <c r="M16" i="1" s="1"/>
  <c r="K16" i="1"/>
  <c r="K109" i="46"/>
  <c r="K102" i="46"/>
  <c r="K103" i="46"/>
  <c r="K105" i="46"/>
  <c r="K107" i="46"/>
  <c r="K106" i="46"/>
  <c r="K104" i="46"/>
  <c r="I117" i="46"/>
  <c r="J117" i="46" s="1"/>
  <c r="K117" i="46" s="1"/>
  <c r="L117" i="46" s="1"/>
  <c r="M117" i="46" s="1"/>
  <c r="D115" i="46"/>
  <c r="E115" i="46" s="1"/>
  <c r="F115" i="46" s="1"/>
  <c r="G115" i="46" s="1"/>
  <c r="H115" i="46" s="1"/>
  <c r="D118" i="46"/>
  <c r="E118" i="46" s="1"/>
  <c r="F118" i="46" s="1"/>
  <c r="I116" i="46"/>
  <c r="J116" i="46" s="1"/>
  <c r="K116" i="46" s="1"/>
  <c r="L116" i="46" s="1"/>
  <c r="M116" i="46" s="1"/>
  <c r="D116" i="46"/>
  <c r="E116" i="46" s="1"/>
  <c r="F116" i="46" s="1"/>
  <c r="G116" i="46" s="1"/>
  <c r="H116" i="46" s="1"/>
  <c r="B117" i="46"/>
  <c r="C117" i="46" s="1"/>
  <c r="G118" i="46"/>
  <c r="H118" i="46" s="1"/>
  <c r="B115" i="46"/>
  <c r="B118" i="46"/>
  <c r="C118" i="46" s="1"/>
  <c r="D117" i="46"/>
  <c r="E117" i="46" s="1"/>
  <c r="F117" i="46" s="1"/>
  <c r="G117" i="46" s="1"/>
  <c r="H117" i="46" s="1"/>
  <c r="B116" i="46"/>
  <c r="C116" i="46" s="1"/>
  <c r="I115" i="46"/>
  <c r="J115" i="46" s="1"/>
  <c r="K115" i="46" s="1"/>
  <c r="L115" i="46" s="1"/>
  <c r="M115" i="46" s="1"/>
  <c r="I118" i="46"/>
  <c r="J118" i="46" s="1"/>
  <c r="K118" i="46" s="1"/>
  <c r="L118" i="46" s="1"/>
  <c r="M118" i="46" s="1"/>
  <c r="F102" i="46"/>
  <c r="F106" i="46"/>
  <c r="F105" i="46"/>
  <c r="F107" i="46"/>
  <c r="F103" i="46"/>
  <c r="F104" i="46"/>
  <c r="F109" i="46"/>
  <c r="L58" i="33"/>
  <c r="C49" i="34"/>
  <c r="C50" i="34"/>
  <c r="B3" i="34" s="1"/>
  <c r="B2" i="34" s="1"/>
  <c r="I43" i="35"/>
  <c r="J43" i="35" s="1"/>
  <c r="G39" i="46"/>
  <c r="I39" i="46" s="1"/>
  <c r="E39" i="46"/>
  <c r="G72" i="39"/>
  <c r="H70" i="39"/>
  <c r="S12" i="39"/>
  <c r="AA12" i="39"/>
  <c r="D3"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436" i="3"/>
  <c r="AY495" i="3"/>
  <c r="AY534" i="3"/>
  <c r="AY322" i="3"/>
  <c r="AY113" i="3"/>
  <c r="AY267" i="3"/>
  <c r="AY557" i="3"/>
  <c r="AY395" i="3"/>
  <c r="AY192" i="3"/>
  <c r="AY363" i="3"/>
  <c r="AY478" i="3"/>
  <c r="AY387" i="3"/>
  <c r="AY545" i="3"/>
  <c r="AY418" i="3"/>
  <c r="AY393" i="3"/>
  <c r="AY410" i="3"/>
  <c r="AY434" i="3"/>
  <c r="BO6" i="3"/>
  <c r="AY433" i="3"/>
  <c r="AY289" i="3"/>
  <c r="AY512" i="3"/>
  <c r="AY93" i="3"/>
  <c r="AY210" i="3"/>
  <c r="AY455" i="3"/>
  <c r="AY297" i="3"/>
  <c r="AY332" i="3"/>
  <c r="AY473" i="3"/>
  <c r="AY551" i="3"/>
  <c r="AY51" i="3"/>
  <c r="AY94" i="3"/>
  <c r="AY511" i="3"/>
  <c r="AY536" i="3"/>
  <c r="BJ6" i="3"/>
  <c r="AY517" i="3"/>
  <c r="AY535" i="3"/>
  <c r="AY523"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65" i="3"/>
  <c r="AY272" i="3"/>
  <c r="AY281" i="3"/>
  <c r="AY189" i="3"/>
  <c r="AY339" i="3"/>
  <c r="AY56" i="3"/>
  <c r="AY490" i="3"/>
  <c r="AY547" i="3"/>
  <c r="AY313" i="3"/>
  <c r="AY130" i="3"/>
  <c r="AY125" i="3"/>
  <c r="AY462" i="3"/>
  <c r="AY541" i="3"/>
  <c r="AY167" i="3"/>
  <c r="AY439" i="3"/>
  <c r="AY180" i="3"/>
  <c r="AY477" i="3"/>
  <c r="AY292" i="3"/>
  <c r="AY452" i="3"/>
  <c r="AY87" i="3"/>
  <c r="AY109" i="3"/>
  <c r="AY142" i="3"/>
  <c r="AY34" i="3"/>
  <c r="AY218" i="3"/>
  <c r="AY309" i="3"/>
  <c r="AY392" i="3"/>
  <c r="AY176" i="3"/>
  <c r="AY356" i="3"/>
  <c r="AY44" i="3"/>
  <c r="AY288" i="3"/>
  <c r="AY318" i="3"/>
  <c r="AY147" i="3"/>
  <c r="AY561" i="3"/>
  <c r="AY162" i="3"/>
  <c r="AY22" i="3"/>
  <c r="AY562" i="3"/>
  <c r="AY406" i="3"/>
  <c r="AY303" i="3"/>
  <c r="AY127" i="3"/>
  <c r="AY498" i="3"/>
  <c r="AY518" i="3"/>
  <c r="AY415" i="3"/>
  <c r="AY503" i="3"/>
  <c r="AY208" i="3"/>
  <c r="AY299" i="3"/>
  <c r="AY447" i="3"/>
  <c r="AY185" i="3"/>
  <c r="AY483" i="3"/>
  <c r="AY108" i="3"/>
  <c r="AY60" i="3"/>
  <c r="AY334" i="3"/>
  <c r="AY270" i="3"/>
  <c r="AY571" i="3"/>
  <c r="AY554" i="3"/>
  <c r="AY532" i="3"/>
  <c r="AY530" i="3"/>
  <c r="AY198" i="3"/>
  <c r="AY158" i="3"/>
  <c r="AY443" i="3"/>
  <c r="AY46" i="3"/>
  <c r="AY148" i="3"/>
  <c r="BA6" i="3"/>
  <c r="AY380" i="3"/>
  <c r="AY221" i="3"/>
  <c r="AY456" i="3"/>
  <c r="AY247" i="3"/>
  <c r="AY153" i="3"/>
  <c r="AY559" i="3"/>
  <c r="AY475" i="3"/>
  <c r="AY509" i="3"/>
  <c r="AY564" i="3"/>
  <c r="AY549" i="3"/>
  <c r="AY259" i="3"/>
  <c r="AY368" i="3"/>
  <c r="AY409" i="3"/>
  <c r="AY138" i="3"/>
  <c r="AY367" i="3"/>
  <c r="AY319" i="3"/>
  <c r="AY370" i="3"/>
  <c r="AY485" i="3"/>
  <c r="AY174" i="3"/>
  <c r="AY328" i="3"/>
  <c r="AY195" i="3"/>
  <c r="AY260" i="3"/>
  <c r="AY69" i="3"/>
  <c r="AY26" i="3"/>
  <c r="AY529" i="3"/>
  <c r="AY145"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97" i="3"/>
  <c r="AY290" i="3"/>
  <c r="AY569" i="3"/>
  <c r="AY283" i="3"/>
  <c r="AY211" i="3"/>
  <c r="AY245" i="3"/>
  <c r="AY112" i="3"/>
  <c r="AY78" i="3"/>
  <c r="AY506" i="3"/>
  <c r="AY331" i="3"/>
  <c r="AY539" i="3"/>
  <c r="AY104" i="3"/>
  <c r="AY365" i="3"/>
  <c r="AY316" i="3"/>
  <c r="AY413" i="3"/>
  <c r="AY388" i="3"/>
  <c r="AY199" i="3"/>
  <c r="AY63" i="3"/>
  <c r="AY252" i="3"/>
  <c r="AY77" i="3"/>
  <c r="AY219" i="3"/>
  <c r="AY371" i="3"/>
  <c r="AY446" i="3"/>
  <c r="AY396" i="3"/>
  <c r="AY32" i="3"/>
  <c r="AY20" i="3"/>
  <c r="AY375" i="3"/>
  <c r="AY240" i="3"/>
  <c r="AY487" i="3"/>
  <c r="AY88" i="3"/>
  <c r="AY471" i="3"/>
  <c r="AY166" i="3"/>
  <c r="BT6" i="3"/>
  <c r="AY244" i="3"/>
  <c r="AY351" i="3"/>
  <c r="AY71" i="3"/>
  <c r="AY362" i="3"/>
  <c r="AY228" i="3"/>
  <c r="AY129" i="3"/>
  <c r="AY171" i="3"/>
  <c r="AY29" i="3"/>
  <c r="AY323" i="3"/>
  <c r="AY399" i="3"/>
  <c r="AY440" i="3"/>
  <c r="AA11" i="21"/>
  <c r="S11" i="21"/>
  <c r="C34" i="46"/>
  <c r="C35" i="46"/>
  <c r="C36" i="46"/>
  <c r="C33" i="46"/>
  <c r="AB13" i="39"/>
  <c r="U13" i="39"/>
  <c r="Q53" i="73"/>
  <c r="F1" i="73"/>
  <c r="Q67" i="74"/>
  <c r="Q58" i="74"/>
  <c r="Q61" i="73"/>
  <c r="Q74" i="73"/>
  <c r="Q74" i="74"/>
  <c r="Q61" i="74"/>
  <c r="J29" i="15"/>
  <c r="O8" i="1"/>
  <c r="H6" i="3"/>
  <c r="E6" i="3" s="1"/>
  <c r="F33" i="21"/>
  <c r="J33" i="21"/>
  <c r="H33" i="21"/>
  <c r="C38" i="35"/>
  <c r="C39" i="35"/>
  <c r="B3" i="35" s="1"/>
  <c r="B2" i="35" s="1"/>
  <c r="M19" i="6"/>
  <c r="S6" i="1"/>
  <c r="K27" i="6"/>
  <c r="M102" i="46"/>
  <c r="M109" i="46"/>
  <c r="M104" i="46"/>
  <c r="M106" i="46"/>
  <c r="M107" i="46"/>
  <c r="M103" i="46"/>
  <c r="M105" i="46"/>
  <c r="L102" i="46"/>
  <c r="L104" i="46"/>
  <c r="L106" i="46"/>
  <c r="L103" i="46"/>
  <c r="L105" i="46"/>
  <c r="L107" i="46"/>
  <c r="L109" i="46"/>
  <c r="N102" i="46"/>
  <c r="N103" i="46"/>
  <c r="N104" i="46"/>
  <c r="N105" i="46"/>
  <c r="N106" i="46"/>
  <c r="N107" i="46"/>
  <c r="N109" i="46"/>
  <c r="H102" i="46"/>
  <c r="H104" i="46"/>
  <c r="H106" i="46"/>
  <c r="H105" i="46"/>
  <c r="H103" i="46"/>
  <c r="H107" i="46"/>
  <c r="H109" i="46"/>
  <c r="D103" i="46"/>
  <c r="D107" i="46"/>
  <c r="D104" i="46"/>
  <c r="D105" i="46"/>
  <c r="D106" i="46"/>
  <c r="D102" i="46"/>
  <c r="D109" i="46"/>
  <c r="E104" i="46"/>
  <c r="E106" i="46"/>
  <c r="E102" i="46"/>
  <c r="E107" i="46"/>
  <c r="E103" i="46"/>
  <c r="E105" i="46"/>
  <c r="E109" i="46"/>
  <c r="AC7" i="21"/>
  <c r="W7" i="21"/>
  <c r="T13" i="46"/>
  <c r="V13" i="46" s="1"/>
  <c r="T11" i="46"/>
  <c r="V11" i="46" s="1"/>
  <c r="T6" i="46"/>
  <c r="V6" i="46" s="1"/>
  <c r="T7" i="46"/>
  <c r="V7" i="46" s="1"/>
  <c r="C38" i="46"/>
  <c r="G41" i="36"/>
  <c r="H41" i="36" s="1"/>
  <c r="G40" i="36"/>
  <c r="H40" i="36" s="1"/>
  <c r="W12" i="40"/>
  <c r="AC12" i="40"/>
  <c r="D16" i="12"/>
  <c r="E6" i="6"/>
  <c r="L38" i="9"/>
  <c r="B14" i="66" s="1"/>
  <c r="B1" i="66" s="1"/>
  <c r="C21" i="4"/>
  <c r="O5" i="54" s="1"/>
  <c r="B45" i="63" s="1"/>
  <c r="D10" i="11"/>
  <c r="D46" i="9"/>
  <c r="D16" i="43"/>
  <c r="C16" i="43" s="1"/>
  <c r="D45" i="9"/>
  <c r="AA13" i="39"/>
  <c r="S13" i="39"/>
  <c r="F1" i="74"/>
  <c r="Q53" i="74"/>
  <c r="Q62" i="74"/>
  <c r="Q75" i="74"/>
  <c r="D22" i="46"/>
  <c r="AB7" i="21"/>
  <c r="U7" i="21"/>
  <c r="T8" i="46"/>
  <c r="V8" i="46" s="1"/>
  <c r="T5" i="46"/>
  <c r="V5" i="46" s="1"/>
  <c r="T4" i="46"/>
  <c r="V4" i="46" s="1"/>
  <c r="C29" i="46"/>
  <c r="E41" i="36"/>
  <c r="F41" i="36" s="1"/>
  <c r="E40" i="36"/>
  <c r="F40" i="36" s="1"/>
  <c r="AA12" i="40"/>
  <c r="S12" i="40"/>
  <c r="AB12" i="40"/>
  <c r="U12" i="40"/>
  <c r="AB11" i="21"/>
  <c r="U11" i="21"/>
  <c r="G47" i="37"/>
  <c r="H47" i="37" s="1"/>
  <c r="G46" i="37"/>
  <c r="H46" i="37" s="1"/>
  <c r="Q67" i="73"/>
  <c r="Q58" i="73"/>
  <c r="C33" i="71"/>
  <c r="C38" i="74"/>
  <c r="C33" i="74"/>
  <c r="C38" i="71"/>
  <c r="C32" i="72"/>
  <c r="C65" i="72"/>
  <c r="C65" i="15"/>
  <c r="C60" i="15"/>
  <c r="C32" i="73"/>
  <c r="C33" i="73"/>
  <c r="Q69" i="44"/>
  <c r="L58" i="44"/>
  <c r="L61" i="44" s="1"/>
  <c r="B3" i="11"/>
  <c r="B4" i="11"/>
  <c r="B5" i="11"/>
  <c r="Q67" i="44"/>
  <c r="Q49" i="44"/>
  <c r="Q55" i="44" s="1"/>
  <c r="Q58" i="44"/>
  <c r="C38" i="15"/>
  <c r="C32" i="15"/>
  <c r="C33" i="15"/>
  <c r="C17" i="71"/>
  <c r="AE10" i="1"/>
  <c r="C17" i="73"/>
  <c r="AE11" i="1"/>
  <c r="C17" i="74"/>
  <c r="C17" i="72"/>
  <c r="C17" i="15"/>
  <c r="H65" i="40" l="1"/>
  <c r="G67" i="40"/>
  <c r="C65" i="73"/>
  <c r="C65" i="74"/>
  <c r="C60" i="74"/>
  <c r="C60" i="73"/>
  <c r="C8" i="66"/>
  <c r="C7" i="66"/>
  <c r="I19" i="6"/>
  <c r="M27" i="6"/>
  <c r="AC33" i="21"/>
  <c r="W33" i="21"/>
  <c r="E34" i="46"/>
  <c r="G34" i="46"/>
  <c r="I34" i="46" s="1"/>
  <c r="C115" i="46"/>
  <c r="D113" i="46"/>
  <c r="T13" i="1"/>
  <c r="T9" i="1"/>
  <c r="T12" i="1"/>
  <c r="T11" i="1"/>
  <c r="O14" i="1"/>
  <c r="O16" i="1" s="1"/>
  <c r="T8" i="1"/>
  <c r="C30" i="46"/>
  <c r="E30" i="46" s="1"/>
  <c r="E29" i="46"/>
  <c r="D22" i="12"/>
  <c r="C22" i="12" s="1"/>
  <c r="C20" i="12" s="1"/>
  <c r="D13" i="11"/>
  <c r="C13" i="11" s="1"/>
  <c r="G38" i="46"/>
  <c r="I38" i="46" s="1"/>
  <c r="E38" i="46"/>
  <c r="AA33" i="21"/>
  <c r="R48" i="21" s="1"/>
  <c r="S33" i="21"/>
  <c r="E33" i="46"/>
  <c r="G33" i="46"/>
  <c r="I33" i="46" s="1"/>
  <c r="V48" i="21"/>
  <c r="I48" i="21" s="1"/>
  <c r="L16" i="1"/>
  <c r="N16" i="1"/>
  <c r="C29" i="43" s="1"/>
  <c r="C13" i="43"/>
  <c r="T48" i="21"/>
  <c r="G48" i="21" s="1"/>
  <c r="C16" i="12"/>
  <c r="D19" i="12"/>
  <c r="C19" i="12" s="1"/>
  <c r="G36" i="46"/>
  <c r="I36" i="46" s="1"/>
  <c r="E36" i="46"/>
  <c r="H72" i="39"/>
  <c r="I70" i="39"/>
  <c r="S16" i="1"/>
  <c r="T6" i="1" s="1"/>
  <c r="AB33" i="21"/>
  <c r="U33" i="21"/>
  <c r="P8" i="1"/>
  <c r="E35" i="46"/>
  <c r="G35" i="46"/>
  <c r="I35" i="46" s="1"/>
  <c r="D19" i="6"/>
  <c r="D23" i="6"/>
  <c r="H23" i="6"/>
  <c r="D24" i="6"/>
  <c r="H24" i="6"/>
  <c r="H19" i="6"/>
  <c r="D21" i="6"/>
  <c r="H21" i="6"/>
  <c r="D20" i="6"/>
  <c r="R20" i="6" s="1"/>
  <c r="R7" i="1" s="1"/>
  <c r="H20" i="6"/>
  <c r="K38" i="9"/>
  <c r="C14" i="66" s="1"/>
  <c r="B2" i="66" s="1"/>
  <c r="C22" i="4"/>
  <c r="D10" i="6"/>
  <c r="H25" i="6"/>
  <c r="D14" i="6"/>
  <c r="H26" i="6"/>
  <c r="D26" i="6"/>
  <c r="R26" i="6" s="1"/>
  <c r="D11" i="6"/>
  <c r="D6" i="6"/>
  <c r="D29" i="6"/>
  <c r="E63" i="40"/>
  <c r="D22" i="6"/>
  <c r="D5" i="6"/>
  <c r="D8" i="6"/>
  <c r="E46" i="9"/>
  <c r="D9" i="6"/>
  <c r="D13" i="6"/>
  <c r="D28" i="6"/>
  <c r="D30" i="6" s="1"/>
  <c r="F46" i="9"/>
  <c r="H22" i="6"/>
  <c r="D25" i="6"/>
  <c r="R25" i="6" s="1"/>
  <c r="D15" i="6"/>
  <c r="D12" i="6"/>
  <c r="F45" i="9"/>
  <c r="E45" i="9"/>
  <c r="M58" i="33"/>
  <c r="C43" i="37"/>
  <c r="B3" i="37" s="1"/>
  <c r="B2" i="37" s="1"/>
  <c r="C42" i="37"/>
  <c r="E46" i="37"/>
  <c r="F46" i="37" s="1"/>
  <c r="E47" i="37"/>
  <c r="F47" i="37" s="1"/>
  <c r="I47" i="37"/>
  <c r="J47" i="37" s="1"/>
  <c r="Q59" i="44"/>
  <c r="Q64" i="44" s="1"/>
  <c r="Q68" i="44"/>
  <c r="Q77" i="44" s="1"/>
  <c r="F41" i="74"/>
  <c r="C14" i="15"/>
  <c r="F41" i="73"/>
  <c r="F35" i="71"/>
  <c r="C14" i="74"/>
  <c r="C16" i="44"/>
  <c r="M21" i="71"/>
  <c r="C14" i="72"/>
  <c r="F7" i="67"/>
  <c r="H67" i="40" l="1"/>
  <c r="I65" i="40"/>
  <c r="C18" i="15"/>
  <c r="C15" i="15"/>
  <c r="J20" i="71"/>
  <c r="C34" i="71"/>
  <c r="C31" i="71" s="1"/>
  <c r="F62" i="71"/>
  <c r="C61" i="71" s="1"/>
  <c r="C58" i="71" s="1"/>
  <c r="E4" i="67"/>
  <c r="C20" i="44"/>
  <c r="C17" i="44"/>
  <c r="C18" i="72"/>
  <c r="C15" i="72"/>
  <c r="C15" i="74"/>
  <c r="C18" i="74"/>
  <c r="F68" i="73"/>
  <c r="J29" i="73"/>
  <c r="F68" i="74"/>
  <c r="J29" i="74"/>
  <c r="R49" i="21"/>
  <c r="E48" i="21"/>
  <c r="I53" i="21" s="1"/>
  <c r="J53" i="21" s="1"/>
  <c r="N58" i="33"/>
  <c r="O58" i="33" s="1"/>
  <c r="J7" i="33"/>
  <c r="H7" i="33"/>
  <c r="R19" i="6"/>
  <c r="D27" i="6"/>
  <c r="D31" i="6" s="1"/>
  <c r="I72" i="39"/>
  <c r="J70" i="39"/>
  <c r="G53" i="21"/>
  <c r="H53" i="21" s="1"/>
  <c r="G52" i="21"/>
  <c r="H52" i="21" s="1"/>
  <c r="I52" i="21"/>
  <c r="J52" i="21" s="1"/>
  <c r="C26" i="46"/>
  <c r="P14" i="1"/>
  <c r="P16" i="1" s="1"/>
  <c r="C13" i="12" s="1"/>
  <c r="D16" i="6"/>
  <c r="A20" i="64"/>
  <c r="N5" i="54"/>
  <c r="B43" i="63" s="1"/>
  <c r="A6" i="51"/>
  <c r="B7" i="63" s="1"/>
  <c r="A6" i="64"/>
  <c r="A20" i="51"/>
  <c r="B15" i="63" s="1"/>
  <c r="R24" i="6"/>
  <c r="R11" i="1" s="1"/>
  <c r="C14" i="43"/>
  <c r="C17" i="43"/>
  <c r="F7" i="33"/>
  <c r="R22" i="6"/>
  <c r="R9" i="1" s="1"/>
  <c r="D8" i="66"/>
  <c r="D7" i="66"/>
  <c r="R21" i="6"/>
  <c r="R8" i="1" s="1"/>
  <c r="C27" i="46"/>
  <c r="H27" i="6"/>
  <c r="R23" i="6"/>
  <c r="R10" i="1" s="1"/>
  <c r="T10" i="1"/>
  <c r="T7" i="1"/>
  <c r="I27" i="6"/>
  <c r="S19" i="6"/>
  <c r="S27" i="6" s="1"/>
  <c r="F35" i="72"/>
  <c r="M21" i="72"/>
  <c r="M21" i="73"/>
  <c r="M21" i="74"/>
  <c r="C14" i="73"/>
  <c r="F35" i="73"/>
  <c r="E7" i="67"/>
  <c r="F35" i="74"/>
  <c r="C14" i="71"/>
  <c r="I67" i="40" l="1"/>
  <c r="J65" i="40"/>
  <c r="C19" i="72"/>
  <c r="C20" i="72" s="1"/>
  <c r="C26" i="72" s="1"/>
  <c r="C19" i="15"/>
  <c r="C20" i="15" s="1"/>
  <c r="C23" i="15" s="1"/>
  <c r="C19" i="74"/>
  <c r="C20" i="74" s="1"/>
  <c r="C26" i="74" s="1"/>
  <c r="C18" i="43"/>
  <c r="C19" i="43" s="1"/>
  <c r="C22" i="43" s="1"/>
  <c r="C21" i="43" s="1"/>
  <c r="C21" i="44"/>
  <c r="C22" i="44" s="1"/>
  <c r="C28" i="44" s="1"/>
  <c r="C15" i="71"/>
  <c r="C18" i="71"/>
  <c r="C15" i="73"/>
  <c r="C18" i="73"/>
  <c r="J20" i="72"/>
  <c r="F62" i="72"/>
  <c r="C61" i="72" s="1"/>
  <c r="C58" i="72" s="1"/>
  <c r="C34" i="72"/>
  <c r="C31" i="72" s="1"/>
  <c r="C34" i="74"/>
  <c r="C31" i="74" s="1"/>
  <c r="F62" i="74"/>
  <c r="C61" i="74" s="1"/>
  <c r="C58" i="74" s="1"/>
  <c r="J20" i="74"/>
  <c r="E3" i="67"/>
  <c r="F62" i="73"/>
  <c r="C61" i="73" s="1"/>
  <c r="C58" i="73" s="1"/>
  <c r="C34" i="73"/>
  <c r="C31" i="73" s="1"/>
  <c r="J20" i="73"/>
  <c r="C14" i="12"/>
  <c r="C17" i="12"/>
  <c r="J72" i="39"/>
  <c r="K70" i="39"/>
  <c r="R6" i="1"/>
  <c r="R27" i="6"/>
  <c r="E53" i="21"/>
  <c r="F53" i="21" s="1"/>
  <c r="E52" i="21"/>
  <c r="F52" i="21" s="1"/>
  <c r="U7" i="33"/>
  <c r="AB7" i="33"/>
  <c r="T48" i="33" s="1"/>
  <c r="G48" i="33" s="1"/>
  <c r="AA7" i="33"/>
  <c r="R48" i="33" s="1"/>
  <c r="S7" i="33"/>
  <c r="B2" i="46"/>
  <c r="AC7" i="33"/>
  <c r="V48" i="33" s="1"/>
  <c r="I48" i="33" s="1"/>
  <c r="W7" i="33"/>
  <c r="C49" i="21"/>
  <c r="B3" i="21" s="1"/>
  <c r="C48" i="21"/>
  <c r="I5" i="6"/>
  <c r="I6" i="6"/>
  <c r="T16" i="1"/>
  <c r="B7" i="67"/>
  <c r="M21" i="15"/>
  <c r="F35" i="15"/>
  <c r="K65" i="40" l="1"/>
  <c r="J67" i="40"/>
  <c r="C23" i="74"/>
  <c r="C29" i="74" s="1"/>
  <c r="J14" i="74" s="1"/>
  <c r="C25" i="44"/>
  <c r="C31" i="44" s="1"/>
  <c r="J16" i="44" s="1"/>
  <c r="C23" i="72"/>
  <c r="C29" i="72" s="1"/>
  <c r="C13" i="72" s="1"/>
  <c r="C19" i="71"/>
  <c r="C20" i="71" s="1"/>
  <c r="C26" i="71" s="1"/>
  <c r="C19" i="73"/>
  <c r="C20" i="73" s="1"/>
  <c r="C26" i="73" s="1"/>
  <c r="C26" i="15"/>
  <c r="C29" i="15" s="1"/>
  <c r="C18" i="12"/>
  <c r="C23" i="12" s="1"/>
  <c r="B2" i="67"/>
  <c r="C34" i="15"/>
  <c r="C31" i="15" s="1"/>
  <c r="F62" i="15"/>
  <c r="C61" i="15" s="1"/>
  <c r="C58" i="15" s="1"/>
  <c r="J20" i="15"/>
  <c r="D4" i="46"/>
  <c r="B3" i="46"/>
  <c r="B4" i="46"/>
  <c r="E48" i="33"/>
  <c r="R49" i="33"/>
  <c r="R16" i="1"/>
  <c r="G52" i="33"/>
  <c r="H52" i="33" s="1"/>
  <c r="G53" i="33"/>
  <c r="H53" i="33" s="1"/>
  <c r="K72" i="39"/>
  <c r="L70" i="39"/>
  <c r="B2" i="21"/>
  <c r="E10" i="12" s="1"/>
  <c r="E8" i="12"/>
  <c r="I52" i="33"/>
  <c r="J52" i="33" s="1"/>
  <c r="C25" i="43"/>
  <c r="C24" i="43" s="1"/>
  <c r="C28" i="43" s="1"/>
  <c r="C30" i="43" s="1"/>
  <c r="C32" i="43" s="1"/>
  <c r="B2" i="43" s="1"/>
  <c r="K67" i="40" l="1"/>
  <c r="L65" i="40"/>
  <c r="J19" i="74"/>
  <c r="J17" i="74" s="1"/>
  <c r="Q50" i="72"/>
  <c r="J14" i="72"/>
  <c r="J22" i="72" s="1"/>
  <c r="C36" i="72"/>
  <c r="C13" i="74"/>
  <c r="Q71" i="74" s="1"/>
  <c r="C35" i="44"/>
  <c r="C33" i="44" s="1"/>
  <c r="C38" i="44"/>
  <c r="Q50" i="74"/>
  <c r="J19" i="72"/>
  <c r="J17" i="72" s="1"/>
  <c r="C56" i="72"/>
  <c r="C63" i="72" s="1"/>
  <c r="Q51" i="44"/>
  <c r="C15" i="44"/>
  <c r="Q72" i="44" s="1"/>
  <c r="J21" i="44"/>
  <c r="J19" i="44" s="1"/>
  <c r="C36" i="74"/>
  <c r="C56" i="74"/>
  <c r="C63" i="74" s="1"/>
  <c r="C23" i="71"/>
  <c r="C29" i="71" s="1"/>
  <c r="C36" i="71" s="1"/>
  <c r="C23" i="73"/>
  <c r="C29" i="73" s="1"/>
  <c r="C13" i="73" s="1"/>
  <c r="C55" i="72"/>
  <c r="C64" i="72" s="1"/>
  <c r="Q71" i="72"/>
  <c r="C37" i="72"/>
  <c r="J35" i="72"/>
  <c r="E53" i="33"/>
  <c r="F53" i="33" s="1"/>
  <c r="E52" i="33"/>
  <c r="F52" i="33" s="1"/>
  <c r="B3" i="43"/>
  <c r="B5" i="43"/>
  <c r="B4" i="43"/>
  <c r="I53" i="33"/>
  <c r="J53" i="33" s="1"/>
  <c r="C48" i="33"/>
  <c r="C49" i="33"/>
  <c r="B3" i="33" s="1"/>
  <c r="B2" i="33" s="1"/>
  <c r="J13" i="72"/>
  <c r="J23" i="72" s="1"/>
  <c r="L72" i="39"/>
  <c r="M70" i="39"/>
  <c r="C36" i="15"/>
  <c r="J14" i="15"/>
  <c r="J19" i="15"/>
  <c r="J17" i="15" s="1"/>
  <c r="C56" i="15"/>
  <c r="C63" i="15" s="1"/>
  <c r="C13" i="15"/>
  <c r="Q50" i="15"/>
  <c r="J15" i="44"/>
  <c r="J25" i="44" s="1"/>
  <c r="J24" i="44"/>
  <c r="J13" i="74"/>
  <c r="J23" i="74" s="1"/>
  <c r="J22" i="74"/>
  <c r="B3" i="67"/>
  <c r="B4" i="67"/>
  <c r="L67" i="40" l="1"/>
  <c r="M65" i="40"/>
  <c r="C30" i="72"/>
  <c r="C39" i="72" s="1"/>
  <c r="C40" i="72" s="1"/>
  <c r="C57" i="72"/>
  <c r="C66" i="72" s="1"/>
  <c r="C67" i="72" s="1"/>
  <c r="C70" i="72" s="1"/>
  <c r="C37" i="74"/>
  <c r="F46" i="74" s="1"/>
  <c r="J35" i="74"/>
  <c r="C55" i="74"/>
  <c r="C64" i="74" s="1"/>
  <c r="C57" i="74" s="1"/>
  <c r="C66" i="74" s="1"/>
  <c r="C67" i="74" s="1"/>
  <c r="C70" i="74" s="1"/>
  <c r="C56" i="73"/>
  <c r="C63" i="73" s="1"/>
  <c r="J14" i="73"/>
  <c r="J13" i="73" s="1"/>
  <c r="J23" i="73" s="1"/>
  <c r="C36" i="73"/>
  <c r="C39" i="44"/>
  <c r="C32" i="44" s="1"/>
  <c r="C42" i="44" s="1"/>
  <c r="Q71" i="44" s="1"/>
  <c r="Q70" i="44" s="1"/>
  <c r="Q50" i="71"/>
  <c r="J19" i="73"/>
  <c r="J17" i="73" s="1"/>
  <c r="Q50" i="73"/>
  <c r="C13" i="71"/>
  <c r="J35" i="71" s="1"/>
  <c r="C43" i="44"/>
  <c r="J19" i="71"/>
  <c r="J17" i="71" s="1"/>
  <c r="J14" i="71"/>
  <c r="J22" i="71" s="1"/>
  <c r="C56" i="71"/>
  <c r="C63" i="71" s="1"/>
  <c r="J18" i="44"/>
  <c r="J27" i="44" s="1"/>
  <c r="J16" i="74"/>
  <c r="J25" i="74" s="1"/>
  <c r="J16" i="72"/>
  <c r="J25" i="72" s="1"/>
  <c r="J39" i="72"/>
  <c r="J40" i="72" s="1"/>
  <c r="J22" i="15"/>
  <c r="J13" i="15"/>
  <c r="J23" i="15" s="1"/>
  <c r="Q71" i="15"/>
  <c r="C55" i="15"/>
  <c r="C64" i="15" s="1"/>
  <c r="C57" i="15" s="1"/>
  <c r="C66" i="15" s="1"/>
  <c r="C67" i="15" s="1"/>
  <c r="C70" i="15" s="1"/>
  <c r="C37" i="15"/>
  <c r="C30" i="15" s="1"/>
  <c r="C39" i="15" s="1"/>
  <c r="J35" i="15"/>
  <c r="C55" i="73"/>
  <c r="C64" i="73" s="1"/>
  <c r="Q71" i="73"/>
  <c r="C37" i="73"/>
  <c r="J35" i="73"/>
  <c r="M72" i="39"/>
  <c r="N70" i="39"/>
  <c r="N72" i="39" s="1"/>
  <c r="F9" i="39" s="1"/>
  <c r="Q11" i="12"/>
  <c r="Q12" i="12"/>
  <c r="Q9" i="12"/>
  <c r="Q10" i="12"/>
  <c r="L51" i="72"/>
  <c r="Q70" i="72" l="1"/>
  <c r="Q69" i="72" s="1"/>
  <c r="N65" i="40"/>
  <c r="N67" i="40" s="1"/>
  <c r="M67" i="40"/>
  <c r="J9" i="39"/>
  <c r="AC9" i="39" s="1"/>
  <c r="V49" i="39" s="1"/>
  <c r="I49" i="39" s="1"/>
  <c r="J22" i="73"/>
  <c r="J16" i="73" s="1"/>
  <c r="J25" i="73" s="1"/>
  <c r="C30" i="74"/>
  <c r="C39" i="74" s="1"/>
  <c r="C40" i="74" s="1"/>
  <c r="F45" i="74" s="1"/>
  <c r="C30" i="73"/>
  <c r="C39" i="73" s="1"/>
  <c r="C40" i="73" s="1"/>
  <c r="C57" i="73"/>
  <c r="C66" i="73" s="1"/>
  <c r="C67" i="73" s="1"/>
  <c r="C70" i="73" s="1"/>
  <c r="Q71" i="71"/>
  <c r="C37" i="71"/>
  <c r="C30" i="71" s="1"/>
  <c r="C39" i="71" s="1"/>
  <c r="C40" i="71" s="1"/>
  <c r="J13" i="71"/>
  <c r="J23" i="71" s="1"/>
  <c r="J16" i="71" s="1"/>
  <c r="J25" i="71" s="1"/>
  <c r="C55" i="71"/>
  <c r="C64" i="71" s="1"/>
  <c r="C57" i="71" s="1"/>
  <c r="C66" i="71" s="1"/>
  <c r="C67" i="71" s="1"/>
  <c r="C70" i="71" s="1"/>
  <c r="C44" i="44"/>
  <c r="C45" i="44" s="1"/>
  <c r="B2" i="44" s="1"/>
  <c r="B5" i="44" s="1"/>
  <c r="J16" i="15"/>
  <c r="J25" i="15" s="1"/>
  <c r="Q68" i="72"/>
  <c r="AA9" i="39"/>
  <c r="R49" i="39" s="1"/>
  <c r="S9" i="39"/>
  <c r="C40" i="15"/>
  <c r="Q70" i="15"/>
  <c r="Q69" i="15" s="1"/>
  <c r="H9" i="39"/>
  <c r="C46" i="72"/>
  <c r="C43" i="72"/>
  <c r="Q57" i="72"/>
  <c r="Q63" i="72" s="1"/>
  <c r="B2" i="72"/>
  <c r="B3" i="72" s="1"/>
  <c r="Q48" i="72"/>
  <c r="Q54" i="72" s="1"/>
  <c r="Q66" i="72"/>
  <c r="Q76" i="72" s="1"/>
  <c r="J42" i="72"/>
  <c r="J43" i="72" s="1"/>
  <c r="J39" i="15"/>
  <c r="J40" i="15" s="1"/>
  <c r="L51" i="15"/>
  <c r="L51" i="71"/>
  <c r="L51" i="74"/>
  <c r="L51" i="73"/>
  <c r="W9" i="39" l="1"/>
  <c r="H9" i="40"/>
  <c r="F9" i="40"/>
  <c r="J9" i="40"/>
  <c r="Q70" i="74"/>
  <c r="Q69" i="74" s="1"/>
  <c r="J39" i="74"/>
  <c r="J40" i="74" s="1"/>
  <c r="Q70" i="73"/>
  <c r="Q69" i="73" s="1"/>
  <c r="J39" i="73"/>
  <c r="J40" i="73" s="1"/>
  <c r="B4" i="44"/>
  <c r="J39" i="71"/>
  <c r="J40" i="71" s="1"/>
  <c r="Q70" i="71"/>
  <c r="Q69" i="71" s="1"/>
  <c r="B3" i="44"/>
  <c r="Q68" i="71"/>
  <c r="Q68" i="15"/>
  <c r="Q68" i="73"/>
  <c r="Q68" i="74"/>
  <c r="C46" i="73"/>
  <c r="Q57" i="73"/>
  <c r="Q63" i="73" s="1"/>
  <c r="Q48" i="73"/>
  <c r="Q54" i="73" s="1"/>
  <c r="Q66" i="73"/>
  <c r="Q76" i="73" s="1"/>
  <c r="B2" i="73"/>
  <c r="C43" i="73"/>
  <c r="J42" i="73"/>
  <c r="J43" i="73" s="1"/>
  <c r="C43" i="71"/>
  <c r="Q57" i="71"/>
  <c r="Q63" i="71" s="1"/>
  <c r="B2" i="71"/>
  <c r="Q48" i="71"/>
  <c r="Q54" i="71" s="1"/>
  <c r="Q66" i="71"/>
  <c r="Q76" i="71" s="1"/>
  <c r="J42" i="71"/>
  <c r="J43" i="71" s="1"/>
  <c r="C46" i="15"/>
  <c r="Q48" i="15"/>
  <c r="Q54" i="15" s="1"/>
  <c r="B2" i="15"/>
  <c r="C10" i="12" s="1"/>
  <c r="Q57" i="15"/>
  <c r="Q63" i="15" s="1"/>
  <c r="Q66" i="15"/>
  <c r="Q76" i="15" s="1"/>
  <c r="C43" i="15"/>
  <c r="J42" i="15"/>
  <c r="J43" i="15" s="1"/>
  <c r="Q48" i="74"/>
  <c r="Q54" i="74" s="1"/>
  <c r="Q57" i="74"/>
  <c r="Q63" i="74" s="1"/>
  <c r="B2" i="74"/>
  <c r="J42" i="74"/>
  <c r="J43" i="74" s="1"/>
  <c r="C43" i="74"/>
  <c r="Q66" i="74"/>
  <c r="Q76" i="74" s="1"/>
  <c r="C46" i="74"/>
  <c r="E49" i="39"/>
  <c r="I54" i="39" s="1"/>
  <c r="J54" i="39" s="1"/>
  <c r="AB9" i="39"/>
  <c r="T49" i="39" s="1"/>
  <c r="G49" i="39" s="1"/>
  <c r="U9" i="39"/>
  <c r="I53" i="39"/>
  <c r="J53" i="39" s="1"/>
  <c r="C46" i="71"/>
  <c r="AA9" i="40" l="1"/>
  <c r="R44" i="40" s="1"/>
  <c r="S9" i="40"/>
  <c r="U9" i="40"/>
  <c r="AB9" i="40"/>
  <c r="T44" i="40" s="1"/>
  <c r="G44" i="40" s="1"/>
  <c r="W9" i="40"/>
  <c r="AC9" i="40"/>
  <c r="V44" i="40" s="1"/>
  <c r="I44" i="40" s="1"/>
  <c r="I48" i="40" s="1"/>
  <c r="J48" i="40" s="1"/>
  <c r="B3" i="73"/>
  <c r="G8" i="12" s="1"/>
  <c r="G10" i="12"/>
  <c r="B3" i="15"/>
  <c r="C8" i="12" s="1"/>
  <c r="D10" i="12"/>
  <c r="B3" i="71"/>
  <c r="D8" i="12" s="1"/>
  <c r="B3" i="74"/>
  <c r="H8" i="12" s="1"/>
  <c r="H10" i="12"/>
  <c r="E54" i="39"/>
  <c r="F54" i="39" s="1"/>
  <c r="E53" i="39"/>
  <c r="F53" i="39" s="1"/>
  <c r="G54" i="39"/>
  <c r="H54" i="39" s="1"/>
  <c r="G53" i="39"/>
  <c r="H53" i="39" s="1"/>
  <c r="R50" i="39"/>
  <c r="G48" i="40" l="1"/>
  <c r="H48" i="40" s="1"/>
  <c r="G49" i="40"/>
  <c r="H49" i="40" s="1"/>
  <c r="E44" i="40"/>
  <c r="R45" i="40"/>
  <c r="Q13" i="12"/>
  <c r="H29" i="76"/>
  <c r="H23" i="76" s="1"/>
  <c r="C6" i="12"/>
  <c r="C50" i="39"/>
  <c r="C49" i="39"/>
  <c r="C44" i="40" l="1"/>
  <c r="C45" i="40"/>
  <c r="I49" i="40"/>
  <c r="J49" i="40" s="1"/>
  <c r="E48" i="40"/>
  <c r="F48" i="40" s="1"/>
  <c r="E49" i="40"/>
  <c r="F49" i="40" s="1"/>
  <c r="H26" i="76"/>
  <c r="H27" i="76" s="1"/>
  <c r="H24" i="76"/>
  <c r="H31" i="76"/>
  <c r="H25" i="76"/>
  <c r="C24" i="12"/>
  <c r="C29" i="12"/>
  <c r="B59" i="39"/>
  <c r="F59" i="39" s="1"/>
  <c r="B61" i="39"/>
  <c r="F61" i="39" s="1"/>
  <c r="B63" i="39"/>
  <c r="F63" i="39" s="1"/>
  <c r="B65" i="39"/>
  <c r="F65" i="39" s="1"/>
  <c r="B67" i="39"/>
  <c r="F67" i="39" s="1"/>
  <c r="B64" i="39"/>
  <c r="F64" i="39" s="1"/>
  <c r="B58" i="39"/>
  <c r="F58" i="39" s="1"/>
  <c r="B66" i="39"/>
  <c r="F66" i="39" s="1"/>
  <c r="B60" i="39"/>
  <c r="F60" i="39" s="1"/>
  <c r="B62" i="39"/>
  <c r="F62" i="39" s="1"/>
  <c r="B60" i="40" l="1"/>
  <c r="F60" i="40" s="1"/>
  <c r="B61" i="40"/>
  <c r="F61" i="40" s="1"/>
  <c r="B56" i="40"/>
  <c r="F56" i="40" s="1"/>
  <c r="B54" i="40"/>
  <c r="F54" i="40" s="1"/>
  <c r="B59" i="40"/>
  <c r="F59" i="40" s="1"/>
  <c r="B53" i="40"/>
  <c r="F53" i="40" s="1"/>
  <c r="B55" i="40"/>
  <c r="F55" i="40" s="1"/>
  <c r="B62" i="40"/>
  <c r="F62" i="40" s="1"/>
  <c r="B58" i="40"/>
  <c r="F58" i="40" s="1"/>
  <c r="B57" i="40"/>
  <c r="F57" i="40" s="1"/>
  <c r="F63" i="40"/>
  <c r="B2" i="40" s="1"/>
  <c r="F68" i="39"/>
  <c r="B2" i="39" s="1"/>
  <c r="B4" i="39" s="1"/>
  <c r="C28" i="12"/>
  <c r="C26" i="12" s="1"/>
  <c r="C31" i="12" s="1"/>
  <c r="C30" i="12" s="1"/>
  <c r="C35" i="12"/>
  <c r="C33" i="12" s="1"/>
  <c r="C19" i="9"/>
  <c r="C21" i="9"/>
  <c r="L43" i="9" l="1"/>
  <c r="B5" i="39"/>
  <c r="B5" i="40"/>
  <c r="B3" i="40"/>
  <c r="B4" i="40"/>
  <c r="B3" i="39"/>
  <c r="C36" i="12"/>
  <c r="B2" i="12" s="1"/>
  <c r="B3" i="12" s="1"/>
  <c r="C20" i="9"/>
  <c r="D20" i="9"/>
  <c r="D19" i="9"/>
  <c r="B5" i="12" l="1"/>
  <c r="B4" i="12"/>
  <c r="L44" i="9"/>
  <c r="D22" i="9"/>
  <c r="G19" i="9"/>
  <c r="D27" i="9" s="1"/>
  <c r="G20" i="9"/>
  <c r="D21" i="9"/>
  <c r="G22" i="9" l="1"/>
  <c r="N43" i="9"/>
  <c r="C32" i="9"/>
  <c r="O38" i="9" s="1"/>
  <c r="G21" i="9"/>
  <c r="O43" i="9" l="1"/>
  <c r="C33" i="9"/>
  <c r="D42" i="9" s="1"/>
  <c r="Q5" i="54" s="1"/>
  <c r="B47" i="63" s="1"/>
  <c r="C35" i="9"/>
  <c r="F42" i="9" s="1"/>
  <c r="C42" i="9"/>
  <c r="C44" i="9" s="1"/>
  <c r="C34" i="9"/>
  <c r="E42" i="9" s="1"/>
  <c r="P5" i="54" s="1"/>
  <c r="B46" i="63" s="1"/>
  <c r="K26" i="9"/>
  <c r="K25" i="9"/>
  <c r="D63" i="9" l="1"/>
  <c r="N68" i="9"/>
  <c r="D14" i="66"/>
  <c r="F14" i="66" s="1"/>
  <c r="M38" i="9"/>
  <c r="K27" i="9" s="1"/>
  <c r="R5" i="54"/>
  <c r="B48" i="63" s="1"/>
  <c r="N38" i="9"/>
  <c r="K28" i="9" s="1"/>
  <c r="O39" i="9"/>
  <c r="E44" i="9"/>
  <c r="D44" i="9"/>
  <c r="F44" i="9"/>
  <c r="G14" i="66"/>
  <c r="B6" i="66" s="1"/>
  <c r="N69" i="9"/>
  <c r="C96" i="9" l="1"/>
  <c r="C91" i="9" s="1"/>
  <c r="D73" i="9"/>
  <c r="N73" i="9" s="1"/>
  <c r="D77" i="9"/>
  <c r="N75" i="9" s="1"/>
  <c r="C82" i="9"/>
  <c r="C81" i="9" s="1"/>
  <c r="C85" i="9" s="1"/>
  <c r="C86" i="9" s="1"/>
  <c r="D72" i="9" s="1"/>
  <c r="D70" i="9"/>
  <c r="C90" i="9"/>
  <c r="B5" i="66"/>
  <c r="D5" i="66" s="1"/>
  <c r="E14" i="66"/>
  <c r="C103" i="9"/>
  <c r="D71" i="9"/>
  <c r="D66" i="9" s="1"/>
  <c r="N72" i="9" s="1"/>
  <c r="C111" i="9"/>
  <c r="C104" i="9" s="1"/>
  <c r="M83" i="9"/>
  <c r="N83" i="9" s="1"/>
  <c r="M85" i="9"/>
  <c r="N85" i="9" s="1"/>
  <c r="M88" i="9"/>
  <c r="N88" i="9" s="1"/>
  <c r="M86" i="9"/>
  <c r="N86" i="9" s="1"/>
  <c r="M87" i="9"/>
  <c r="N87" i="9" s="1"/>
  <c r="M84" i="9"/>
  <c r="N84" i="9" s="1"/>
  <c r="D6" i="66"/>
  <c r="C6" i="66"/>
  <c r="K29" i="9"/>
  <c r="K30" i="9" s="1"/>
  <c r="R6" i="54"/>
  <c r="B50" i="63" s="1"/>
  <c r="C97" i="9" l="1"/>
  <c r="C98" i="9" s="1"/>
  <c r="E98" i="9" s="1"/>
  <c r="E99" i="9" s="1"/>
  <c r="C5" i="66"/>
  <c r="C113" i="9"/>
  <c r="C114" i="9" s="1"/>
  <c r="E114" i="9" s="1"/>
  <c r="E115" i="9" s="1"/>
  <c r="N89" i="9"/>
  <c r="O8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<sst xmlns="http://schemas.openxmlformats.org/spreadsheetml/2006/main" count="9146" uniqueCount="3262">
  <si>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</si>
  <si>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</si>
  <si>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</si>
  <si>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</si>
  <si>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</si>
  <si>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</si>
  <si>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</si>
  <si>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</si>
  <si>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</si>
  <si>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</si>
  <si>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</si>
  <si>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</si>
  <si>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</si>
  <si>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</si>
  <si>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</si>
  <si>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</si>
  <si>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</si>
  <si>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</si>
  <si>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</si>
  <si>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</si>
  <si>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</si>
  <si>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</si>
  <si>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</si>
  <si>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</si>
  <si>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</si>
  <si>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</si>
  <si>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</si>
  <si>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</si>
  <si>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</si>
  <si>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</si>
  <si>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</si>
  <si>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</si>
  <si>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</si>
  <si>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</si>
  <si>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</si>
  <si>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</si>
  <si>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</si>
  <si>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</si>
  <si>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</si>
  <si>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</si>
  <si>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</si>
  <si>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</si>
  <si>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</si>
  <si>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</si>
  <si>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</si>
  <si>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</si>
  <si>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</si>
  <si>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</si>
  <si>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</si>
  <si>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</si>
  <si>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</si>
  <si>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</si>
  <si>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</si>
  <si>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</si>
  <si>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</si>
  <si>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</si>
  <si>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</si>
  <si>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</si>
  <si>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</si>
  <si>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</si>
  <si>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</si>
  <si>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</si>
  <si>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</si>
  <si>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</si>
  <si>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</si>
  <si>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</si>
  <si>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</si>
  <si>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</si>
  <si>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</si>
  <si>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</si>
  <si>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</si>
  <si>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</si>
  <si>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</si>
  <si>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</si>
  <si>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</si>
  <si>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</si>
  <si>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</si>
  <si>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</si>
  <si>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</si>
  <si>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</si>
  <si>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</si>
  <si>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</si>
  <si>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</si>
  <si>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</si>
  <si>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</si>
  <si>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</si>
  <si>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</si>
  <si>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</si>
  <si>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</si>
  <si>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</si>
  <si>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</si>
  <si>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</si>
  <si>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</si>
  <si>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</si>
  <si>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</si>
  <si>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</si>
  <si>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</si>
  <si>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</si>
  <si>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</si>
  <si>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</si>
  <si>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</si>
  <si>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</si>
  <si>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</si>
  <si>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</si>
  <si>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</si>
  <si>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</si>
  <si>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</si>
  <si>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</si>
  <si>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</si>
  <si>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</si>
  <si>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</si>
  <si>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</si>
  <si>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</si>
  <si>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</si>
  <si>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</si>
  <si>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</si>
  <si>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</si>
  <si>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</si>
  <si>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</si>
  <si>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</si>
  <si>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</si>
  <si>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</si>
  <si>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</si>
  <si>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</si>
  <si>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</si>
  <si>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</si>
  <si>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</si>
  <si>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</si>
  <si>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</si>
  <si>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</si>
  <si>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</si>
  <si>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</si>
  <si>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</si>
  <si>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</si>
  <si>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</si>
  <si>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</si>
  <si>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</si>
  <si>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</si>
  <si>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</si>
  <si>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</si>
  <si>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</si>
  <si>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</si>
  <si>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</si>
  <si>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</si>
  <si>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</si>
  <si>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</si>
  <si>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</si>
  <si>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</si>
  <si>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</si>
  <si>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</si>
  <si>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</si>
  <si>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</si>
  <si>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</si>
  <si>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</si>
  <si>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</si>
  <si>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</si>
  <si>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</si>
  <si>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</si>
  <si>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</si>
  <si>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</si>
  <si>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</si>
  <si>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</si>
  <si>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</si>
  <si>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</si>
  <si>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</si>
  <si>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</si>
  <si>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</si>
  <si>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</si>
  <si>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</si>
  <si>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</si>
  <si>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</si>
  <si>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</si>
  <si>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</si>
  <si>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</si>
  <si>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</si>
  <si>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</si>
  <si>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</si>
  <si>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</si>
  <si>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</si>
  <si>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</si>
  <si>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</si>
  <si>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</si>
  <si>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</si>
  <si>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</si>
  <si>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</si>
  <si>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</si>
  <si>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</si>
  <si>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</si>
  <si>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</si>
  <si>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</si>
  <si>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</si>
  <si>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</si>
  <si>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</si>
  <si>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</si>
  <si>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</si>
  <si>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</si>
  <si>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</si>
  <si>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</si>
  <si>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</si>
  <si>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</si>
  <si>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</si>
  <si>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</si>
  <si>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</si>
  <si>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</si>
  <si>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</si>
  <si>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</si>
  <si>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</si>
  <si>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</si>
  <si>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</si>
  <si>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</si>
  <si>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</si>
  <si>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</si>
  <si>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</si>
  <si>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</si>
  <si>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</si>
  <si>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</si>
  <si>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</si>
  <si>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</si>
  <si>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</si>
  <si>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</si>
  <si>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</si>
  <si>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</si>
  <si>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</si>
  <si>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</si>
  <si>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</si>
  <si>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</si>
  <si>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</si>
  <si>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</si>
  <si>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</si>
  <si>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</si>
  <si>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</si>
  <si>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</si>
  <si>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</si>
  <si>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</si>
  <si>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</si>
  <si>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</si>
  <si>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</si>
  <si>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</si>
  <si>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</si>
  <si>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</si>
  <si>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</si>
  <si>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</si>
  <si>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</si>
  <si>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</si>
  <si>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</si>
  <si>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</si>
  <si>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</si>
  <si>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</si>
  <si>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</si>
  <si>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</si>
  <si>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</si>
  <si>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</si>
  <si>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</si>
  <si>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</si>
  <si>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</si>
  <si>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</si>
  <si>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</si>
  <si>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</si>
  <si>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</si>
  <si>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</si>
  <si>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</si>
  <si>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</si>
  <si>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</si>
  <si>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</si>
  <si>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</si>
  <si>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</si>
  <si>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</si>
  <si>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</si>
  <si>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</si>
  <si>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</si>
  <si>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</si>
  <si>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</si>
  <si>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</si>
  <si>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</si>
  <si>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</si>
  <si>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</si>
  <si>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</si>
  <si>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</si>
  <si>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</si>
  <si>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</si>
  <si>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</si>
  <si>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</si>
  <si>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</si>
  <si>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</si>
  <si>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</si>
  <si>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</si>
  <si>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</si>
  <si>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</si>
  <si>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</si>
  <si>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</si>
  <si>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</si>
  <si>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</si>
  <si>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</si>
  <si>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</si>
  <si>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</si>
  <si>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</si>
  <si>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</si>
  <si>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</si>
  <si>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</si>
  <si>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</si>
  <si>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</si>
  <si>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</si>
  <si>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</si>
  <si>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</si>
  <si>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</si>
  <si>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</si>
  <si>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</si>
  <si>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</si>
  <si>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</si>
  <si>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</si>
  <si>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</si>
  <si>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</si>
  <si>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</si>
  <si>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</si>
  <si>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</si>
  <si>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</si>
  <si>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</si>
  <si>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</si>
  <si>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</si>
  <si>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</si>
  <si>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</si>
  <si>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</si>
  <si>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</si>
  <si>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</si>
  <si>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</si>
  <si>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</si>
  <si>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</si>
  <si>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</si>
  <si>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</si>
  <si>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</si>
  <si>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</si>
  <si>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</si>
  <si>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</si>
  <si>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</si>
  <si>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</si>
  <si>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</si>
  <si>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</si>
  <si>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</si>
  <si>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</si>
  <si>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</si>
  <si>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</si>
  <si>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</si>
  <si>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</si>
  <si>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</si>
  <si>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</si>
  <si>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</si>
  <si>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</si>
  <si>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</si>
  <si>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</si>
  <si>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</si>
  <si>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</si>
  <si>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</si>
  <si>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</si>
  <si>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</si>
  <si>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</si>
  <si>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</si>
  <si>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</si>
  <si>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</si>
  <si>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</si>
  <si>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</si>
  <si>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</si>
  <si>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</si>
  <si>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</si>
  <si>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</si>
  <si>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</si>
  <si>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</si>
  <si>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</si>
  <si>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</si>
  <si>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</si>
  <si>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</si>
  <si>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</si>
  <si>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</si>
  <si>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</si>
  <si>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</si>
  <si>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</si>
  <si>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</si>
  <si>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</si>
  <si>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</si>
  <si>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</si>
  <si>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</si>
  <si>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</si>
  <si>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</si>
  <si>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</si>
  <si>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</si>
  <si>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</si>
  <si>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</si>
  <si>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</si>
  <si>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</si>
  <si>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</si>
  <si>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</si>
  <si>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</si>
  <si>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</si>
  <si>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</si>
  <si>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</si>
  <si>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</si>
  <si>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</si>
  <si>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</si>
  <si>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</si>
  <si>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</si>
  <si>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</si>
  <si>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</si>
  <si>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</si>
  <si>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</si>
  <si>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</si>
  <si>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</si>
  <si>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</si>
  <si>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</si>
  <si>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</si>
  <si>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</si>
  <si>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</si>
  <si>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</si>
  <si>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</si>
  <si>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</si>
  <si>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</si>
  <si>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</si>
  <si>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</si>
  <si>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</si>
  <si>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</si>
  <si>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</si>
  <si>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</si>
  <si>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</si>
  <si>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</si>
  <si>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</si>
  <si>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</si>
  <si>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</si>
  <si>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</si>
  <si>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</si>
  <si>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</si>
  <si>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</si>
  <si>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</si>
  <si>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</si>
  <si>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</si>
  <si>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</si>
  <si>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</si>
  <si>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</si>
  <si>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</si>
  <si>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</si>
  <si>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</si>
  <si>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</si>
  <si>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</si>
  <si>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</si>
  <si>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</si>
  <si>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</si>
  <si>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</si>
  <si>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</si>
  <si>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</si>
  <si>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</si>
  <si>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</si>
  <si>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</si>
  <si>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</si>
  <si>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</si>
  <si>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</si>
  <si>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</si>
  <si>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</si>
  <si>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</si>
  <si>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</si>
  <si>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</si>
  <si>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</si>
  <si>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</si>
  <si>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</si>
  <si>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</si>
  <si>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</si>
  <si>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</si>
  <si>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</si>
  <si>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</si>
  <si>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</si>
  <si>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</si>
  <si>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</si>
  <si>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</si>
  <si>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</si>
  <si>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</si>
  <si>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</si>
  <si>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</si>
  <si>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</si>
  <si>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</si>
  <si>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</si>
  <si>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</si>
  <si>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</si>
  <si>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</si>
  <si>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</si>
  <si>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</si>
  <si>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</si>
  <si>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</si>
  <si>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</si>
  <si>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</si>
  <si>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</si>
  <si>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</si>
  <si>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</si>
  <si>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</si>
  <si>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</si>
  <si>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</si>
  <si>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</si>
  <si>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</si>
  <si>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</si>
  <si>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</si>
  <si>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</si>
  <si>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</si>
  <si>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</si>
  <si>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</si>
  <si>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</si>
  <si>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</si>
  <si>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</si>
  <si>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</si>
  <si>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</si>
  <si>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</si>
  <si>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</si>
  <si>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</si>
  <si>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</si>
  <si>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</si>
  <si>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</si>
  <si>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</si>
  <si>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</si>
  <si>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</si>
  <si>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</si>
  <si>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</si>
  <si>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</si>
  <si>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</si>
  <si>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</si>
  <si>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</si>
  <si>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</si>
  <si>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</si>
  <si>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</si>
  <si>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</si>
  <si>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</si>
  <si>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</si>
  <si>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</si>
  <si>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</si>
  <si>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</si>
  <si>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</si>
  <si>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</si>
  <si>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</si>
  <si>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</si>
  <si>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</si>
  <si>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</si>
  <si>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</si>
  <si>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</si>
  <si>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</si>
  <si>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</si>
  <si>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</si>
  <si>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</si>
  <si>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</si>
  <si>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</si>
  <si>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</si>
  <si>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</si>
  <si>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</si>
  <si>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</si>
  <si>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</si>
  <si>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</si>
  <si>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</si>
  <si>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</si>
  <si>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</si>
  <si>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</si>
  <si>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</si>
  <si>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</si>
  <si>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</si>
  <si>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</si>
  <si>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</si>
  <si>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</si>
  <si>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</si>
  <si>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</si>
  <si>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</si>
  <si>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</si>
  <si>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</si>
  <si>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</si>
  <si>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</si>
  <si>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</si>
  <si>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</si>
  <si>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</si>
  <si>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</si>
  <si>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</si>
  <si>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</si>
  <si>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</si>
  <si>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</si>
  <si>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</si>
  <si>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</si>
  <si>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</si>
  <si>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</si>
  <si>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</si>
  <si>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</si>
  <si>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</si>
  <si>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</si>
  <si>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</si>
  <si>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</si>
  <si>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</si>
  <si>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</si>
  <si>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</si>
  <si>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</si>
  <si>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</si>
  <si>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</si>
  <si>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</si>
  <si>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</si>
  <si>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</si>
  <si>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</si>
  <si>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</si>
  <si>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</si>
  <si>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</si>
  <si>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</si>
  <si>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</si>
  <si>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</si>
  <si>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</si>
  <si>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</si>
  <si>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</si>
  <si>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</si>
  <si>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</si>
  <si>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</si>
  <si>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</si>
  <si>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</si>
  <si>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</si>
  <si>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</si>
  <si>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</si>
  <si>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</si>
  <si>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</si>
  <si>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</si>
  <si>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</si>
  <si>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</si>
  <si>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</si>
  <si>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</si>
  <si>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</si>
  <si>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</si>
  <si>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</si>
  <si>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</si>
  <si>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</si>
  <si>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</si>
  <si>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</si>
  <si>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</si>
  <si>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</si>
  <si>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</si>
  <si>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</si>
  <si>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</si>
  <si>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</si>
  <si>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</si>
  <si>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</si>
  <si>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</si>
  <si>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</si>
  <si>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</si>
  <si>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</si>
  <si>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</si>
  <si>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</si>
  <si>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</si>
  <si>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</si>
  <si>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</si>
  <si>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</si>
  <si>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</si>
  <si>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</si>
  <si>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</si>
  <si>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</si>
  <si>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</si>
  <si>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</si>
  <si>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</si>
  <si>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</si>
  <si>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</si>
  <si>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</si>
  <si>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</si>
  <si>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</si>
  <si>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</si>
  <si>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</si>
  <si>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</si>
  <si>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</si>
  <si>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</si>
  <si>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</si>
  <si>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</si>
  <si>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</si>
  <si>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</si>
  <si>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</si>
  <si>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</si>
  <si>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</si>
  <si>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</si>
  <si>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</si>
  <si>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</si>
  <si>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</si>
  <si>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</si>
  <si>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</si>
  <si>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</si>
  <si>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</si>
  <si>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</si>
  <si>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</si>
  <si>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</si>
  <si>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</si>
  <si>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</si>
  <si>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</si>
  <si>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</si>
  <si>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</si>
  <si>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</si>
  <si>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</si>
  <si>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</si>
  <si>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</si>
  <si>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</si>
  <si>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</si>
  <si>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</si>
  <si>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</si>
  <si>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</si>
  <si>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</si>
  <si>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</si>
  <si>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</si>
  <si>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</si>
  <si>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</si>
  <si>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</si>
  <si>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</si>
  <si>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</si>
  <si>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</si>
  <si>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</si>
  <si>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</si>
  <si>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</si>
  <si>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</si>
  <si>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</si>
  <si>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</si>
  <si>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</si>
  <si>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</si>
  <si>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</si>
  <si>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</si>
  <si>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</si>
  <si>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</si>
  <si>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</si>
  <si>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</si>
  <si>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</si>
  <si>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</si>
  <si>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</si>
  <si>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</si>
  <si>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</si>
  <si>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</si>
  <si>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</si>
  <si>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</si>
  <si>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</si>
  <si>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</si>
  <si>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</si>
  <si>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</si>
  <si>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</si>
  <si>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</si>
  <si>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</si>
  <si>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</si>
  <si>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</si>
  <si>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</si>
  <si>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</si>
  <si>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</si>
  <si>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</si>
  <si>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</si>
  <si>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</si>
  <si>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</si>
  <si>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</si>
  <si>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</si>
  <si>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</si>
  <si>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</si>
  <si>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</si>
  <si>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</si>
  <si>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</si>
  <si>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</si>
  <si>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</si>
  <si>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</si>
  <si>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</si>
  <si>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</si>
  <si>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</si>
  <si>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</si>
  <si>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</si>
  <si>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</si>
  <si>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</si>
  <si>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</si>
  <si>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</si>
  <si>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</si>
  <si>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</si>
  <si>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</si>
  <si>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</si>
  <si>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</si>
  <si>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</si>
  <si>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</si>
  <si>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</si>
  <si>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</si>
  <si>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</si>
  <si>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</si>
  <si>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</si>
  <si>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</si>
  <si>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</si>
  <si>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</si>
  <si>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</si>
  <si>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</si>
  <si>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</si>
  <si>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</si>
  <si>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</si>
  <si>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</si>
  <si>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</si>
  <si>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</si>
  <si>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</si>
  <si>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</si>
  <si>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</si>
  <si>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</si>
  <si>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</si>
  <si>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</si>
  <si>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</si>
  <si>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</si>
  <si>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</si>
  <si>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</si>
  <si>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</si>
  <si>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</si>
  <si>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</si>
  <si>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</si>
  <si>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</si>
  <si>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</si>
  <si>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</si>
  <si>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</si>
  <si>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</si>
  <si>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</si>
  <si>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</si>
  <si>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</si>
  <si>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</si>
  <si>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</si>
  <si>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</si>
  <si>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</si>
  <si>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</si>
  <si>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</si>
  <si>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</si>
  <si>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</si>
  <si>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</si>
  <si>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</si>
  <si>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</si>
  <si>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</si>
  <si>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</si>
  <si>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</si>
  <si>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</si>
  <si>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</si>
  <si>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</si>
  <si>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</si>
  <si>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</si>
  <si>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</si>
  <si>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</si>
  <si>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</si>
  <si>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</si>
  <si>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</si>
  <si>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</si>
  <si>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</si>
  <si>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</si>
  <si>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</si>
  <si>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</si>
  <si>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</si>
  <si>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</si>
  <si>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</si>
  <si>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</si>
  <si>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</si>
  <si>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</si>
  <si>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</si>
  <si>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</si>
  <si>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</si>
  <si>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</si>
  <si>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</si>
  <si>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</si>
  <si>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</si>
  <si>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</si>
  <si>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</si>
  <si>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</si>
  <si>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</si>
  <si>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</si>
  <si>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</si>
  <si>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</si>
  <si>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</si>
  <si>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</si>
  <si>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</si>
  <si>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</si>
  <si>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</si>
  <si>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</si>
  <si>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</si>
  <si>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</si>
  <si>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</si>
  <si>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</si>
  <si>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</si>
  <si>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</si>
  <si>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</si>
  <si>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</si>
  <si>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</si>
  <si>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</si>
  <si>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</si>
  <si>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</si>
  <si>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</si>
  <si>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</si>
  <si>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</si>
  <si>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</si>
  <si>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</si>
  <si>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</si>
  <si>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</si>
  <si>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</si>
  <si>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</si>
  <si>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</si>
  <si>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</si>
  <si>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</si>
  <si>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</si>
  <si>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</si>
  <si>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</si>
  <si>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</si>
  <si>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</si>
  <si>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</si>
  <si>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</si>
  <si>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</si>
  <si>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</si>
  <si>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</si>
  <si>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</si>
  <si>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</si>
  <si>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</si>
  <si>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</si>
  <si>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</si>
  <si>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</si>
  <si>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</si>
  <si>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</si>
  <si>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</si>
  <si>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</si>
  <si>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</si>
  <si>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</si>
  <si>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</si>
  <si>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</si>
  <si>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</si>
  <si>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</si>
  <si>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</si>
  <si>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</si>
  <si>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</si>
  <si>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</si>
  <si>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</si>
  <si>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</si>
  <si>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</si>
  <si>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</si>
  <si>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</si>
  <si>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</si>
  <si>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</si>
  <si>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</si>
  <si>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</si>
  <si>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</si>
  <si>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</si>
  <si>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</si>
  <si>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</si>
  <si>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</si>
  <si>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</si>
  <si>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</si>
  <si>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</si>
  <si>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</si>
  <si>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</si>
  <si>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</si>
  <si>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</si>
  <si>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</si>
  <si>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</si>
  <si>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</si>
  <si>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</si>
  <si>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</si>
  <si>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</si>
  <si>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</si>
  <si>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</si>
  <si>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</si>
  <si>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</si>
  <si>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</si>
  <si>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</si>
  <si>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</si>
  <si>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</si>
  <si>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</si>
  <si>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</si>
  <si>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</si>
  <si>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</si>
  <si>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</si>
  <si>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</si>
  <si>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</si>
  <si>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</si>
  <si>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</si>
  <si>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</si>
  <si>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</si>
  <si>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</si>
  <si>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</si>
  <si>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</si>
  <si>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</si>
  <si>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</si>
  <si>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</si>
  <si>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</si>
  <si>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</si>
  <si>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</si>
  <si>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</si>
  <si>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</si>
  <si>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</si>
  <si>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</si>
  <si>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</si>
  <si>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</si>
  <si>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</si>
  <si>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</si>
  <si>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</si>
  <si>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</si>
  <si>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</si>
  <si>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</si>
  <si>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</si>
  <si>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</si>
  <si>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</si>
  <si>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</si>
  <si>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</si>
  <si>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</si>
  <si>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</si>
  <si>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</si>
  <si>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</si>
  <si>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</si>
  <si>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</si>
  <si>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</si>
  <si>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</si>
  <si>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</si>
  <si>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</si>
  <si>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</si>
  <si>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</si>
  <si>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</si>
  <si>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</si>
  <si>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</si>
  <si>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</si>
  <si>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</si>
  <si>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</si>
  <si>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</si>
  <si>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</si>
  <si>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</si>
  <si>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</si>
  <si>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</si>
  <si>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</si>
  <si>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</si>
  <si>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</si>
  <si>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</si>
  <si>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</si>
  <si>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</si>
  <si>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</si>
  <si>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</si>
  <si>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</si>
  <si>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</si>
  <si>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</si>
  <si>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</si>
  <si>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</si>
  <si>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</si>
  <si>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</si>
  <si>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</si>
  <si>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</si>
  <si>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</si>
  <si>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</si>
  <si>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</si>
  <si>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</si>
  <si>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</si>
  <si>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</si>
  <si>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</si>
  <si>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</si>
  <si>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</si>
  <si>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</si>
  <si>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</si>
  <si>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</si>
  <si>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</si>
  <si>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</si>
  <si>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</si>
  <si>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</si>
  <si>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</si>
  <si>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</si>
  <si>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</si>
  <si>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</si>
  <si>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</si>
  <si>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</si>
  <si>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</si>
  <si>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</si>
  <si>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</si>
  <si>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</si>
  <si>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</si>
  <si>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</si>
  <si>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</si>
  <si>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</si>
  <si>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</si>
  <si>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</si>
  <si>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</si>
  <si>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</si>
  <si>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</si>
  <si>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</si>
  <si>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</si>
  <si>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</si>
  <si>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</si>
  <si>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</si>
  <si>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</si>
  <si>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</si>
  <si>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</si>
  <si>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</si>
  <si>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</si>
  <si>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</si>
  <si>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</si>
  <si>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</si>
  <si>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</si>
  <si>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</si>
  <si>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</si>
  <si>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</si>
  <si>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</si>
  <si>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</si>
  <si>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</si>
  <si>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</si>
  <si>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</si>
  <si>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</si>
  <si>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</si>
  <si>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</si>
  <si>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</si>
  <si>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</si>
  <si>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</si>
  <si>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</si>
  <si>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</si>
  <si>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</si>
  <si>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</si>
  <si>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</si>
  <si>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</si>
  <si>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</si>
  <si>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</si>
  <si>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</si>
  <si>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</si>
  <si>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</si>
  <si>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</si>
  <si>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</si>
  <si>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</si>
  <si>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</si>
  <si>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</si>
  <si>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</si>
  <si>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</si>
  <si>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</si>
  <si>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</si>
  <si>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</si>
  <si>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</si>
  <si>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</si>
  <si>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</si>
  <si>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</si>
  <si>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</si>
  <si>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</si>
  <si>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</si>
  <si>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</si>
  <si>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</si>
  <si>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</si>
  <si>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</si>
  <si>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</si>
  <si>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</si>
  <si>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</si>
  <si>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</si>
  <si>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</si>
  <si>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</si>
  <si>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</si>
  <si>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</si>
  <si>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</si>
  <si>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</si>
  <si>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</si>
  <si>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</si>
  <si>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</si>
  <si>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</si>
  <si>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</si>
  <si>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</si>
  <si>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</si>
  <si>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</si>
  <si>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</si>
  <si>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</si>
  <si>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</si>
  <si>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</si>
  <si>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</si>
  <si>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</si>
  <si>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</si>
  <si>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</si>
  <si>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</si>
  <si>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</si>
  <si>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</si>
  <si>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</si>
  <si>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</si>
  <si>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</si>
  <si>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</si>
  <si>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</si>
  <si>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</si>
  <si>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</si>
  <si>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</si>
  <si>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</si>
  <si>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</si>
  <si>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</si>
  <si>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</si>
  <si>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</si>
  <si>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</si>
  <si>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</si>
  <si>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</si>
  <si>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</si>
  <si>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</si>
  <si>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</si>
  <si>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</si>
  <si>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</si>
  <si>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</si>
  <si>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</si>
  <si>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</si>
  <si>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</si>
  <si>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</si>
  <si>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</si>
  <si>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</si>
  <si>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</si>
  <si>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</si>
  <si>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</si>
  <si>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</si>
  <si>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</si>
  <si>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</si>
  <si>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</si>
  <si>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</si>
  <si>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</si>
  <si>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</si>
  <si>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</si>
  <si>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</si>
  <si>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</si>
  <si>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</si>
  <si>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</si>
  <si>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</si>
  <si>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</si>
  <si>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</si>
  <si>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</si>
  <si>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</si>
  <si>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</si>
  <si>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</si>
  <si>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</si>
  <si>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</si>
  <si>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</si>
  <si>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</si>
  <si>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</si>
  <si>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</si>
  <si>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</si>
  <si>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</si>
  <si>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</si>
  <si>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</si>
  <si>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</si>
  <si>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</si>
  <si>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</si>
  <si>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</si>
  <si>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</si>
  <si>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</si>
  <si>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</si>
  <si>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</si>
  <si>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</si>
  <si>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</si>
  <si>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</si>
  <si>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</si>
  <si>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</si>
  <si>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</si>
  <si>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</si>
  <si>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</si>
  <si>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</si>
  <si>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</si>
  <si>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</si>
  <si>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</si>
  <si>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</si>
  <si>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</si>
  <si>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</si>
  <si>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</si>
  <si>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</si>
  <si>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</si>
  <si>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</si>
  <si>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</si>
  <si>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</si>
  <si>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</si>
  <si>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</si>
  <si>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</si>
  <si>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</si>
  <si>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</si>
  <si>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</si>
  <si>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</si>
  <si>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</si>
  <si>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</si>
  <si>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</si>
  <si>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</si>
  <si>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</si>
  <si>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</si>
  <si>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</si>
  <si>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</si>
  <si>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</si>
  <si>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</si>
  <si>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</si>
  <si>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</si>
  <si>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</si>
  <si>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</si>
  <si>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</si>
  <si>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</si>
  <si>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</si>
  <si>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</si>
  <si>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</si>
  <si>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</si>
  <si>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</si>
  <si>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</si>
  <si>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</si>
  <si>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</si>
  <si>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</si>
  <si>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</si>
  <si>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</si>
  <si>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</si>
  <si>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</si>
  <si>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</si>
  <si>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</si>
  <si>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</si>
  <si>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</si>
  <si>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</si>
  <si>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</si>
  <si>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</si>
  <si>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</si>
  <si>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</si>
  <si>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</si>
  <si>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</si>
  <si>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</si>
  <si>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</si>
  <si>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</si>
  <si>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</si>
  <si>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</si>
  <si>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</si>
  <si>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</si>
  <si>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</si>
  <si>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</si>
  <si>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</si>
  <si>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</si>
  <si>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</si>
  <si>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</si>
  <si>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</si>
  <si>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</si>
  <si>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</si>
  <si>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</si>
  <si>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</si>
  <si>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</si>
  <si>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</si>
  <si>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</si>
  <si>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</si>
  <si>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</si>
  <si>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</si>
  <si>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</si>
  <si>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</si>
  <si>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</si>
  <si>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</si>
  <si>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</si>
  <si>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</si>
  <si>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</si>
  <si>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</si>
  <si>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</si>
  <si>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</si>
  <si>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</si>
  <si>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</si>
  <si>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</si>
  <si>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</si>
  <si>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</si>
  <si>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</si>
  <si>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</si>
  <si>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</si>
  <si>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</si>
  <si>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</si>
  <si>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</si>
  <si>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</si>
  <si>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</si>
  <si>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</si>
  <si>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</si>
  <si>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</si>
  <si>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</si>
  <si>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</si>
  <si>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</si>
  <si>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</si>
  <si>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</si>
  <si>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</si>
  <si>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</si>
  <si>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</si>
  <si>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</si>
  <si>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</si>
  <si>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</si>
  <si>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</si>
  <si>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</si>
  <si>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</si>
  <si>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</si>
  <si>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</si>
  <si>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</si>
  <si>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</si>
  <si>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</si>
  <si>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</si>
  <si>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</si>
  <si>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</si>
  <si>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</si>
  <si>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</si>
  <si>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</si>
  <si>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</si>
  <si>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</si>
  <si>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</si>
  <si>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</si>
  <si>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</si>
  <si>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</si>
  <si>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</si>
  <si>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</si>
  <si>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</si>
  <si>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</si>
  <si>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</si>
  <si>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</si>
  <si>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</si>
  <si>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</si>
  <si>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</si>
  <si>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</si>
  <si>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</si>
  <si>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</si>
  <si>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</si>
  <si>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</si>
  <si>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</si>
  <si>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</si>
  <si>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</si>
  <si>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</si>
  <si>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</si>
  <si>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</si>
  <si>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</si>
  <si>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</si>
  <si>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</si>
  <si>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</si>
  <si>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</si>
  <si>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</si>
  <si>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</si>
  <si>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</si>
  <si>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</si>
  <si>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</si>
  <si>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</si>
  <si>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</si>
  <si>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</si>
  <si>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</si>
  <si>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</si>
  <si>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</si>
  <si>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</si>
  <si>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</si>
  <si>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</si>
  <si>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</si>
  <si>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</si>
  <si>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</si>
  <si>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</si>
  <si>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</si>
  <si>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</si>
  <si>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</si>
  <si>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</si>
  <si>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</si>
  <si>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</si>
  <si>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</si>
  <si>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</si>
  <si>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</si>
  <si>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</si>
  <si>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</si>
  <si>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</si>
  <si>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</si>
  <si>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</si>
  <si>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</si>
  <si>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</si>
  <si>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</si>
  <si>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</si>
  <si>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</si>
  <si>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</si>
  <si>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</si>
  <si>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</si>
  <si>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</si>
  <si>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</si>
  <si>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</si>
  <si>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</si>
  <si>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</si>
  <si>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</si>
  <si>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</si>
  <si>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</si>
  <si>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</si>
  <si>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</si>
  <si>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</si>
  <si>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</si>
  <si>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</si>
  <si>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</si>
  <si>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</si>
  <si>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</si>
  <si>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</si>
  <si>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</si>
  <si>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</si>
  <si>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</si>
  <si>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</si>
  <si>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</si>
  <si>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</si>
  <si>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</si>
  <si>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</si>
  <si>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</si>
  <si>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</si>
  <si>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</si>
  <si>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</si>
  <si>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</si>
  <si>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</si>
  <si>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</si>
  <si>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</si>
  <si>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</si>
  <si>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</si>
  <si>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</si>
  <si>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</si>
  <si>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</si>
  <si>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</si>
  <si>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</si>
  <si>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</si>
  <si>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</si>
  <si>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</si>
  <si>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</si>
  <si>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</si>
  <si>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</si>
  <si>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</si>
  <si>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</si>
  <si>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</si>
  <si>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</si>
  <si>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</si>
  <si>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</si>
  <si>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</si>
  <si>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</si>
  <si>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</si>
  <si>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</si>
  <si>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</si>
  <si>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</si>
  <si>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</si>
  <si>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</si>
  <si>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</si>
  <si>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</si>
  <si>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</si>
  <si>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</si>
  <si>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</si>
  <si>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</si>
  <si>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</si>
  <si>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</si>
  <si>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</si>
  <si>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</si>
  <si>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</si>
  <si>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</si>
  <si>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</si>
  <si>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</si>
  <si>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</si>
  <si>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</si>
  <si>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</si>
  <si>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</si>
  <si>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</si>
  <si>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</si>
  <si>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</si>
  <si>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</si>
  <si>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</si>
  <si>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</si>
  <si>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</si>
  <si>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</si>
  <si>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</si>
  <si>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</si>
  <si>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</si>
  <si>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</si>
  <si>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</si>
  <si>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</si>
  <si>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</si>
  <si>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</si>
  <si>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</si>
  <si>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</si>
  <si>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</si>
  <si>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</si>
  <si>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</si>
  <si>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</si>
  <si>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</si>
  <si>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</si>
  <si>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</si>
  <si>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</si>
  <si>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</si>
  <si>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</si>
  <si>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</si>
  <si>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</si>
  <si>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</si>
  <si>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</si>
  <si>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</si>
  <si>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</si>
  <si>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</si>
  <si>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</si>
  <si>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</si>
  <si>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</si>
  <si>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</si>
  <si>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</si>
  <si>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</si>
  <si>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</si>
  <si>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</si>
  <si>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</si>
  <si>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</si>
  <si>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</si>
  <si>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</si>
  <si>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</si>
  <si>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</si>
  <si>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</si>
  <si>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</si>
  <si>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</si>
  <si>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</si>
  <si>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</si>
  <si>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</si>
  <si>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</si>
  <si>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</si>
  <si>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</si>
  <si>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</si>
  <si>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</si>
  <si>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</si>
  <si>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</si>
  <si>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</si>
  <si>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</si>
  <si>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</si>
  <si>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</si>
  <si>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</si>
  <si>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</si>
  <si>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</si>
  <si>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</si>
  <si>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</si>
  <si>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</si>
  <si>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</si>
  <si>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</si>
  <si>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</si>
  <si>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</si>
  <si>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</si>
  <si>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</si>
  <si>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</si>
  <si>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</si>
  <si>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</si>
  <si>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</si>
  <si>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</si>
  <si>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</si>
  <si>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</si>
  <si>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</si>
  <si>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</si>
  <si>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</si>
  <si>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</si>
  <si>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</si>
  <si>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</si>
  <si>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</si>
  <si>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</si>
  <si>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</si>
  <si>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</si>
  <si>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</si>
  <si>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</si>
  <si>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</si>
  <si>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</si>
  <si>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</si>
  <si>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</si>
  <si>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</si>
  <si>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</si>
  <si>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</si>
  <si>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</si>
  <si>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</si>
  <si>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</si>
  <si>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</si>
  <si>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</si>
  <si>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</si>
  <si>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</si>
  <si>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</si>
  <si>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</si>
  <si>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</si>
  <si>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</si>
  <si>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</si>
  <si>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</si>
  <si>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</si>
  <si>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</si>
  <si>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</si>
  <si>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</si>
  <si>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</si>
  <si>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</si>
  <si>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</si>
  <si>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</si>
  <si>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</si>
  <si>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</si>
  <si>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</si>
  <si>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</si>
  <si>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</si>
  <si>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</si>
  <si>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</si>
  <si>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</si>
  <si>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</si>
  <si>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</si>
  <si>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</si>
  <si>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</si>
  <si>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</si>
  <si>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</si>
  <si>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</si>
  <si>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</si>
  <si>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</si>
  <si>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</si>
  <si>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</si>
  <si>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</si>
  <si>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</si>
  <si>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</si>
  <si>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</si>
  <si>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</si>
  <si>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</si>
  <si>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</si>
  <si>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</si>
  <si>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</si>
  <si>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</si>
  <si>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</si>
  <si>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</si>
  <si>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</si>
  <si>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</si>
  <si>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</si>
  <si>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</si>
  <si>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</si>
  <si>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</si>
  <si>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</si>
  <si>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</si>
  <si>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</si>
  <si>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</si>
  <si>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</si>
  <si>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</si>
  <si>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</si>
  <si>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</si>
  <si>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</si>
  <si>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</si>
  <si>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</si>
  <si>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</si>
  <si>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</si>
  <si>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</si>
  <si>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</si>
  <si>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</si>
  <si>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</si>
  <si>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</si>
  <si>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</si>
  <si>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</si>
  <si>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</si>
  <si>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</si>
  <si>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</si>
  <si>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</si>
  <si>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</si>
  <si>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</si>
  <si>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</si>
  <si>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</si>
  <si>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</si>
  <si>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</si>
  <si>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</si>
  <si>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</si>
  <si>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</si>
  <si>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</si>
  <si>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</si>
  <si>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</si>
  <si>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</si>
  <si>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</si>
  <si>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</si>
  <si>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</si>
  <si>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</si>
  <si>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</si>
  <si>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</si>
  <si>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</si>
  <si>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</si>
  <si>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</si>
  <si>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</si>
  <si>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</si>
  <si>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</si>
  <si>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</si>
  <si>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</si>
  <si>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</si>
  <si>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</si>
  <si>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</si>
  <si>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</si>
  <si>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</si>
  <si>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</si>
  <si>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</si>
  <si>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</si>
  <si>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</si>
  <si>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</si>
  <si>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</si>
  <si>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</si>
  <si>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</si>
  <si>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</si>
  <si>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</si>
  <si>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</si>
  <si>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</si>
  <si>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</si>
  <si>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</si>
  <si>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</si>
  <si>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</si>
  <si>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</si>
  <si>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</si>
  <si>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</si>
  <si>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</si>
  <si>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</si>
  <si>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</si>
  <si>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</si>
  <si>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</si>
  <si>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</si>
  <si>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</si>
  <si>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</si>
  <si>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</si>
  <si>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</si>
  <si>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</si>
  <si>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</si>
  <si>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</si>
  <si>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</si>
  <si>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</si>
  <si>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</si>
  <si>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</si>
  <si>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</si>
  <si>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</si>
  <si>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</si>
  <si>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</si>
  <si>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</si>
  <si>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</si>
  <si>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</si>
  <si>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</si>
  <si>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</si>
  <si>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</si>
  <si>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</si>
  <si>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</si>
  <si>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</si>
  <si>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</si>
  <si>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</si>
  <si>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</si>
  <si>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</si>
  <si>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</si>
  <si>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</si>
  <si>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</si>
  <si>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</si>
  <si>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</si>
  <si>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</si>
  <si>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</si>
  <si>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</si>
  <si>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</si>
  <si>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</si>
  <si>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</si>
  <si>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</si>
  <si>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</si>
  <si>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</si>
  <si>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</si>
  <si>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</si>
  <si>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</si>
  <si>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</si>
  <si>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</si>
  <si>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</si>
  <si>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</si>
  <si>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</si>
  <si>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</si>
  <si>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</si>
  <si>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</si>
  <si>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</si>
  <si>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</si>
  <si>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</si>
  <si>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</si>
  <si>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</si>
  <si>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</si>
  <si>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</si>
  <si>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</si>
  <si>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</si>
  <si>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</si>
  <si>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</si>
  <si>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</si>
  <si>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</si>
  <si>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</si>
  <si>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</si>
  <si>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</si>
  <si>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</si>
  <si>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</si>
  <si>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</si>
  <si>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</si>
  <si>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</si>
  <si>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</si>
  <si>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</si>
  <si>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</si>
  <si>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</si>
  <si>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</si>
  <si>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</si>
  <si>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</si>
  <si>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</si>
  <si>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</si>
  <si>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</si>
  <si>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</si>
  <si>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</si>
  <si>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</si>
  <si>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</si>
  <si>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</si>
  <si>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</si>
  <si>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</si>
  <si>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</si>
  <si>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</si>
  <si>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</si>
  <si>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</si>
  <si>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</si>
  <si>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</si>
  <si>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</si>
  <si>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</si>
  <si>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</si>
  <si>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</si>
  <si>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</si>
  <si>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</si>
  <si>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</si>
  <si>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</si>
  <si>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</si>
  <si>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</si>
  <si>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</si>
  <si>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</si>
  <si>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</si>
  <si>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</si>
  <si>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</si>
  <si>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</si>
  <si>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</si>
  <si>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</si>
  <si>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</si>
  <si>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</si>
  <si>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</si>
  <si>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</si>
  <si>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</si>
  <si>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</si>
  <si>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</si>
  <si>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</si>
  <si>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</si>
  <si>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</si>
  <si>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</si>
  <si>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</si>
  <si>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</si>
  <si>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</si>
  <si>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</si>
  <si>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</si>
  <si>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</si>
  <si>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</si>
  <si>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</si>
  <si>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</si>
  <si>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</si>
  <si>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</si>
  <si>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</si>
  <si>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</si>
  <si>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</si>
  <si>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</si>
  <si>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</si>
  <si>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</si>
  <si>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</si>
  <si>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</si>
  <si>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</si>
  <si>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</si>
  <si>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</si>
  <si>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</si>
  <si>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</si>
  <si>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</si>
  <si>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</si>
  <si>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</si>
  <si>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</si>
  <si>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</si>
  <si>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</si>
  <si>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</si>
  <si>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</si>
  <si>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</si>
  <si>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</si>
  <si>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</si>
  <si>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</si>
  <si>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</si>
  <si>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</si>
  <si>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</si>
  <si>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</si>
  <si>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</si>
  <si>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</si>
  <si>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</si>
  <si>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</si>
  <si>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</si>
  <si>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</si>
  <si>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</si>
  <si>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</si>
  <si>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</si>
  <si>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</si>
  <si>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</si>
  <si>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</si>
  <si>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</si>
  <si>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</si>
  <si>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</si>
  <si>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</si>
  <si>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</si>
  <si>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</si>
  <si>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</si>
  <si>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</si>
  <si>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</si>
  <si>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</si>
  <si>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</si>
  <si>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</si>
  <si>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</si>
  <si>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</si>
  <si>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</si>
  <si>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</si>
  <si>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</si>
  <si>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</si>
  <si>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</si>
  <si>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</si>
  <si>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</si>
  <si>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</si>
  <si>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</si>
  <si>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</si>
  <si>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</si>
  <si>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</si>
  <si>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</si>
  <si>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</si>
  <si>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</si>
  <si>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</si>
  <si>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</si>
  <si>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</si>
  <si>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</si>
  <si>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</si>
  <si>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</si>
  <si>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</si>
  <si>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</si>
  <si>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</si>
  <si>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</si>
  <si>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</si>
  <si>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</si>
  <si>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</si>
  <si>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</si>
  <si>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</si>
  <si>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</si>
  <si>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</si>
  <si>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</si>
  <si>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</si>
  <si>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</si>
  <si>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</si>
  <si>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</si>
  <si>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</si>
  <si>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</si>
  <si>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</si>
  <si>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</si>
  <si>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</si>
  <si>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</si>
  <si>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</si>
  <si>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</si>
  <si>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</si>
  <si>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</si>
  <si>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</si>
  <si>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</si>
  <si>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</si>
  <si>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</si>
  <si>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</si>
  <si>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</si>
  <si>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</si>
  <si>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</si>
  <si>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</si>
  <si>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</si>
  <si>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</si>
  <si>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</si>
  <si>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</si>
  <si>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</si>
  <si>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</si>
  <si>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</si>
  <si>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</si>
  <si>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</si>
  <si>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</si>
  <si>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</si>
  <si>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</si>
  <si>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</si>
  <si>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</si>
  <si>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</si>
  <si>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</si>
  <si>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</si>
  <si>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</si>
  <si>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</si>
  <si>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</si>
  <si>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</si>
  <si>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</si>
  <si>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</si>
  <si>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</si>
  <si>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</si>
  <si>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</si>
  <si>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</si>
  <si>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</si>
  <si>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</si>
  <si>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</si>
  <si>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</si>
  <si>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</si>
  <si>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</si>
  <si>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</si>
  <si>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</si>
  <si>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</si>
  <si>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</si>
  <si>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</si>
  <si>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</si>
  <si>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</si>
  <si>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</si>
  <si>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</si>
  <si>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</si>
  <si>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</si>
  <si>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</si>
  <si>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</si>
  <si>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</si>
  <si>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</si>
  <si>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</si>
  <si>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</si>
  <si>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</si>
  <si>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</si>
  <si>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</si>
  <si>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</si>
  <si>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</si>
  <si>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</si>
  <si>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</si>
  <si>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</si>
  <si>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</si>
  <si>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</si>
  <si>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</si>
  <si>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</si>
  <si>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</si>
  <si>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</si>
  <si>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</si>
  <si>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</si>
  <si>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</si>
  <si>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</si>
  <si>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</si>
  <si>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</si>
  <si>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</si>
  <si>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</si>
  <si>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</si>
  <si>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</si>
  <si>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</si>
  <si>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</si>
  <si>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</si>
  <si>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</si>
  <si>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</si>
  <si>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</si>
  <si>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</si>
  <si>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</si>
  <si>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</si>
  <si>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</si>
  <si>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</si>
  <si>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</si>
  <si>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</si>
  <si>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</si>
  <si>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</si>
  <si>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</si>
  <si>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</si>
  <si>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</si>
  <si>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</si>
  <si>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</si>
  <si>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</si>
  <si>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</si>
  <si>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</si>
  <si>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</si>
  <si>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</si>
  <si>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</si>
  <si>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</si>
  <si>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</si>
  <si>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</si>
  <si>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</si>
  <si>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</si>
  <si>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</si>
  <si>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</si>
  <si>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</si>
  <si>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</si>
  <si>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</si>
  <si>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</si>
  <si>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</si>
  <si>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</si>
  <si>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</si>
  <si>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</si>
  <si>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</si>
  <si>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</si>
  <si>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</si>
  <si>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</si>
  <si>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</si>
  <si>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</si>
  <si>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</si>
  <si>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</si>
  <si>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</si>
  <si>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</si>
  <si>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</si>
  <si>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</si>
  <si>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</si>
  <si>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</si>
  <si>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</si>
  <si>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</si>
  <si>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</si>
  <si>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</si>
  <si>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</si>
  <si>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</si>
  <si>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</si>
  <si>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</si>
  <si>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</si>
  <si>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</si>
  <si>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</si>
  <si>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</si>
  <si>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</si>
  <si>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</si>
  <si>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</si>
  <si>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</si>
  <si>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</si>
  <si>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</si>
  <si>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</si>
  <si>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</si>
  <si>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</si>
  <si>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</si>
  <si>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</si>
  <si>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</si>
  <si>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</si>
  <si>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</si>
  <si>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</si>
  <si>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</si>
  <si>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</si>
  <si>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</si>
  <si>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</si>
  <si>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</si>
  <si>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</si>
  <si>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</si>
  <si>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</si>
  <si>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</si>
  <si>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</si>
  <si>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</si>
  <si>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</si>
  <si>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</si>
  <si>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</si>
  <si>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</si>
  <si>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</si>
  <si>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</si>
  <si>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</si>
  <si>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</si>
  <si>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</si>
  <si>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</si>
  <si>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</si>
  <si>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</si>
  <si>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</si>
  <si>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</si>
  <si>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</si>
  <si>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</si>
  <si>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</si>
  <si>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</si>
  <si>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</si>
  <si>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</si>
  <si>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</si>
  <si>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</si>
  <si>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</si>
  <si>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</si>
  <si>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</si>
  <si>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</si>
  <si>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</si>
  <si>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</si>
  <si>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</si>
  <si>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</si>
  <si>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</si>
  <si>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</si>
  <si>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</si>
  <si>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</si>
  <si>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</si>
  <si>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</si>
  <si>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</si>
  <si>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</si>
  <si>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</si>
  <si>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</si>
  <si>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</si>
  <si>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</si>
  <si>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</si>
  <si>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</si>
  <si>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</si>
  <si>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</si>
  <si>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</si>
  <si>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</si>
  <si>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</si>
  <si>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</si>
  <si>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</si>
  <si>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</si>
  <si>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</si>
  <si>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</si>
  <si>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</si>
  <si>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</si>
  <si>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</si>
  <si>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</si>
  <si>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</si>
  <si>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</si>
  <si>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</si>
  <si>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</si>
  <si>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</si>
  <si>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</si>
  <si>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</si>
  <si>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</si>
  <si>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</si>
  <si>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</si>
  <si>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</si>
  <si>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</si>
  <si>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</si>
  <si>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</si>
  <si>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</si>
  <si>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</si>
  <si>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</si>
  <si>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</si>
  <si>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</si>
  <si>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</si>
  <si>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</si>
  <si>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</si>
  <si>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</si>
  <si>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</si>
  <si>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</si>
  <si>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</si>
  <si>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</si>
  <si>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</si>
  <si>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</si>
  <si>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</si>
  <si>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</si>
  <si>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</si>
  <si>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</si>
  <si>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</si>
  <si>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</si>
  <si>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</si>
  <si>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</si>
  <si>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</si>
  <si>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</si>
  <si>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</si>
  <si>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</si>
  <si>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</si>
  <si>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</si>
  <si>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</si>
  <si>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</si>
  <si>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</si>
  <si>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</si>
  <si>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</si>
  <si>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</si>
  <si>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</si>
  <si>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</si>
  <si>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</si>
  <si>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</si>
  <si>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</si>
  <si>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</si>
  <si>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</si>
  <si>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</si>
  <si>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</si>
  <si>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</si>
  <si>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</si>
  <si>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</si>
  <si>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</si>
  <si>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</si>
  <si>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</si>
  <si>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</si>
  <si>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</si>
  <si>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</si>
  <si>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</si>
  <si>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</si>
  <si>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</si>
  <si>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</si>
  <si>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</si>
  <si>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</si>
  <si>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</si>
  <si>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</si>
  <si>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</si>
  <si>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</si>
  <si>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</si>
  <si>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</si>
  <si>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</si>
  <si>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</si>
  <si>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</si>
  <si>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</si>
  <si>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</si>
  <si>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</si>
  <si>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</si>
  <si>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</si>
  <si>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</si>
  <si>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</si>
  <si>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</si>
  <si>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</si>
  <si>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</si>
  <si>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</si>
  <si>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</si>
  <si>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</si>
  <si>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</si>
  <si>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</si>
  <si>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</si>
  <si>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</si>
  <si>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</si>
  <si>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</si>
  <si>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</si>
  <si>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</si>
  <si>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</si>
  <si>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</si>
  <si>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</si>
  <si>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</si>
  <si>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</si>
  <si>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</si>
  <si>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</si>
  <si>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</si>
  <si>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</si>
  <si>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</si>
  <si>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</si>
  <si>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</si>
  <si>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</si>
  <si>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</si>
  <si>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</si>
  <si>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</si>
  <si>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</si>
  <si>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</si>
  <si>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</si>
  <si>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</si>
  <si>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</si>
  <si>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</si>
  <si>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</si>
  <si>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</si>
  <si>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</si>
  <si>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</si>
  <si>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</si>
  <si>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</si>
  <si>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</si>
  <si>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</si>
  <si>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</si>
  <si>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</si>
  <si>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</si>
  <si>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</si>
  <si>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</si>
  <si>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</si>
  <si>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</si>
  <si>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</si>
  <si>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</si>
  <si>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</si>
  <si>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</si>
  <si>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</si>
  <si>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</si>
  <si>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</si>
  <si>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</si>
  <si>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</si>
  <si>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</si>
  <si>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</si>
  <si>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</si>
  <si>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</si>
  <si>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</si>
  <si>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</si>
  <si>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</si>
  <si>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</si>
  <si>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</si>
  <si>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</si>
  <si>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</si>
  <si>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</si>
  <si>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</si>
  <si>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</si>
  <si>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</si>
  <si>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</si>
  <si>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</si>
  <si>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</si>
  <si>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</si>
  <si>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</si>
  <si>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</si>
  <si>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</si>
  <si>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</si>
  <si>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</si>
  <si>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</si>
  <si>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</si>
  <si>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</si>
  <si>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</si>
  <si>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</si>
  <si>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</si>
  <si>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</si>
  <si>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</si>
  <si>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</si>
  <si>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</si>
  <si>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</si>
  <si>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</si>
  <si>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</si>
  <si>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</si>
  <si>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</si>
  <si>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</si>
  <si>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</si>
  <si>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</si>
  <si>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</si>
  <si>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</si>
  <si>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</si>
  <si>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</si>
  <si>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</si>
  <si>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</si>
  <si>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</si>
  <si>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</si>
  <si>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</si>
  <si>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</si>
  <si>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</si>
  <si>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</si>
  <si>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</si>
  <si>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</si>
  <si>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</si>
  <si>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</si>
  <si>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</si>
  <si>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</si>
  <si>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</si>
  <si>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</si>
  <si>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</si>
  <si>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</si>
  <si>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</si>
  <si>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</si>
  <si>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</si>
  <si>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</si>
  <si>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</si>
  <si>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</si>
  <si>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</si>
  <si>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</si>
  <si>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</si>
  <si>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</si>
  <si>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</si>
  <si>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</si>
  <si>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</si>
  <si>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</si>
  <si>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</si>
  <si>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</si>
  <si>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</si>
  <si>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</si>
  <si>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</si>
  <si>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</si>
  <si>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</si>
  <si>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</si>
  <si>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</si>
  <si>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</si>
  <si>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</si>
  <si>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</si>
  <si>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</si>
  <si>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</si>
  <si>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</si>
  <si>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</si>
  <si>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</si>
  <si>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</si>
  <si>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</si>
  <si>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</si>
  <si>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</si>
  <si>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</si>
  <si>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</si>
  <si>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</si>
  <si>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</si>
  <si>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</si>
  <si>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</si>
  <si>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</si>
  <si>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</si>
  <si>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</si>
  <si>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</si>
  <si>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</si>
  <si>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</si>
  <si>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</si>
  <si>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</si>
  <si>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</si>
  <si>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</si>
  <si>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</si>
  <si>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</si>
  <si>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</si>
  <si>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</si>
  <si>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</si>
  <si>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</si>
  <si>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</si>
  <si>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</si>
  <si>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</si>
  <si>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</si>
  <si>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</si>
  <si>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</si>
  <si>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</si>
  <si>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</si>
  <si>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</si>
  <si>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</si>
  <si>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</si>
  <si>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</si>
  <si>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</si>
  <si>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</si>
  <si>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</si>
  <si>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</si>
  <si>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</si>
  <si>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</si>
  <si>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</si>
  <si>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</si>
  <si>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</si>
  <si>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</si>
  <si>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</si>
  <si>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</si>
  <si>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</si>
  <si>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</si>
  <si>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</si>
  <si>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</si>
  <si>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</si>
  <si>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</si>
  <si>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</si>
  <si>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</si>
  <si>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</si>
  <si>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</si>
  <si>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</si>
  <si>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</si>
  <si>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</si>
  <si>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</si>
  <si>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</si>
  <si>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</si>
  <si>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</si>
  <si>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</si>
  <si>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</si>
  <si>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</si>
  <si>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</si>
  <si>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</si>
  <si>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</si>
  <si>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</si>
  <si>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</si>
  <si>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</si>
  <si>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</si>
  <si>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</si>
  <si>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</si>
  <si>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</si>
  <si>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</si>
  <si>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</si>
  <si>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</si>
  <si>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</si>
  <si>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</si>
  <si>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</si>
  <si>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</si>
  <si>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</si>
  <si>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</si>
  <si>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</si>
  <si>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</si>
  <si>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</si>
  <si>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</si>
  <si>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</si>
  <si>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</si>
  <si>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</si>
  <si>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</si>
  <si>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</si>
  <si>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</si>
  <si>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</si>
  <si>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</si>
  <si>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</si>
  <si>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</si>
  <si>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</si>
  <si>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</si>
  <si>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</si>
  <si>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</si>
  <si>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</si>
  <si>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</si>
  <si>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</si>
  <si>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</si>
  <si>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</si>
  <si>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</si>
  <si>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</si>
  <si>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</si>
  <si>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</si>
  <si>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</si>
  <si>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</si>
  <si>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</si>
  <si>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</si>
  <si>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</si>
  <si>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</si>
  <si>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</si>
  <si>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</si>
  <si>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</si>
  <si>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</si>
  <si>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</si>
  <si>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</si>
  <si>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</si>
  <si>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</si>
  <si>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</si>
  <si>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</si>
  <si>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</si>
  <si>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</si>
  <si>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</si>
  <si>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</si>
  <si>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</si>
  <si>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</si>
  <si>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</si>
  <si>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</si>
  <si>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</si>
  <si>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</si>
  <si>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</si>
  <si>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</si>
  <si>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</si>
  <si>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</si>
  <si>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</si>
  <si>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</si>
  <si>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</si>
  <si>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</si>
  <si>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</si>
  <si>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</si>
  <si>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</si>
  <si>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</si>
  <si>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</si>
  <si>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</si>
  <si>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</si>
  <si>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</si>
  <si>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</si>
  <si>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</si>
  <si>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</si>
  <si>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</si>
  <si>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</si>
  <si>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</si>
  <si>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</si>
  <si>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</si>
  <si>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</si>
  <si>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</si>
  <si>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</si>
  <si>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</si>
  <si>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</si>
  <si>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</si>
  <si>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</si>
  <si>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</si>
  <si>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</si>
  <si>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</si>
  <si>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</si>
  <si>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</si>
  <si>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</si>
  <si>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</si>
  <si>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</si>
  <si>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</si>
  <si>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</si>
  <si>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</si>
  <si>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</si>
  <si>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</si>
  <si>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</si>
  <si>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</si>
  <si>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</si>
  <si>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</si>
  <si>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</si>
  <si>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</si>
  <si>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</si>
  <si>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</si>
  <si>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</si>
  <si>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</si>
  <si>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</si>
  <si>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</si>
  <si>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</si>
  <si>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</si>
  <si>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</si>
  <si>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</si>
  <si>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</si>
  <si>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</si>
  <si>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</si>
  <si>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</si>
  <si>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</si>
  <si>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</si>
  <si>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</si>
  <si>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</si>
  <si>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</si>
  <si>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</si>
  <si>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</si>
  <si>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</si>
  <si>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</si>
  <si>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</si>
  <si>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</si>
  <si>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</si>
  <si>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</si>
  <si>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</si>
  <si>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</si>
  <si>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</si>
  <si>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</si>
  <si>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</si>
  <si>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</si>
  <si>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</si>
  <si>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</si>
  <si>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</si>
  <si>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</si>
  <si>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</si>
  <si>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</si>
  <si>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</si>
  <si>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</si>
  <si>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</si>
  <si>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</si>
  <si>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</si>
  <si>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</si>
  <si>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</si>
  <si>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</si>
  <si>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</si>
  <si>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</si>
  <si>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</si>
  <si>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</si>
  <si>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</si>
  <si>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</si>
  <si>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</si>
  <si>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</si>
  <si>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</si>
  <si>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</si>
  <si>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</si>
  <si>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</si>
  <si>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</si>
  <si>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</si>
  <si>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</si>
  <si>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</si>
  <si>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</si>
  <si>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</si>
  <si>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</si>
  <si>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</si>
  <si>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</si>
  <si>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</si>
  <si>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</si>
  <si>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</si>
  <si>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</si>
  <si>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</si>
  <si>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</si>
  <si>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</si>
  <si>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</si>
  <si>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</si>
  <si>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</si>
  <si>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</si>
  <si>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</si>
  <si>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</si>
  <si>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</si>
  <si>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</si>
  <si>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</si>
  <si>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</si>
  <si>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</si>
  <si>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</si>
  <si>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</si>
  <si>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</si>
  <si>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</si>
  <si>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</si>
  <si>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</si>
  <si>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</si>
  <si>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</si>
  <si>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</si>
  <si>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</si>
  <si>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</si>
  <si>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</si>
  <si>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</si>
  <si>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</si>
  <si>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</si>
  <si>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</si>
  <si>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</si>
  <si>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</si>
  <si>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</si>
  <si>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</si>
  <si>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</si>
  <si>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</si>
  <si>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</si>
  <si>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</si>
  <si>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</si>
  <si>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</si>
  <si>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</si>
  <si>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</si>
  <si>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</si>
  <si>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</si>
  <si>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</si>
  <si>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</si>
  <si>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</si>
  <si>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</si>
  <si>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</si>
  <si>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</si>
  <si>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</si>
  <si>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</si>
  <si>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</si>
  <si>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</si>
  <si>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</si>
  <si>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</si>
  <si>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</si>
  <si>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</si>
  <si>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</si>
  <si>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</si>
  <si>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</si>
  <si>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</si>
  <si>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</si>
  <si>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</si>
  <si>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</si>
  <si>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</si>
  <si>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</si>
  <si>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</si>
  <si>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</si>
  <si>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</si>
  <si>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</si>
  <si>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</si>
  <si>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</si>
  <si>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</si>
  <si>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</si>
  <si>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</si>
  <si>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</si>
  <si>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</si>
  <si>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</si>
  <si>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</si>
  <si>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</si>
  <si>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</si>
  <si>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</si>
  <si>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</si>
  <si>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</si>
  <si>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</si>
  <si>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</si>
  <si>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</si>
  <si>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</si>
  <si>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</si>
  <si>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</si>
  <si>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</si>
  <si>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</si>
  <si>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</si>
  <si>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</si>
  <si>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</si>
  <si>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</si>
  <si>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</si>
  <si>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</si>
  <si>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</si>
  <si>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</si>
  <si>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</si>
  <si>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</si>
  <si>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</si>
  <si>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</si>
  <si>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</si>
  <si>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</si>
  <si>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</si>
  <si>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</si>
  <si>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</si>
  <si>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</si>
  <si>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</si>
  <si>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</si>
  <si>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</si>
  <si>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</si>
  <si>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</si>
  <si>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</si>
  <si>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</si>
  <si>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</si>
  <si>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</si>
  <si>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</si>
  <si>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</si>
  <si>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</si>
  <si>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</si>
  <si>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</si>
  <si>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</si>
  <si>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</si>
  <si>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</si>
  <si>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</si>
  <si>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</si>
  <si>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</si>
  <si>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</si>
  <si>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</si>
  <si>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</si>
  <si>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</si>
  <si>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</si>
  <si>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</si>
  <si>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</si>
  <si>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</si>
  <si>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</si>
  <si>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</si>
  <si>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</si>
  <si>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</si>
  <si>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</si>
  <si>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</si>
  <si>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</si>
  <si>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</si>
  <si>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</si>
  <si>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</si>
  <si>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</si>
  <si>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</si>
  <si>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</si>
  <si>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</si>
  <si>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</si>
  <si>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</si>
  <si>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</si>
  <si>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</si>
  <si>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</si>
  <si>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</si>
  <si>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</si>
  <si>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</si>
  <si>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</si>
  <si>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</si>
  <si>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</si>
  <si>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</si>
  <si>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</si>
  <si>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</si>
  <si>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</si>
  <si>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</si>
  <si>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</si>
  <si>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</si>
  <si>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</si>
  <si>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</si>
  <si>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</si>
  <si>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</si>
  <si>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</si>
  <si>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</si>
  <si>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</si>
  <si>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</si>
  <si>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</si>
  <si>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</si>
  <si>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</si>
  <si>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</si>
  <si>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</si>
  <si>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</si>
  <si>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</si>
  <si>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</si>
  <si>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</si>
  <si>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</si>
  <si>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</si>
  <si>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</si>
  <si>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</si>
  <si>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</si>
  <si>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</si>
  <si>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</si>
  <si>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</si>
  <si>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</si>
  <si>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</si>
  <si>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</si>
  <si>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</si>
  <si>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</si>
  <si>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</si>
  <si>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</si>
  <si>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</si>
  <si>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</si>
  <si>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</si>
  <si>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</si>
  <si>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</si>
  <si>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</si>
  <si>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</si>
  <si>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</si>
  <si>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</si>
  <si>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</si>
  <si>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</si>
  <si>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</si>
  <si>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</si>
  <si>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</si>
  <si>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</si>
  <si>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</si>
  <si>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</si>
  <si>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</si>
  <si>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</si>
  <si>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</si>
  <si>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</si>
  <si>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</si>
  <si>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</si>
  <si>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</si>
  <si>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</si>
  <si>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</si>
  <si>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</si>
  <si>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</si>
  <si>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</si>
  <si>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</si>
  <si>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</si>
  <si>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</si>
  <si>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</si>
  <si>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</si>
  <si>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</si>
  <si>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</si>
  <si>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</si>
  <si>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</si>
  <si>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</si>
  <si>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</si>
  <si>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</si>
  <si>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</si>
  <si>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</si>
  <si>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</si>
  <si>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</si>
  <si>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</si>
  <si>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</si>
  <si>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</si>
  <si>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</si>
  <si>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</si>
  <si>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</si>
  <si>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</si>
  <si>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</si>
  <si>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</si>
  <si>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</si>
  <si>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</si>
  <si>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</si>
  <si>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</si>
  <si>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</si>
  <si>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</si>
  <si>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</si>
  <si>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</si>
  <si>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</si>
  <si>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</si>
  <si>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</si>
  <si>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</si>
  <si>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</si>
  <si>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</si>
  <si>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</si>
  <si>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</si>
  <si>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</si>
  <si>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</si>
  <si>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</si>
  <si>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</si>
  <si>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</si>
  <si>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</si>
  <si>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</si>
  <si>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</si>
  <si>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</si>
  <si>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</si>
  <si>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</si>
  <si>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</si>
  <si>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</si>
  <si>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</si>
  <si>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</si>
  <si>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</si>
  <si>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</si>
  <si>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</si>
  <si>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</si>
  <si>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</si>
  <si>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</si>
  <si>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</si>
  <si>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</si>
  <si>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</si>
  <si>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</si>
  <si>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</si>
  <si>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</si>
  <si>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</si>
  <si>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</si>
  <si>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</si>
  <si>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</si>
  <si>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</si>
  <si>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</si>
  <si>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</si>
  <si>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</si>
  <si>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</si>
  <si>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</si>
  <si>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</si>
  <si>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</si>
  <si>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</si>
  <si>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</si>
  <si>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</si>
  <si>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</si>
  <si>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</si>
  <si>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</si>
  <si>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</si>
  <si>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</si>
  <si>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</si>
  <si>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</si>
  <si>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</si>
  <si>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</si>
  <si>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</si>
  <si>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</si>
  <si>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</si>
  <si>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</si>
  <si>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</si>
  <si>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</si>
  <si>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</si>
  <si>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</si>
  <si>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</si>
  <si>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</si>
  <si>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</si>
  <si>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</si>
  <si>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</si>
  <si>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</si>
  <si>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</si>
  <si>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</si>
  <si>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</si>
  <si>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</si>
  <si>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</si>
  <si>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</si>
  <si>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</si>
  <si>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</si>
  <si>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</si>
  <si>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</si>
  <si>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</si>
  <si>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</si>
  <si>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</si>
  <si>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</si>
  <si>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</si>
  <si>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</si>
  <si>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</si>
  <si>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</si>
  <si>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</si>
  <si>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</si>
  <si>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</si>
  <si>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</si>
  <si>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</si>
  <si>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</si>
  <si>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</si>
  <si>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</si>
  <si>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</si>
  <si>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</si>
  <si>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</si>
  <si>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</si>
  <si>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</si>
  <si>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</si>
  <si>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</si>
  <si>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</si>
  <si>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</si>
  <si>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</si>
  <si>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</si>
  <si>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</si>
  <si>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</si>
  <si>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</si>
  <si>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</si>
  <si>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</si>
  <si>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</si>
  <si>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</si>
  <si>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</si>
  <si>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</si>
  <si>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</si>
  <si>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</si>
  <si>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</si>
  <si>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</si>
  <si>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</si>
  <si>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</si>
  <si>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</si>
  <si>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</si>
  <si>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</si>
  <si>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</si>
  <si>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</si>
  <si>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</si>
  <si>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</si>
  <si>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</si>
  <si>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</si>
  <si>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</si>
  <si>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</si>
  <si>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</si>
  <si>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</si>
  <si>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</si>
  <si>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</si>
  <si>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</si>
  <si>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</si>
  <si>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</si>
  <si>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</si>
  <si>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</si>
  <si>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</si>
  <si>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</si>
  <si>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</si>
  <si>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</si>
  <si>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</si>
  <si>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</si>
  <si>
    <t>估价对象位于前海，周边有龙海商业广场等，周边商业氛围成熟度高，人流量大，商业繁华度较好</t>
    <phoneticPr fontId="26" type="noConversion"/>
  </si>
  <si>
    <t>估价对象位于前海，周边办公楼项目多，有卓越前海壹号等，入驻率高，办公集聚程度较好</t>
    <phoneticPr fontId="26" type="noConversion"/>
  </si>
  <si>
    <t>估价对象所在区域公共配套设施齐备情况较好</t>
    <phoneticPr fontId="26" type="noConversion"/>
  </si>
  <si>
    <t>办公</t>
    <phoneticPr fontId="232" type="noConversion"/>
  </si>
  <si>
    <t>商业</t>
    <phoneticPr fontId="232" type="noConversion"/>
  </si>
  <si>
    <t>车位</t>
    <phoneticPr fontId="232" type="noConversion"/>
  </si>
  <si>
    <t>元/月</t>
    <phoneticPr fontId="232" type="noConversion"/>
  </si>
  <si>
    <t>元/平方米</t>
    <phoneticPr fontId="232" type="noConversion"/>
  </si>
  <si>
    <t>公寓</t>
    <phoneticPr fontId="232" type="noConversion"/>
  </si>
  <si>
    <t>人才公寓</t>
    <phoneticPr fontId="232" type="noConversion"/>
  </si>
  <si>
    <t>个</t>
    <phoneticPr fontId="232" type="noConversion"/>
  </si>
  <si>
    <t>出让金</t>
    <phoneticPr fontId="232" type="noConversion"/>
  </si>
  <si>
    <t>拆迁补偿</t>
    <phoneticPr fontId="232" type="noConversion"/>
  </si>
  <si>
    <t>商业</t>
    <phoneticPr fontId="15" type="noConversion"/>
  </si>
  <si>
    <t>负1</t>
    <phoneticPr fontId="15" type="noConversion"/>
  </si>
  <si>
    <t>楼层系数</t>
    <phoneticPr fontId="15" type="noConversion"/>
  </si>
  <si>
    <t>面积</t>
    <phoneticPr fontId="15" type="noConversion"/>
  </si>
  <si>
    <t>原表单价</t>
    <phoneticPr fontId="15" type="noConversion"/>
  </si>
  <si>
    <t>正常</t>
    <phoneticPr fontId="15" type="noConversion"/>
  </si>
  <si>
    <t>出让方式</t>
  </si>
  <si>
    <t>受让单位</t>
  </si>
  <si>
    <t>成交价(万元)</t>
  </si>
  <si>
    <t>溢价率</t>
  </si>
  <si>
    <t>土地星级</t>
  </si>
  <si>
    <t>南山区粤海街道</t>
  </si>
  <si>
    <t>挂牌</t>
  </si>
  <si>
    <t>≤16.04</t>
  </si>
  <si>
    <t>2020-02-19</t>
  </si>
  <si>
    <t>深圳市分期乐网络科技有限公司</t>
  </si>
  <si>
    <t>5星</t>
  </si>
  <si>
    <t>≤14.94</t>
  </si>
  <si>
    <t>华强方特文化科技集团股份有限公司</t>
  </si>
  <si>
    <t>前湾片区九开发单元04街坊</t>
  </si>
  <si>
    <t>≤13.63</t>
  </si>
  <si>
    <t>2019-12-16</t>
  </si>
  <si>
    <t>前海金融控股有限公司,世纪证券有限责任公司</t>
  </si>
  <si>
    <t>≥1.0;≤1.82</t>
  </si>
  <si>
    <t>2019-09-12</t>
  </si>
  <si>
    <t>深圳市润投咨询有限公司</t>
  </si>
  <si>
    <t>≤5.17</t>
  </si>
  <si>
    <t>2018-12-14</t>
  </si>
  <si>
    <t>嘉里置业(中国)有限公司</t>
  </si>
  <si>
    <t>桂湾片区三单元05街坊</t>
  </si>
  <si>
    <t>≤7.83</t>
  </si>
  <si>
    <t>2018-12-12</t>
  </si>
  <si>
    <t>深圳前海冶建科技发展有限公司</t>
  </si>
  <si>
    <t>≤9.43</t>
  </si>
  <si>
    <t>2018-11-27</t>
  </si>
  <si>
    <t>广东欧加通信科技有限公司</t>
  </si>
  <si>
    <t>福田区梅林路与中康路交汇处</t>
  </si>
  <si>
    <t>≤8.0</t>
  </si>
  <si>
    <t>2018-11-21</t>
  </si>
  <si>
    <t>深圳市汇顶科技股份有限公司</t>
  </si>
  <si>
    <t>≤11.56</t>
  </si>
  <si>
    <t>2018-10-19</t>
  </si>
  <si>
    <t>深圳市前海人才乐居有限公司</t>
  </si>
  <si>
    <t>≤10.48</t>
  </si>
  <si>
    <t>2018-10-18</t>
  </si>
  <si>
    <t>招联消费金融有限公司</t>
  </si>
  <si>
    <t>≤9.88</t>
  </si>
  <si>
    <t>新华养老保险股份有限公司</t>
  </si>
  <si>
    <t>≤9.35</t>
  </si>
  <si>
    <t>2018-10-17</t>
  </si>
  <si>
    <t>敏华控股有限公司</t>
  </si>
  <si>
    <t>≤12.08</t>
  </si>
  <si>
    <t>太平金和投资有限公司</t>
  </si>
  <si>
    <t>深圳市飞马国际供应链股份有限公司</t>
  </si>
  <si>
    <t>深圳市至正文博集团有限公司</t>
  </si>
  <si>
    <t>恒大集团有限公司</t>
  </si>
  <si>
    <t>万科企业股份有限公司</t>
  </si>
  <si>
    <t>腾创未来(深圳)有限公司</t>
  </si>
  <si>
    <t>建滔化工集团有限公司</t>
  </si>
  <si>
    <t>中国国有资本风险投资基金股份有限公司,深圳市投控资本有限公司</t>
  </si>
  <si>
    <t>深圳前海微众银行股份有限公司</t>
  </si>
  <si>
    <t>中国电子有限公司</t>
  </si>
  <si>
    <t>中兴通讯股份有限公司</t>
  </si>
  <si>
    <t>神州数码集团股份有限公司</t>
  </si>
  <si>
    <t>恒力(深圳)控股有限公司</t>
  </si>
  <si>
    <t>深圳碳云控股有限公司,深圳碳云数字生命科技有限公司</t>
  </si>
  <si>
    <t>平安财产保险股份有限公司</t>
  </si>
  <si>
    <t>安邦财产保险股份有限公司</t>
  </si>
  <si>
    <t>其晋有限公司</t>
  </si>
  <si>
    <t>海能达通信股份有限公司</t>
  </si>
  <si>
    <t>天音通信有限公司</t>
  </si>
  <si>
    <t>招商银行股份有限公司</t>
  </si>
  <si>
    <t>信义集团(玻璃)有限公司</t>
  </si>
  <si>
    <t>东亚银行有限公司、嘉里控股有限公司、嘉里建设有限公司</t>
  </si>
  <si>
    <t>创维集团有限公司</t>
  </si>
  <si>
    <t>深圳华强集团有限公司</t>
  </si>
  <si>
    <t>周大福企业有限公司、新世界发展有限公司</t>
  </si>
  <si>
    <t>中粮资本投资有限公司</t>
  </si>
  <si>
    <t>中英人寿保险有限公司</t>
  </si>
  <si>
    <t>深圳联想海外控股有限公司</t>
  </si>
  <si>
    <t>深圳市前海恒昌科技开发有限公司</t>
  </si>
  <si>
    <t>阳光保险集团股份有限公司</t>
  </si>
  <si>
    <t>拍卖</t>
  </si>
  <si>
    <t>深圳深中润投资控股有限公司、深圳前海君临融资租赁有限公司</t>
  </si>
  <si>
    <t>深圳市前海香融中盛供应链管理有限公司</t>
  </si>
  <si>
    <t>深圳市顺丰供应链有限公司</t>
  </si>
  <si>
    <t>深圳市信利康电商科技有限公司</t>
  </si>
  <si>
    <t>深圳市金立科技有限公司</t>
  </si>
  <si>
    <t>民生电子商务有限责任公司</t>
  </si>
  <si>
    <t>HONY*CAPITAL*MANAGEMENT*LIMITED</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</si>
  <si>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</si>
  <si>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loft公寓</t>
  </si>
  <si>
    <t>loft公寓</t>
    <phoneticPr fontId="21" type="noConversion"/>
  </si>
  <si>
    <t>平层公寓</t>
  </si>
  <si>
    <t>平层公寓</t>
    <phoneticPr fontId="21" type="noConversion"/>
  </si>
  <si>
    <t>个</t>
    <phoneticPr fontId="232" type="noConversion"/>
  </si>
  <si>
    <r>
      <rPr>
        <sz val="12"/>
        <rFont val="宋体"/>
        <family val="3"/>
        <charset val="134"/>
      </rPr>
      <t>万</t>
    </r>
    <r>
      <rPr>
        <sz val="12"/>
        <rFont val="Arial"/>
        <family val="2"/>
      </rPr>
      <t>/</t>
    </r>
    <r>
      <rPr>
        <sz val="12"/>
        <rFont val="宋体"/>
        <family val="3"/>
        <charset val="134"/>
      </rPr>
      <t>个</t>
    </r>
    <phoneticPr fontId="232" type="noConversion"/>
  </si>
  <si>
    <t>深业中城</t>
    <phoneticPr fontId="3" type="noConversion"/>
  </si>
  <si>
    <t>深业上城</t>
    <phoneticPr fontId="3" type="noConversion"/>
  </si>
  <si>
    <t>宝树台</t>
    <phoneticPr fontId="3" type="noConversion"/>
  </si>
  <si>
    <t>非个人房产</t>
  </si>
  <si>
    <t>前湾片区七单元03街坊</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</si>
</sst>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182" fontId="70" fillId="0" borderId="2" xfId="0" applyNumberFormat="1" applyFont="1" applyBorder="1" applyAlignment="1" applyProtection="1">
      <alignment horizontal="left" vertical="center"/>
      <protection locked="0"/>
    </xf>
    <xf numFmtId="182"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44" fillId="0" borderId="0" xfId="0" applyFont="1" applyAlignment="1">
      <alignment horizontal="left" vertical="center"/>
    </xf>
    <xf numFmtId="196" fontId="0" fillId="0" borderId="0" xfId="0" applyNumberFormat="1" applyAlignment="1">
      <alignment horizontal="left" vertical="center"/>
    </xf>
    <xf numFmtId="185" fontId="75" fillId="18" borderId="2" xfId="0" applyNumberFormat="1" applyFont="1" applyFill="1" applyBorder="1" applyAlignment="1" applyProtection="1">
      <alignment horizontal="center" vertical="center"/>
      <protection locked="0"/>
    </xf>
    <xf numFmtId="0" fontId="132" fillId="8" borderId="0" xfId="0" applyFont="1" applyFill="1" applyAlignment="1" applyProtection="1">
      <alignment horizontal="left"/>
      <protection locked="0"/>
    </xf>
    <xf numFmtId="0" fontId="74" fillId="8" borderId="0" xfId="0" applyFont="1" applyFill="1" applyAlignment="1" applyProtection="1">
      <alignment horizontal="left"/>
      <protection locked="0"/>
    </xf>
    <xf numFmtId="0" fontId="75" fillId="8" borderId="0" xfId="0" applyFont="1" applyFill="1" applyAlignment="1" applyProtection="1">
      <alignment horizontal="left"/>
      <protection locked="0"/>
    </xf>
    <xf numFmtId="0" fontId="75" fillId="0" borderId="0" xfId="0" applyFont="1" applyFill="1" applyAlignment="1" applyProtection="1">
      <alignment horizontal="left"/>
      <protection locked="0"/>
    </xf>
    <xf numFmtId="0" fontId="98" fillId="8" borderId="0" xfId="0" applyFont="1" applyFill="1" applyAlignment="1" applyProtection="1">
      <alignment horizontal="left"/>
      <protection locked="0"/>
    </xf>
    <xf numFmtId="0" fontId="70" fillId="8" borderId="0" xfId="0" applyFont="1" applyFill="1" applyAlignment="1" applyProtection="1">
      <alignment horizontal="left"/>
      <protection locked="0"/>
    </xf>
    <xf numFmtId="0" fontId="79" fillId="8" borderId="0" xfId="0" applyFont="1" applyFill="1" applyAlignment="1" applyProtection="1">
      <alignment horizontal="left" vertical="center"/>
      <protection locked="0"/>
    </xf>
    <xf numFmtId="185" fontId="79" fillId="8" borderId="0" xfId="0" applyNumberFormat="1" applyFont="1" applyFill="1" applyAlignment="1" applyProtection="1">
      <alignment horizontal="left" vertical="center"/>
      <protection locked="0"/>
    </xf>
    <xf numFmtId="0" fontId="227" fillId="8" borderId="0" xfId="0" applyFont="1" applyFill="1" applyAlignment="1" applyProtection="1">
      <alignment horizontal="left" vertical="center"/>
      <protection locked="0"/>
    </xf>
    <xf numFmtId="0" fontId="277" fillId="0" borderId="0" xfId="0" applyFont="1" applyAlignment="1">
      <alignment horizontal="left"/>
    </xf>
    <xf numFmtId="0" fontId="277" fillId="0" borderId="0" xfId="0" applyFont="1" applyFill="1" applyAlignment="1">
      <alignment horizontal="left" vertical="center"/>
    </xf>
    <xf numFmtId="0" fontId="277" fillId="0" borderId="0" xfId="0" applyFont="1" applyFill="1" applyAlignment="1">
      <alignment horizontal="left"/>
    </xf>
    <xf numFmtId="0" fontId="277" fillId="6" borderId="0" xfId="0" applyFont="1" applyFill="1" applyAlignment="1">
      <alignment horizontal="left"/>
    </xf>
    <xf numFmtId="0" fontId="277" fillId="6" borderId="0" xfId="0" applyFont="1" applyFill="1" applyAlignment="1">
      <alignment horizontal="left" vertical="center"/>
    </xf>
    <xf numFmtId="0" fontId="32" fillId="8" borderId="0" xfId="0" applyFont="1" applyFill="1" applyAlignment="1" applyProtection="1">
      <alignment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xdr:row>
      <xdr:rowOff>60556</xdr:rowOff>
    </xdr:from>
    <xdr:to>
      <xdr:col>12</xdr:col>
      <xdr:colOff>592105</xdr:colOff>
      <xdr:row>22</xdr:row>
      <xdr:rowOff>46838</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38356"/>
          <a:ext cx="7659655" cy="3720082"/>
        </a:xfrm>
        <a:prstGeom prst="rect">
          <a:avLst/>
        </a:prstGeom>
      </xdr:spPr>
    </xdr:pic>
    <xdr:clientData/>
  </xdr:twoCellAnchor>
  <xdr:twoCellAnchor editAs="oneCell">
    <xdr:from>
      <xdr:col>13</xdr:col>
      <xdr:colOff>184150</xdr:colOff>
      <xdr:row>2</xdr:row>
      <xdr:rowOff>4605</xdr:rowOff>
    </xdr:from>
    <xdr:to>
      <xdr:col>19</xdr:col>
      <xdr:colOff>154774</xdr:colOff>
      <xdr:row>15</xdr:row>
      <xdr:rowOff>167729</xdr:rowOff>
    </xdr:to>
    <xdr:pic>
      <xdr:nvPicPr>
        <xdr:cNvPr id="3" name="图片 2"/>
        <xdr:cNvPicPr>
          <a:picLocks noChangeAspect="1"/>
        </xdr:cNvPicPr>
      </xdr:nvPicPr>
      <xdr:blipFill>
        <a:blip xmlns:r="http://schemas.openxmlformats.org/officeDocument/2006/relationships" r:embed="rId2"/>
        <a:stretch>
          <a:fillRect/>
        </a:stretch>
      </xdr:blipFill>
      <xdr:spPr>
        <a:xfrm>
          <a:off x="8108950" y="360205"/>
          <a:ext cx="3628224" cy="2474524"/>
        </a:xfrm>
        <a:prstGeom prst="rect">
          <a:avLst/>
        </a:prstGeom>
      </xdr:spPr>
    </xdr:pic>
    <xdr:clientData/>
  </xdr:twoCellAnchor>
  <xdr:twoCellAnchor editAs="oneCell">
    <xdr:from>
      <xdr:col>13</xdr:col>
      <xdr:colOff>215900</xdr:colOff>
      <xdr:row>16</xdr:row>
      <xdr:rowOff>77356</xdr:rowOff>
    </xdr:from>
    <xdr:to>
      <xdr:col>19</xdr:col>
      <xdr:colOff>234950</xdr:colOff>
      <xdr:row>27</xdr:row>
      <xdr:rowOff>162868</xdr:rowOff>
    </xdr:to>
    <xdr:pic>
      <xdr:nvPicPr>
        <xdr:cNvPr id="4" name="图片 3"/>
        <xdr:cNvPicPr>
          <a:picLocks noChangeAspect="1"/>
        </xdr:cNvPicPr>
      </xdr:nvPicPr>
      <xdr:blipFill>
        <a:blip xmlns:r="http://schemas.openxmlformats.org/officeDocument/2006/relationships" r:embed="rId3"/>
        <a:stretch>
          <a:fillRect/>
        </a:stretch>
      </xdr:blipFill>
      <xdr:spPr>
        <a:xfrm>
          <a:off x="8140700" y="2922156"/>
          <a:ext cx="3676650" cy="20413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76200</xdr:colOff>
      <xdr:row>2</xdr:row>
      <xdr:rowOff>129717</xdr:rowOff>
    </xdr:from>
    <xdr:to>
      <xdr:col>21</xdr:col>
      <xdr:colOff>360414</xdr:colOff>
      <xdr:row>25</xdr:row>
      <xdr:rowOff>52907</xdr:rowOff>
    </xdr:to>
    <xdr:pic>
      <xdr:nvPicPr>
        <xdr:cNvPr id="2" name="图片 1"/>
        <xdr:cNvPicPr>
          <a:picLocks noChangeAspect="1"/>
        </xdr:cNvPicPr>
      </xdr:nvPicPr>
      <xdr:blipFill>
        <a:blip xmlns:r="http://schemas.openxmlformats.org/officeDocument/2006/relationships" r:embed="rId1"/>
        <a:stretch>
          <a:fillRect/>
        </a:stretch>
      </xdr:blipFill>
      <xdr:spPr>
        <a:xfrm>
          <a:off x="7391400" y="485317"/>
          <a:ext cx="5770614" cy="4012590"/>
        </a:xfrm>
        <a:prstGeom prst="rect">
          <a:avLst/>
        </a:prstGeom>
      </xdr:spPr>
    </xdr:pic>
    <xdr:clientData/>
  </xdr:twoCellAnchor>
  <xdr:twoCellAnchor editAs="oneCell">
    <xdr:from>
      <xdr:col>0</xdr:col>
      <xdr:colOff>313876</xdr:colOff>
      <xdr:row>2</xdr:row>
      <xdr:rowOff>107950</xdr:rowOff>
    </xdr:from>
    <xdr:to>
      <xdr:col>11</xdr:col>
      <xdr:colOff>388962</xdr:colOff>
      <xdr:row>19</xdr:row>
      <xdr:rowOff>116776</xdr:rowOff>
    </xdr:to>
    <xdr:pic>
      <xdr:nvPicPr>
        <xdr:cNvPr id="6" name="图片 5"/>
        <xdr:cNvPicPr>
          <a:picLocks noChangeAspect="1"/>
        </xdr:cNvPicPr>
      </xdr:nvPicPr>
      <xdr:blipFill>
        <a:blip xmlns:r="http://schemas.openxmlformats.org/officeDocument/2006/relationships" r:embed="rId2"/>
        <a:stretch>
          <a:fillRect/>
        </a:stretch>
      </xdr:blipFill>
      <xdr:spPr>
        <a:xfrm>
          <a:off x="313876" y="463550"/>
          <a:ext cx="6780686" cy="30314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260350</xdr:colOff>
      <xdr:row>2</xdr:row>
      <xdr:rowOff>152729</xdr:rowOff>
    </xdr:from>
    <xdr:to>
      <xdr:col>8</xdr:col>
      <xdr:colOff>514350</xdr:colOff>
      <xdr:row>19</xdr:row>
      <xdr:rowOff>99247</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508329"/>
          <a:ext cx="5130800" cy="2969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298450</xdr:colOff>
      <xdr:row>26</xdr:row>
      <xdr:rowOff>175616</xdr:rowOff>
    </xdr:from>
    <xdr:to>
      <xdr:col>20</xdr:col>
      <xdr:colOff>456262</xdr:colOff>
      <xdr:row>40</xdr:row>
      <xdr:rowOff>28079</xdr:rowOff>
    </xdr:to>
    <xdr:pic>
      <xdr:nvPicPr>
        <xdr:cNvPr id="2" name="图片 1"/>
        <xdr:cNvPicPr>
          <a:picLocks noChangeAspect="1"/>
        </xdr:cNvPicPr>
      </xdr:nvPicPr>
      <xdr:blipFill>
        <a:blip xmlns:r="http://schemas.openxmlformats.org/officeDocument/2006/relationships" r:embed="rId3"/>
        <a:stretch>
          <a:fillRect/>
        </a:stretch>
      </xdr:blipFill>
      <xdr:spPr>
        <a:xfrm>
          <a:off x="8223250" y="4798416"/>
          <a:ext cx="4425012" cy="2341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508000</xdr:colOff>
      <xdr:row>3</xdr:row>
      <xdr:rowOff>158292</xdr:rowOff>
    </xdr:from>
    <xdr:to>
      <xdr:col>10</xdr:col>
      <xdr:colOff>474762</xdr:colOff>
      <xdr:row>14</xdr:row>
      <xdr:rowOff>132876</xdr:rowOff>
    </xdr:to>
    <xdr:pic>
      <xdr:nvPicPr>
        <xdr:cNvPr id="4" name="图片 3"/>
        <xdr:cNvPicPr>
          <a:picLocks noChangeAspect="1"/>
        </xdr:cNvPicPr>
      </xdr:nvPicPr>
      <xdr:blipFill>
        <a:blip xmlns:r="http://schemas.openxmlformats.org/officeDocument/2006/relationships" r:embed="rId1"/>
        <a:stretch>
          <a:fillRect/>
        </a:stretch>
      </xdr:blipFill>
      <xdr:spPr>
        <a:xfrm>
          <a:off x="508000" y="691692"/>
          <a:ext cx="6062762" cy="1930384"/>
        </a:xfrm>
        <a:prstGeom prst="rect">
          <a:avLst/>
        </a:prstGeom>
      </xdr:spPr>
    </xdr:pic>
    <xdr:clientData/>
  </xdr:twoCellAnchor>
  <xdr:twoCellAnchor editAs="oneCell">
    <xdr:from>
      <xdr:col>0</xdr:col>
      <xdr:colOff>482600</xdr:colOff>
      <xdr:row>15</xdr:row>
      <xdr:rowOff>19202</xdr:rowOff>
    </xdr:from>
    <xdr:to>
      <xdr:col>12</xdr:col>
      <xdr:colOff>309659</xdr:colOff>
      <xdr:row>29</xdr:row>
      <xdr:rowOff>5833</xdr:rowOff>
    </xdr:to>
    <xdr:pic>
      <xdr:nvPicPr>
        <xdr:cNvPr id="5" name="图片 4"/>
        <xdr:cNvPicPr>
          <a:picLocks noChangeAspect="1"/>
        </xdr:cNvPicPr>
      </xdr:nvPicPr>
      <xdr:blipFill>
        <a:blip xmlns:r="http://schemas.openxmlformats.org/officeDocument/2006/relationships" r:embed="rId2"/>
        <a:stretch>
          <a:fillRect/>
        </a:stretch>
      </xdr:blipFill>
      <xdr:spPr>
        <a:xfrm>
          <a:off x="482600" y="2686202"/>
          <a:ext cx="7142259" cy="24758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11918</xdr:rowOff>
    </xdr:from>
    <xdr:to>
      <xdr:col>11</xdr:col>
      <xdr:colOff>499908</xdr:colOff>
      <xdr:row>22</xdr:row>
      <xdr:rowOff>2236</xdr:rowOff>
    </xdr:to>
    <xdr:pic>
      <xdr:nvPicPr>
        <xdr:cNvPr id="2" name="图片 1"/>
        <xdr:cNvPicPr>
          <a:picLocks noChangeAspect="1"/>
        </xdr:cNvPicPr>
      </xdr:nvPicPr>
      <xdr:blipFill>
        <a:blip xmlns:r="http://schemas.openxmlformats.org/officeDocument/2006/relationships" r:embed="rId1"/>
        <a:stretch>
          <a:fillRect/>
        </a:stretch>
      </xdr:blipFill>
      <xdr:spPr>
        <a:xfrm>
          <a:off x="304799" y="189718"/>
          <a:ext cx="6900709" cy="37241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886" customWidth="1"/>
    <col min="2" max="2" width="78.1796875" style="2887" customWidth="1"/>
    <col min="3" max="18" width="9" style="2881"/>
    <col min="19" max="19" width="17.90625" style="2881" customWidth="1"/>
    <col min="20" max="51" width="9" style="2881"/>
    <col min="52" max="52" width="13.1796875" style="2881" customWidth="1"/>
    <col min="53" max="53" width="13.453125" style="2881" bestFit="1" customWidth="1"/>
    <col min="54" max="54" width="11.6328125" style="2881" bestFit="1" customWidth="1"/>
    <col min="55" max="55" width="13.453125" style="2881" bestFit="1" customWidth="1"/>
    <col min="56" max="16384" width="9" style="2881"/>
  </cols>
  <sheetData>
    <row r="1" spans="1:55" s="2892" customFormat="1" ht="16" thickBot="1">
      <c r="A1" s="2890" t="s">
        <v>2615</v>
      </c>
      <c r="B1" s="2891" t="s">
        <v>2712</v>
      </c>
    </row>
    <row r="2" spans="1:55" s="2895" customFormat="1" ht="15.5" thickTop="1">
      <c r="A2" s="2893" t="s">
        <v>2619</v>
      </c>
      <c r="B2" s="2894" t="str">
        <f>'预评函-封皮'!B37</f>
        <v>深圳市莱茵达路以北、嘉华路以西出让国有建设用地使用权抵押价格预评估</v>
      </c>
      <c r="AX2" s="2896"/>
      <c r="AZ2" s="2896"/>
      <c r="BA2" s="2897"/>
      <c r="BC2" s="2897"/>
    </row>
    <row r="3" spans="1:55" s="2898" customFormat="1">
      <c r="A3" s="2877" t="s">
        <v>2620</v>
      </c>
      <c r="B3" s="2880">
        <f>'预评函-封皮'!B40</f>
        <v>0</v>
      </c>
    </row>
    <row r="4" spans="1:55" s="2879" customFormat="1">
      <c r="A4" s="2877" t="s">
        <v>2621</v>
      </c>
      <c r="B4" s="2878" t="str">
        <f>'预评函-封皮'!B46</f>
        <v>王鹏、崔锴</v>
      </c>
      <c r="N4" s="2879" t="str">
        <f>'预评函-1'!A28</f>
        <v/>
      </c>
    </row>
    <row r="5" spans="1:55" s="2892" customFormat="1" ht="15.5" thickBot="1">
      <c r="A5" s="2899" t="s">
        <v>2622</v>
      </c>
      <c r="B5" s="2900" t="str">
        <f>'预评函-封皮'!B49</f>
        <v>康正预评字号</v>
      </c>
    </row>
    <row r="6" spans="1:55" s="2901" customFormat="1" ht="15.5" thickTop="1">
      <c r="A6" s="2893" t="s">
        <v>2664</v>
      </c>
      <c r="B6" s="2894" t="str">
        <f>'预评函-1'!A4</f>
        <v>受贵公司委托，我公司对深圳市莱茵达路以北、嘉华路以西出让国有建设用地使用权抵押价格进行了预评估。</v>
      </c>
      <c r="AM6" s="2902"/>
    </row>
    <row r="7" spans="1:55" s="2876" customFormat="1">
      <c r="A7" s="2877" t="s">
        <v>2616</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8" spans="1:55" s="2876" customFormat="1">
      <c r="A8" s="2877" t="s">
        <v>2617</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2667</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2618</v>
      </c>
      <c r="B10" s="2878" t="str">
        <f>'预评函-1'!A11</f>
        <v>2020年3月9日（评估专业人员勘察现场之日）</v>
      </c>
    </row>
    <row r="11" spans="1:55" s="2876" customFormat="1">
      <c r="A11" s="2877" t="s">
        <v>2624</v>
      </c>
      <c r="B11" s="2878" t="str">
        <f>'预评函-1'!A14</f>
        <v>根据，本次评估估价对象证载（地类）用途为。</v>
      </c>
    </row>
    <row r="12" spans="1:55" s="2876" customFormat="1">
      <c r="A12" s="2877" t="s">
        <v>2625</v>
      </c>
      <c r="B12" s="2878" t="str">
        <f>'预评函-1'!A15</f>
        <v>本次评估设定用途即为证载用途商业。</v>
      </c>
    </row>
    <row r="13" spans="1:55" s="2876" customFormat="1">
      <c r="A13" s="2877" t="s">
        <v>2626</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2627</v>
      </c>
      <c r="B14" s="2878" t="str">
        <f>'预评函-1'!A18</f>
        <v>本次评估设定土地开发程度为红线外市政基础设施达“七通”、宗地红线内场地平整。</v>
      </c>
    </row>
    <row r="15" spans="1:55" s="2876" customFormat="1">
      <c r="A15" s="2877" t="s">
        <v>2623</v>
      </c>
      <c r="B15" s="2878" t="str">
        <f>'预评函-1'!A20</f>
        <v>根据《建设用地规划许可证》，估价对象（分摊）出让国有建设用地使用权面积为10423.25平方米。根据《建设用地规划许可证》，估价对象规划建筑面积为124364.83平方米。</v>
      </c>
    </row>
    <row r="16" spans="1:55" s="2876" customFormat="1">
      <c r="A16" s="2877" t="s">
        <v>2628</v>
      </c>
      <c r="B16" s="2878" t="str">
        <f>'预评函-1'!A22</f>
        <v>本次估价对象为出让国有建设用地使用权，证载土地终止日期为商业2059年6月4日、办公2059年6月4日、地下车库2059年6月4日。截至估价期日，出让国有建设用地使用权剩余土地使用年限为。</v>
      </c>
    </row>
    <row r="17" spans="1:48" s="2876" customFormat="1">
      <c r="A17" s="2877" t="s">
        <v>2629</v>
      </c>
      <c r="B17" s="2878" t="str">
        <f>'预评函-1'!A23</f>
        <v>本次评估设定估价对象剩余土地使用年限为。</v>
      </c>
    </row>
    <row r="18" spans="1:48" s="2876" customFormat="1">
      <c r="A18" s="2877" t="s">
        <v>2630</v>
      </c>
      <c r="B18" s="2878" t="str">
        <f>'预评函-1'!A25</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19" spans="1:48" s="2876" customFormat="1">
      <c r="A19" s="2877" t="s">
        <v>2631</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2632</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5" thickBot="1">
      <c r="A21" s="2899" t="s">
        <v>2633</v>
      </c>
      <c r="B21" s="2900" t="str">
        <f>'预评函-1'!A28</f>
        <v/>
      </c>
    </row>
    <row r="22" spans="1:48" ht="15.5" thickTop="1">
      <c r="A22" s="2888" t="s">
        <v>2634</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2635</v>
      </c>
      <c r="B23" s="2878" t="str">
        <f>'预评函-2'!K2</f>
        <v>估价期日：2020年3月9日</v>
      </c>
    </row>
    <row r="24" spans="1:48">
      <c r="A24" s="2877" t="s">
        <v>2636</v>
      </c>
      <c r="B24" s="2878" t="str">
        <f>'预评函-2'!R2</f>
        <v>估价期日的国有建设用地使用权性质：出让</v>
      </c>
    </row>
    <row r="25" spans="1:48">
      <c r="A25" s="2877" t="s">
        <v>2692</v>
      </c>
      <c r="B25" s="2878" t="str">
        <f>'预评函-2'!A3</f>
        <v>估价期日土地使用者</v>
      </c>
    </row>
    <row r="26" spans="1:48">
      <c r="A26" s="2877" t="s">
        <v>2668</v>
      </c>
      <c r="B26" s="2878" t="str">
        <f>'预评函-2'!A5</f>
        <v>中信开发</v>
      </c>
    </row>
    <row r="27" spans="1:48">
      <c r="A27" s="2877" t="s">
        <v>2693</v>
      </c>
      <c r="B27" s="2878" t="str">
        <f>'预评函-2'!B3</f>
        <v>宗地编号/不动产单元号</v>
      </c>
    </row>
    <row r="28" spans="1:48">
      <c r="A28" s="2877" t="s">
        <v>2669</v>
      </c>
      <c r="B28" s="2878" t="str">
        <f>'预评函-2'!B5</f>
        <v>11111111111</v>
      </c>
    </row>
    <row r="29" spans="1:48">
      <c r="A29" s="2877" t="s">
        <v>2695</v>
      </c>
      <c r="B29" s="2878">
        <f>'预评函-2'!C5</f>
        <v>22</v>
      </c>
    </row>
    <row r="30" spans="1:48">
      <c r="A30" s="2877" t="s">
        <v>2696</v>
      </c>
      <c r="B30" s="2878" t="str">
        <f>'预评函-2'!D3</f>
        <v>土地使用证编号/不动产权证书编号</v>
      </c>
    </row>
    <row r="31" spans="1:48">
      <c r="A31" s="2877" t="s">
        <v>2670</v>
      </c>
      <c r="B31" s="2878" t="str">
        <f>'预评函-2'!D5</f>
        <v>京国土字第111号</v>
      </c>
    </row>
    <row r="32" spans="1:48">
      <c r="A32" s="2877" t="s">
        <v>2671</v>
      </c>
      <c r="B32" s="2878">
        <f>'预评函-2'!E5</f>
        <v>0</v>
      </c>
      <c r="AV32" s="2882"/>
    </row>
    <row r="33" spans="1:2">
      <c r="A33" s="2877" t="s">
        <v>2672</v>
      </c>
      <c r="B33" s="2878">
        <f>'预评函-2'!F5</f>
        <v>258</v>
      </c>
    </row>
    <row r="34" spans="1:2">
      <c r="A34" s="2877" t="s">
        <v>2673</v>
      </c>
      <c r="B34" s="2878" t="str">
        <f>'预评函-2'!G5</f>
        <v>商业</v>
      </c>
    </row>
    <row r="35" spans="1:2">
      <c r="A35" s="2877" t="s">
        <v>2674</v>
      </c>
      <c r="B35" s="2878">
        <f>'预评函-2'!H5</f>
        <v>1.5</v>
      </c>
    </row>
    <row r="36" spans="1:2">
      <c r="A36" s="2877" t="s">
        <v>2675</v>
      </c>
      <c r="B36" s="2878">
        <f>'预评函-2'!I5</f>
        <v>1.5</v>
      </c>
    </row>
    <row r="37" spans="1:2">
      <c r="A37" s="2877" t="s">
        <v>2676</v>
      </c>
      <c r="B37" s="2878">
        <f>'预评函-2'!J5</f>
        <v>1.5</v>
      </c>
    </row>
    <row r="38" spans="1:2">
      <c r="A38" s="2877" t="s">
        <v>2677</v>
      </c>
      <c r="B38" s="2878" t="str">
        <f>'预评函-2'!K5</f>
        <v>红线外七通、宗地红线内场地平整</v>
      </c>
    </row>
    <row r="39" spans="1:2">
      <c r="A39" s="2877" t="s">
        <v>2678</v>
      </c>
      <c r="B39" s="2878" t="str">
        <f>'预评函-2'!L5</f>
        <v>红线外七通、宗地红线内场地平整</v>
      </c>
    </row>
    <row r="40" spans="1:2">
      <c r="A40" s="2877" t="s">
        <v>2697</v>
      </c>
      <c r="B40" s="2878" t="str">
        <f>'预评函-2'!M3</f>
        <v>（剩余）土地使用年限/年</v>
      </c>
    </row>
    <row r="41" spans="1:2">
      <c r="A41" s="2877" t="s">
        <v>2679</v>
      </c>
      <c r="B41" s="2878">
        <f>'预评函-2'!M5</f>
        <v>0</v>
      </c>
    </row>
    <row r="42" spans="1:2">
      <c r="A42" s="2877" t="s">
        <v>2698</v>
      </c>
      <c r="B42" s="2878" t="str">
        <f>'预评函-2'!N3</f>
        <v>（分摊）出让国有建设用地使用权面积/㎡</v>
      </c>
    </row>
    <row r="43" spans="1:2">
      <c r="A43" s="2877" t="s">
        <v>2680</v>
      </c>
      <c r="B43" s="2878">
        <f>'预评函-2'!N5</f>
        <v>10423.25</v>
      </c>
    </row>
    <row r="44" spans="1:2">
      <c r="A44" s="2877" t="s">
        <v>2699</v>
      </c>
      <c r="B44" s="2878" t="str">
        <f>'预评函-2'!O3</f>
        <v>规划建筑面积/㎡</v>
      </c>
    </row>
    <row r="45" spans="1:2">
      <c r="A45" s="2877" t="s">
        <v>2681</v>
      </c>
      <c r="B45" s="2878">
        <f>'预评函-2'!O5</f>
        <v>124364.83</v>
      </c>
    </row>
    <row r="46" spans="1:2">
      <c r="A46" s="2877" t="s">
        <v>2682</v>
      </c>
      <c r="B46" s="2878">
        <f ca="1">'预评函-2'!P5</f>
        <v>417919</v>
      </c>
    </row>
    <row r="47" spans="1:2">
      <c r="A47" s="2877" t="s">
        <v>2683</v>
      </c>
      <c r="B47" s="2878">
        <f ca="1">'预评函-2'!Q5</f>
        <v>35027</v>
      </c>
    </row>
    <row r="48" spans="1:2">
      <c r="A48" s="2877" t="s">
        <v>2684</v>
      </c>
      <c r="B48" s="2878">
        <f ca="1">'预评函-2'!R5</f>
        <v>435607</v>
      </c>
    </row>
    <row r="49" spans="1:2">
      <c r="A49" s="2877" t="s">
        <v>2700</v>
      </c>
      <c r="B49" s="2878" t="str">
        <f>'预评函-2'!A6</f>
        <v>抵押价格</v>
      </c>
    </row>
    <row r="50" spans="1:2">
      <c r="A50" s="2877" t="s">
        <v>2685</v>
      </c>
      <c r="B50" s="2878">
        <f ca="1">'预评函-2'!R6</f>
        <v>435607</v>
      </c>
    </row>
    <row r="51" spans="1:2">
      <c r="A51" s="2877" t="s">
        <v>2701</v>
      </c>
      <c r="B51" s="2878" t="str">
        <f>'预评函-2'!A7</f>
        <v>——</v>
      </c>
    </row>
    <row r="52" spans="1:2">
      <c r="A52" s="2877" t="s">
        <v>2686</v>
      </c>
      <c r="B52" s="2878" t="str">
        <f>'预评函-2'!R7</f>
        <v>——</v>
      </c>
    </row>
    <row r="53" spans="1:2">
      <c r="A53" s="2877" t="s">
        <v>2702</v>
      </c>
      <c r="B53" s="2878" t="str">
        <f>'预评函-2'!A8</f>
        <v>——</v>
      </c>
    </row>
    <row r="54" spans="1:2" s="2892" customFormat="1" ht="15.5" thickBot="1">
      <c r="A54" s="2899" t="s">
        <v>2687</v>
      </c>
      <c r="B54" s="2900" t="str">
        <f>'预评函-2'!R8</f>
        <v>——</v>
      </c>
    </row>
    <row r="55" spans="1:2" ht="15.5" thickTop="1">
      <c r="A55" s="2888" t="s">
        <v>2637</v>
      </c>
      <c r="B55" s="2889" t="str">
        <f>'预评函-3'!A2</f>
        <v>1.权利限制：根据估价对象《不动产权证书》——、《国有土地使用权》——，截至估价期日，估价对象抵押权未见登记。未设定租赁等其他他项权利。</v>
      </c>
    </row>
    <row r="56" spans="1:2">
      <c r="A56" s="2877" t="s">
        <v>2638</v>
      </c>
      <c r="B56" s="2878" t="str">
        <f>'预评函-3'!A3</f>
        <v>2.基础设施条件：估价对象实际开发程度为红线外七通、宗地红线内场地平整；本次评估设定开发程度为红线外七通、宗地红线内场地平整。</v>
      </c>
    </row>
    <row r="57" spans="1:2">
      <c r="A57" s="2877" t="s">
        <v>2639</v>
      </c>
      <c r="B57" s="2878" t="str">
        <f>'预评函-3'!A4</f>
        <v>3.估价规划限制条件：详见《建设用地规划许可证》。</v>
      </c>
    </row>
    <row r="58" spans="1:2" s="2892" customFormat="1" ht="15.5" thickBot="1">
      <c r="A58" s="2899" t="s">
        <v>2688</v>
      </c>
      <c r="B58" s="2900" t="str">
        <f>'预评函-3'!A5</f>
        <v>4.影响价格的其他限定条件：无。</v>
      </c>
    </row>
    <row r="59" spans="1:2" ht="15.5" thickTop="1">
      <c r="A59" s="2888" t="s">
        <v>2640</v>
      </c>
      <c r="B59" s="2889" t="str">
        <f>'预评函-3'!A8</f>
        <v>2.本《评估意见函》仅供金融机构进行内部审核使用，不做其他目的之用。</v>
      </c>
    </row>
    <row r="60" spans="1:2">
      <c r="A60" s="2877" t="s">
        <v>2641</v>
      </c>
      <c r="B60" s="2878" t="str">
        <f>'预评函-3'!A9</f>
        <v>3.抵押双方在办理抵押登记手续时，应使用本公司出具的正式《土地估价报告》，特提请报告使用者注意。</v>
      </c>
    </row>
    <row r="61" spans="1:2">
      <c r="A61" s="2877" t="s">
        <v>2643</v>
      </c>
      <c r="B61" s="2878" t="str">
        <f>'预评函-3'!A10</f>
        <v>4.估价师所知悉的法定优先受偿款情况为：</v>
      </c>
    </row>
    <row r="62" spans="1:2">
      <c r="A62" s="2877" t="s">
        <v>2642</v>
      </c>
      <c r="B62" s="2878" t="str">
        <f>'预评函-3'!A11</f>
        <v>（1）根据估价对象《不动产权证书》——、《国有土地使用权》——，截至估价期日，估价对象抵押权未见登记。</v>
      </c>
    </row>
    <row r="63" spans="1:2">
      <c r="A63" s="2877" t="s">
        <v>2644</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2645</v>
      </c>
      <c r="B64" s="2883" t="str">
        <f>'预评函-3'!A13</f>
        <v>（3）。</v>
      </c>
    </row>
    <row r="65" spans="1:2">
      <c r="A65" s="2877" t="s">
        <v>2646</v>
      </c>
      <c r="B65" s="2884" t="str">
        <f>'预评函-3'!A14</f>
        <v>综上，本次评估不存在估价师知悉的法定优先受偿款</v>
      </c>
    </row>
    <row r="66" spans="1:2">
      <c r="A66" s="2877" t="s">
        <v>2647</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2648</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5" thickBot="1">
      <c r="A68" s="2899" t="s">
        <v>2651</v>
      </c>
      <c r="B68" s="2903">
        <f>'预评函-3'!D30</f>
        <v>42558</v>
      </c>
    </row>
    <row r="69" spans="1:2" ht="15.5" thickTop="1">
      <c r="A69" s="2888" t="s">
        <v>2649</v>
      </c>
      <c r="B69" s="2889" t="str">
        <f>'预评函-3'!A20</f>
        <v>王鹏</v>
      </c>
    </row>
    <row r="70" spans="1:2">
      <c r="A70" s="2877" t="s">
        <v>2649</v>
      </c>
      <c r="B70" s="2884">
        <f ca="1">'预评函-3'!B20</f>
        <v>2002110030</v>
      </c>
    </row>
    <row r="71" spans="1:2">
      <c r="A71" s="2877" t="s">
        <v>2650</v>
      </c>
      <c r="B71" s="2878" t="str">
        <f>'预评函-3'!A21</f>
        <v>崔锴</v>
      </c>
    </row>
    <row r="72" spans="1:2" s="2892" customFormat="1" ht="15.5" thickBot="1">
      <c r="A72" s="2899" t="s">
        <v>2650</v>
      </c>
      <c r="B72" s="2905">
        <f ca="1">'预评函-3'!B21</f>
        <v>2010110070</v>
      </c>
    </row>
    <row r="73" spans="1:2" ht="15.5" thickTop="1">
      <c r="A73" s="2888" t="s">
        <v>2709</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2710</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5" thickBot="1">
      <c r="A75" s="2899" t="s">
        <v>2711</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86" t="s">
        <v>2746</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11" sqref="L11"/>
    </sheetView>
  </sheetViews>
  <sheetFormatPr defaultColWidth="10" defaultRowHeight="15"/>
  <cols>
    <col min="1" max="1" width="15.36328125" style="1689" customWidth="1"/>
    <col min="2" max="2" width="11.36328125" style="1689" customWidth="1"/>
    <col min="3" max="3" width="12.6328125" style="1689" customWidth="1"/>
    <col min="4" max="4" width="12.36328125" style="1689" customWidth="1"/>
    <col min="5" max="5" width="12.453125" style="1689" customWidth="1"/>
    <col min="6" max="6" width="11.36328125" style="1689" customWidth="1"/>
    <col min="7" max="7" width="12.36328125" style="1689" customWidth="1"/>
    <col min="8" max="8" width="10" style="1689" customWidth="1"/>
    <col min="9" max="9" width="12.453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5" thickBot="1">
      <c r="A1" s="1657" t="s">
        <v>1901</v>
      </c>
      <c r="B1" s="3249" t="str">
        <f>IF(B10="北京市","北京市",C10)&amp;F10&amp;B16&amp;"国有建设用地使用权"&amp;B9&amp;"预评估"</f>
        <v>深圳市莱茵达路以北、嘉华路以西出让国有建设用地使用权抵押价格预评估</v>
      </c>
      <c r="C1" s="3250"/>
      <c r="D1" s="3250"/>
      <c r="E1" s="3250"/>
      <c r="F1" s="3250"/>
      <c r="G1" s="3250"/>
      <c r="H1" s="3250"/>
      <c r="I1" s="3251"/>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43899</v>
      </c>
      <c r="C3" s="1661" t="s">
        <v>1958</v>
      </c>
      <c r="D3" s="1660">
        <f>B3</f>
        <v>43899</v>
      </c>
      <c r="E3" s="1692"/>
      <c r="F3" s="1692"/>
      <c r="G3" s="1692"/>
      <c r="H3" s="1658"/>
      <c r="I3" s="1693"/>
      <c r="J3" s="1692"/>
      <c r="K3" s="1772"/>
      <c r="L3" s="1721"/>
      <c r="M3" s="1721"/>
      <c r="N3" s="1692"/>
      <c r="O3" s="1693"/>
      <c r="P3" s="1692"/>
      <c r="Q3" s="1692"/>
      <c r="R3" s="1692"/>
      <c r="S3" s="1692"/>
      <c r="T3" s="1692"/>
      <c r="U3" s="1692"/>
    </row>
    <row r="4" spans="1:21" ht="15.5" thickBot="1">
      <c r="A4" s="1662" t="s">
        <v>1904</v>
      </c>
      <c r="B4" s="1841" t="s">
        <v>2969</v>
      </c>
      <c r="C4" s="1844">
        <f ca="1">SUMIF(土地估价师,B4,估价师及机构信息!E3:E24)</f>
        <v>2002110030</v>
      </c>
      <c r="D4" s="1841" t="s">
        <v>2970</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5.5"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8">
      <c r="A6" s="1661" t="s">
        <v>2665</v>
      </c>
      <c r="B6" s="1787" t="s">
        <v>2985</v>
      </c>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2666</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2941</v>
      </c>
      <c r="C8" s="1669"/>
      <c r="D8" s="3255" t="s">
        <v>1908</v>
      </c>
      <c r="E8" s="1842" t="s">
        <v>2940</v>
      </c>
      <c r="F8" s="1670"/>
      <c r="G8" s="1658"/>
      <c r="H8" s="1658"/>
      <c r="I8" s="1705"/>
      <c r="J8" s="1692"/>
      <c r="K8" s="1772"/>
      <c r="L8" s="1721"/>
      <c r="M8" s="1721"/>
      <c r="N8" s="1692"/>
      <c r="O8" s="1693"/>
      <c r="P8" s="1692"/>
      <c r="Q8" s="1692"/>
      <c r="R8" s="1692"/>
      <c r="S8" s="1692"/>
      <c r="T8" s="1692"/>
      <c r="U8" s="1692"/>
    </row>
    <row r="9" spans="1:21" ht="15.5" thickBot="1">
      <c r="A9" s="1671" t="s">
        <v>1907</v>
      </c>
      <c r="B9" s="1672" t="s">
        <v>2940</v>
      </c>
      <c r="C9" s="1673"/>
      <c r="D9" s="3256"/>
      <c r="E9" s="1672" t="s">
        <v>917</v>
      </c>
      <c r="F9" s="1745"/>
      <c r="G9" s="1740"/>
      <c r="H9" s="1740"/>
      <c r="I9" s="1741"/>
      <c r="J9" s="1692"/>
      <c r="K9" s="1772"/>
      <c r="L9" s="1721"/>
      <c r="M9" s="1721"/>
      <c r="N9" s="1692"/>
      <c r="O9" s="1693"/>
      <c r="P9" s="1692"/>
      <c r="Q9" s="1692"/>
      <c r="R9" s="1692"/>
      <c r="S9" s="1692"/>
      <c r="T9" s="1692"/>
      <c r="U9" s="1692"/>
    </row>
    <row r="10" spans="1:21" ht="15.5" thickTop="1">
      <c r="A10" s="1742" t="s">
        <v>1961</v>
      </c>
      <c r="B10" s="1717" t="s">
        <v>2942</v>
      </c>
      <c r="C10" s="1674" t="s">
        <v>2972</v>
      </c>
      <c r="D10" s="1665"/>
      <c r="E10" s="1675" t="s">
        <v>1910</v>
      </c>
      <c r="F10" s="1676" t="s">
        <v>2973</v>
      </c>
      <c r="G10" s="1743"/>
      <c r="H10" s="1744"/>
      <c r="I10" s="1665"/>
      <c r="J10" s="1692"/>
      <c r="K10" s="1772"/>
      <c r="L10" s="1721"/>
      <c r="M10" s="1721"/>
      <c r="N10" s="1692"/>
      <c r="O10" s="1693"/>
      <c r="P10" s="1692"/>
      <c r="Q10" s="1692"/>
      <c r="R10" s="1692"/>
      <c r="S10" s="1692"/>
      <c r="T10" s="1692"/>
      <c r="U10" s="1692"/>
    </row>
    <row r="11" spans="1:21">
      <c r="A11" s="1695" t="s">
        <v>1962</v>
      </c>
      <c r="B11" s="1696" t="s">
        <v>2943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52"/>
      <c r="C12" s="3253"/>
      <c r="D12" s="3254"/>
      <c r="E12" s="1697" t="s">
        <v>2023</v>
      </c>
      <c r="F12" s="3270"/>
      <c r="G12" s="3271"/>
      <c r="H12" s="3271"/>
      <c r="I12" s="3272"/>
      <c r="J12" s="1692"/>
      <c r="K12" s="1772"/>
      <c r="L12" s="1721"/>
      <c r="M12" s="1721"/>
      <c r="N12" s="1692"/>
      <c r="O12" s="1693"/>
      <c r="P12" s="1692"/>
      <c r="Q12" s="1692"/>
      <c r="R12" s="1692"/>
      <c r="S12" s="1692"/>
      <c r="T12" s="1692"/>
      <c r="U12" s="1692"/>
    </row>
    <row r="13" spans="1:21">
      <c r="A13" s="1685" t="s">
        <v>2021</v>
      </c>
      <c r="B13" s="3252" t="s">
        <v>2974</v>
      </c>
      <c r="C13" s="3253"/>
      <c r="D13" s="3254"/>
      <c r="E13" s="1697" t="s">
        <v>2023</v>
      </c>
      <c r="F13" s="3270" t="s">
        <v>2975</v>
      </c>
      <c r="G13" s="3271"/>
      <c r="H13" s="3271"/>
      <c r="I13" s="3272"/>
      <c r="J13" s="1692"/>
      <c r="K13" s="1772"/>
      <c r="L13" s="1721"/>
      <c r="M13" s="1721"/>
      <c r="N13" s="1692"/>
      <c r="O13" s="1693"/>
      <c r="P13" s="1692"/>
      <c r="Q13" s="1692"/>
      <c r="R13" s="1692"/>
      <c r="S13" s="1692"/>
      <c r="T13" s="1692"/>
      <c r="U13" s="1692"/>
    </row>
    <row r="14" spans="1:21">
      <c r="A14" s="1659" t="s">
        <v>2024</v>
      </c>
      <c r="B14" s="1697"/>
      <c r="C14" s="1843" t="s">
        <v>2939</v>
      </c>
      <c r="D14" s="1731" t="str">
        <f>IF(C14="不一致","是否符合证载地类范围","")</f>
        <v/>
      </c>
      <c r="E14" s="1697"/>
      <c r="F14" s="1788" t="s">
        <v>2938</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5">
      <c r="A16" s="1678" t="s">
        <v>1911</v>
      </c>
      <c r="B16" s="1679" t="s">
        <v>2937</v>
      </c>
      <c r="C16" s="1697" t="s">
        <v>1912</v>
      </c>
      <c r="D16" s="2645" t="s">
        <v>1913</v>
      </c>
      <c r="E16" s="1720" t="s">
        <v>2932</v>
      </c>
      <c r="F16" s="1720" t="s">
        <v>1642</v>
      </c>
      <c r="G16" s="1720" t="s">
        <v>34</v>
      </c>
      <c r="H16" s="1720"/>
      <c r="I16" s="1684" t="s">
        <v>1918</v>
      </c>
      <c r="J16" s="1692"/>
      <c r="K16" s="2455" t="str">
        <f>IF(D17="","",D16&amp;TEXT(D17,"yyyy年m月d日;;"))</f>
        <v/>
      </c>
      <c r="L16" s="1697" t="str">
        <f>IF(OR(K16="",M16=""),"","、")</f>
        <v/>
      </c>
      <c r="M16" s="2455" t="str">
        <f>IF(E17="","",E16&amp;TEXT(E17,"yyyy年m月d日;;"))</f>
        <v>商业2059年6月4日</v>
      </c>
      <c r="N16" s="1697" t="str">
        <f>IF(OR(M16="",O16=""),"","、")</f>
        <v>、</v>
      </c>
      <c r="O16" s="2455" t="str">
        <f>IF(F17="","",F16&amp;TEXT(F17,"yyyy年m月d日;;"))</f>
        <v>办公2059年6月4日</v>
      </c>
      <c r="P16" s="1697" t="str">
        <f>IF(OR(O16="",Q16=""),"","、")</f>
        <v>、</v>
      </c>
      <c r="Q16" s="2455" t="str">
        <f>IF(G17="","",G16&amp;TEXT(G17,"yyyy年m月d日;;"))</f>
        <v>地下车库2059年6月4日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58230</v>
      </c>
      <c r="F17" s="1698">
        <f>E17</f>
        <v>58230</v>
      </c>
      <c r="G17" s="1698">
        <f>E17</f>
        <v>58230</v>
      </c>
      <c r="H17" s="1698"/>
      <c r="I17" s="1698"/>
      <c r="J17" s="1692"/>
      <c r="K17" s="2454" t="str">
        <f>CONCATENATE(K16,L16,M16,N16,O16,P16,Q16,R16,S16,T16,,U16)</f>
        <v>商业2059年6月4日、办公2059年6月4日、地下车库2059年6月4日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39.26</v>
      </c>
      <c r="F19" s="1683">
        <f>IF(B16="出让",IF(F17="","",ROUNDDOWN(MIN((F17-$D$3)/365,F18),2)),F18)</f>
        <v>39.26</v>
      </c>
      <c r="G19" s="1683">
        <f>IF(B16="出让",IF(G17="","",ROUNDDOWN(MIN((G17-$D$3)/365,G18),2)),G18)</f>
        <v>39.26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67"/>
      <c r="E20" s="3268"/>
      <c r="F20" s="3268"/>
      <c r="G20" s="3268"/>
      <c r="H20" s="3268"/>
      <c r="I20" s="3269"/>
      <c r="J20" s="1692"/>
      <c r="K20" s="1772"/>
      <c r="L20" s="1721"/>
      <c r="M20" s="1721"/>
      <c r="N20" s="1692"/>
      <c r="O20" s="1693"/>
      <c r="P20" s="1692"/>
      <c r="Q20" s="1692"/>
      <c r="R20" s="1692"/>
      <c r="S20" s="1692"/>
      <c r="T20" s="1692"/>
      <c r="U20" s="1692"/>
    </row>
    <row r="21" spans="1:21">
      <c r="A21" s="1761" t="s">
        <v>1922</v>
      </c>
      <c r="B21" s="1762" t="s">
        <v>1923</v>
      </c>
      <c r="C21" s="1757">
        <f>'数据-汇总表'!E3</f>
        <v>124364.83</v>
      </c>
      <c r="D21" s="1758" t="s">
        <v>1924</v>
      </c>
      <c r="E21" s="3257" t="s">
        <v>2976</v>
      </c>
      <c r="F21" s="3258"/>
      <c r="G21" s="3258"/>
      <c r="H21" s="3258"/>
      <c r="I21" s="3259"/>
      <c r="J21" s="1692"/>
      <c r="K21" s="1772"/>
      <c r="L21" s="1721"/>
      <c r="M21" s="1721"/>
      <c r="N21" s="1692"/>
      <c r="O21" s="1693"/>
      <c r="P21" s="1692"/>
      <c r="Q21" s="1692"/>
      <c r="R21" s="1692"/>
      <c r="S21" s="1692"/>
      <c r="T21" s="1692"/>
      <c r="U21" s="1692"/>
    </row>
    <row r="22" spans="1:21">
      <c r="A22" s="3145" t="s">
        <v>917</v>
      </c>
      <c r="B22" s="1659" t="s">
        <v>1925</v>
      </c>
      <c r="C22" s="1684">
        <f>'数据-汇总表'!D3</f>
        <v>10423.25</v>
      </c>
      <c r="D22" s="1685" t="s">
        <v>1924</v>
      </c>
      <c r="E22" s="3257" t="s">
        <v>2976</v>
      </c>
      <c r="F22" s="3258"/>
      <c r="G22" s="3258"/>
      <c r="H22" s="3258"/>
      <c r="I22" s="3259"/>
      <c r="J22" s="1692"/>
      <c r="K22" s="1772"/>
      <c r="L22" s="1721"/>
      <c r="M22" s="1721"/>
      <c r="N22" s="1692"/>
      <c r="O22" s="1693"/>
      <c r="P22" s="1692"/>
      <c r="Q22" s="1692"/>
      <c r="R22" s="1692"/>
      <c r="S22" s="1692"/>
      <c r="T22" s="1692"/>
      <c r="U22" s="1692"/>
    </row>
    <row r="23" spans="1:21" ht="45.5" thickBot="1">
      <c r="A23" s="1763" t="s">
        <v>1926</v>
      </c>
      <c r="B23" s="1699" t="s">
        <v>1927</v>
      </c>
      <c r="C23" s="1700" t="s">
        <v>2944</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60" t="s">
        <v>1930</v>
      </c>
      <c r="C24" s="3261"/>
      <c r="D24" s="3262" t="s">
        <v>1931</v>
      </c>
      <c r="E24" s="3263"/>
      <c r="F24" s="1706" t="s">
        <v>1932</v>
      </c>
      <c r="G24" s="1692"/>
      <c r="H24" s="1692"/>
      <c r="I24" s="1705"/>
      <c r="J24" s="1692"/>
      <c r="K24" s="3248"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30">
      <c r="A25" s="1749"/>
      <c r="B25" s="1746" t="s">
        <v>2287</v>
      </c>
      <c r="C25" s="1707" t="s">
        <v>917</v>
      </c>
      <c r="D25" s="1708"/>
      <c r="E25" s="1709" t="s">
        <v>917</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45.5" thickBot="1">
      <c r="A26" s="1750"/>
      <c r="B26" s="1747" t="s">
        <v>1934</v>
      </c>
      <c r="C26" s="1707" t="s">
        <v>917</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5.5"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5.5" thickTop="1">
      <c r="A31" s="3275" t="s">
        <v>1963</v>
      </c>
      <c r="B31" s="1762" t="s">
        <v>1964</v>
      </c>
      <c r="C31" s="3273" t="s">
        <v>2977</v>
      </c>
      <c r="D31" s="3274"/>
      <c r="E31" s="1692"/>
      <c r="F31" s="1692"/>
      <c r="G31" s="1692"/>
      <c r="H31" s="1692"/>
      <c r="I31" s="1705"/>
      <c r="J31" s="1692"/>
      <c r="K31" s="2457"/>
      <c r="L31" s="1692"/>
      <c r="M31" s="1692"/>
      <c r="N31" s="1692"/>
      <c r="O31" s="1692"/>
      <c r="P31" s="1692"/>
      <c r="Q31" s="1692"/>
      <c r="R31" s="1692"/>
      <c r="S31" s="1692"/>
      <c r="T31" s="1692"/>
      <c r="U31" s="1692"/>
    </row>
    <row r="32" spans="1:21">
      <c r="A32" s="3275"/>
      <c r="B32" s="1659" t="s">
        <v>1965</v>
      </c>
      <c r="C32" s="1717" t="s">
        <v>2945</v>
      </c>
      <c r="D32" s="1718"/>
      <c r="E32" s="1692"/>
      <c r="F32" s="1692"/>
      <c r="G32" s="1692"/>
      <c r="H32" s="1692"/>
      <c r="I32" s="1705"/>
      <c r="J32" s="1692"/>
      <c r="K32" s="2457"/>
      <c r="L32" s="1692"/>
      <c r="M32" s="1692"/>
      <c r="N32" s="1692"/>
      <c r="O32" s="1692"/>
      <c r="P32" s="1692"/>
      <c r="Q32" s="1692"/>
      <c r="R32" s="1692"/>
      <c r="S32" s="1692"/>
      <c r="T32" s="1692"/>
      <c r="U32" s="1692"/>
    </row>
    <row r="33" spans="1:21">
      <c r="A33" s="3275"/>
      <c r="B33" s="1659" t="s">
        <v>1966</v>
      </c>
      <c r="C33" s="1719" t="s">
        <v>2944</v>
      </c>
      <c r="D33" s="1836"/>
      <c r="E33" s="1692"/>
      <c r="F33" s="1692"/>
      <c r="G33" s="1692"/>
      <c r="H33" s="1692"/>
      <c r="I33" s="1705"/>
      <c r="J33" s="1692"/>
      <c r="K33" s="2457"/>
      <c r="L33" s="1692"/>
      <c r="M33" s="1692"/>
      <c r="N33" s="1692"/>
      <c r="O33" s="1692"/>
      <c r="P33" s="1692"/>
      <c r="Q33" s="1692"/>
      <c r="R33" s="1692"/>
      <c r="S33" s="1692"/>
      <c r="T33" s="1692"/>
      <c r="U33" s="1692"/>
    </row>
    <row r="34" spans="1:21">
      <c r="A34" s="3276"/>
      <c r="B34" s="1659" t="s">
        <v>1967</v>
      </c>
      <c r="C34" s="3277"/>
      <c r="D34" s="3278"/>
      <c r="E34" s="1692"/>
      <c r="F34" s="1692"/>
      <c r="G34" s="1692"/>
      <c r="H34" s="1692"/>
      <c r="I34" s="1705"/>
      <c r="J34" s="1692"/>
      <c r="K34" s="2457"/>
      <c r="L34" s="1692"/>
      <c r="M34" s="1692"/>
      <c r="N34" s="1692"/>
      <c r="O34" s="1692"/>
      <c r="P34" s="1692"/>
      <c r="Q34" s="1692"/>
      <c r="R34" s="1692"/>
      <c r="S34" s="1692"/>
      <c r="T34" s="1692"/>
      <c r="U34" s="1692"/>
    </row>
    <row r="35" spans="1:21">
      <c r="A35" s="3279" t="s">
        <v>812</v>
      </c>
      <c r="B35" s="1720" t="s">
        <v>2946</v>
      </c>
      <c r="C35" s="1774" t="str">
        <f>IF(B35="场地平整","——","具体情况：")</f>
        <v>——</v>
      </c>
      <c r="D35" s="3281"/>
      <c r="E35" s="3282"/>
      <c r="F35" s="3282"/>
      <c r="G35" s="3282"/>
      <c r="H35" s="3282"/>
      <c r="I35" s="3283"/>
      <c r="J35" s="1692"/>
      <c r="K35" s="1773"/>
      <c r="L35" s="1721"/>
      <c r="M35" s="1721"/>
      <c r="N35" s="1692"/>
      <c r="O35" s="1693"/>
      <c r="P35" s="1692"/>
      <c r="Q35" s="1692"/>
      <c r="R35" s="1692"/>
      <c r="S35" s="1692"/>
      <c r="T35" s="1692"/>
      <c r="U35" s="1692"/>
    </row>
    <row r="36" spans="1:21">
      <c r="A36" s="3275"/>
      <c r="B36" s="3284" t="s">
        <v>2016</v>
      </c>
      <c r="C36" s="3285"/>
      <c r="D36" s="1790" t="s">
        <v>2947</v>
      </c>
      <c r="E36" s="3286"/>
      <c r="F36" s="3286"/>
      <c r="G36" s="1685" t="str">
        <f>IF(B35="场地未平整","估价结果处理","")</f>
        <v/>
      </c>
      <c r="H36" s="3287"/>
      <c r="I36" s="3287"/>
      <c r="J36" s="1692"/>
      <c r="K36" s="1773"/>
      <c r="L36" s="1721"/>
      <c r="M36" s="1721"/>
      <c r="N36" s="1692"/>
      <c r="O36" s="1693"/>
      <c r="P36" s="1692"/>
      <c r="Q36" s="1692"/>
      <c r="R36" s="1692"/>
      <c r="S36" s="1692"/>
      <c r="T36" s="1692"/>
      <c r="U36" s="1692"/>
    </row>
    <row r="37" spans="1:21" ht="30">
      <c r="A37" s="3275"/>
      <c r="B37" s="3264"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75"/>
      <c r="B38" s="3265"/>
      <c r="C38" s="1667" t="s">
        <v>815</v>
      </c>
      <c r="D38" s="1789">
        <f>ROUNDDOWN(MIN(('数据-取费表'!$B$2-D37)/365,D34),1)</f>
        <v>120.2</v>
      </c>
      <c r="E38" s="1725" t="s">
        <v>816</v>
      </c>
      <c r="F38" s="1692"/>
      <c r="G38" s="1692"/>
      <c r="H38" s="1692"/>
      <c r="I38" s="1705"/>
      <c r="J38" s="1692"/>
      <c r="K38" s="1773"/>
      <c r="L38" s="1692"/>
      <c r="M38" s="1692"/>
      <c r="N38" s="1692"/>
      <c r="O38" s="1692"/>
      <c r="P38" s="1692"/>
      <c r="Q38" s="1692"/>
      <c r="R38" s="1692"/>
      <c r="S38" s="1692"/>
      <c r="T38" s="1692"/>
      <c r="U38" s="1692"/>
    </row>
    <row r="39" spans="1:21">
      <c r="A39" s="3276"/>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2948</v>
      </c>
      <c r="C40" s="1688" t="s">
        <v>2949</v>
      </c>
      <c r="D40" s="1688" t="s">
        <v>2950</v>
      </c>
      <c r="E40" s="1688" t="s">
        <v>2951</v>
      </c>
      <c r="F40" s="1688" t="s">
        <v>2951</v>
      </c>
      <c r="G40" s="1688" t="s">
        <v>2952</v>
      </c>
      <c r="H40" s="1688" t="s">
        <v>2953</v>
      </c>
      <c r="I40" s="1705"/>
      <c r="J40" s="1692"/>
      <c r="K40" s="1728">
        <f>COUNTIF(B40:H40,"——")</f>
        <v>0</v>
      </c>
      <c r="L40" s="1697" t="s">
        <v>1941</v>
      </c>
      <c r="M40" s="1694" t="s">
        <v>1942</v>
      </c>
      <c r="N40" s="1694" t="s">
        <v>1943</v>
      </c>
      <c r="O40" s="1694" t="s">
        <v>1944</v>
      </c>
      <c r="P40" s="1694" t="s">
        <v>1945</v>
      </c>
      <c r="Q40" s="1694" t="s">
        <v>1946</v>
      </c>
      <c r="R40" s="1694" t="s">
        <v>1947</v>
      </c>
      <c r="S40" s="3247" t="s">
        <v>1948</v>
      </c>
      <c r="T40" s="1729" t="str">
        <f>NUMBERSTRING(7-K40,1)&amp;"通"</f>
        <v>七通</v>
      </c>
      <c r="U40" s="1692"/>
    </row>
    <row r="41" spans="1:21">
      <c r="A41" s="1661"/>
      <c r="B41" s="3280" t="s">
        <v>1683</v>
      </c>
      <c r="C41" s="3280"/>
      <c r="D41" s="3280"/>
      <c r="E41" s="3280"/>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47"/>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5" thickBot="1">
      <c r="A45" s="3072" t="s">
        <v>2847</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5">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5" sqref="B25"/>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2" width="9.453125" style="15" customWidth="1"/>
    <col min="13" max="13" width="10.90625" style="15" customWidth="1"/>
    <col min="14" max="14" width="9.453125" style="15" customWidth="1"/>
    <col min="15" max="15" width="9.90625" style="15" customWidth="1"/>
    <col min="16" max="16" width="9.81640625" style="15" customWidth="1"/>
    <col min="17" max="17" width="9.36328125" style="15" customWidth="1"/>
    <col min="18" max="18" width="9.1796875" style="15" customWidth="1"/>
    <col min="19" max="19" width="10.90625" style="15" customWidth="1"/>
    <col min="20" max="21" width="10.81640625" style="15" customWidth="1"/>
    <col min="22" max="22" width="10.90625" style="15" customWidth="1"/>
    <col min="23" max="27" width="10.81640625" style="15" customWidth="1"/>
    <col min="28" max="28" width="10.90625" style="15" customWidth="1"/>
    <col min="29" max="29" width="11" style="15" bestFit="1" customWidth="1"/>
    <col min="30" max="30" width="10" style="15" bestFit="1" customWidth="1"/>
    <col min="31" max="31" width="9.81640625" style="15" customWidth="1"/>
    <col min="32" max="39" width="9.453125" style="15" customWidth="1"/>
    <col min="40" max="40" width="11.453125" style="15" customWidth="1"/>
    <col min="41"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5">
      <c r="A3" s="21">
        <v>10423.25</v>
      </c>
      <c r="B3" s="22">
        <f>IF(C3="否",G5-AT5,G5)</f>
        <v>124364.83</v>
      </c>
      <c r="C3" s="23" t="s">
        <v>2944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
      <c r="A5" s="26" t="s">
        <v>133</v>
      </c>
      <c r="B5" s="989"/>
      <c r="C5" s="989"/>
      <c r="D5" s="996"/>
      <c r="E5" s="27" t="s">
        <v>1</v>
      </c>
      <c r="F5" s="27">
        <f>SUM(F13:F572)</f>
        <v>0</v>
      </c>
      <c r="G5" s="27">
        <f>SUM(G13:G572)</f>
        <v>124364.83</v>
      </c>
      <c r="H5" s="27">
        <f t="shared" ref="H5:AT5" si="0">SUM(H13:H641)</f>
        <v>104232.58</v>
      </c>
      <c r="I5" s="27">
        <f t="shared" si="0"/>
        <v>35430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19802.580000000002</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20132.25</v>
      </c>
      <c r="AD5" s="27">
        <f t="shared" si="0"/>
        <v>10900</v>
      </c>
      <c r="AE5" s="27">
        <f t="shared" si="0"/>
        <v>0</v>
      </c>
      <c r="AF5" s="27">
        <f t="shared" si="0"/>
        <v>0</v>
      </c>
      <c r="AG5" s="27">
        <f t="shared" si="0"/>
        <v>0</v>
      </c>
      <c r="AH5" s="27">
        <f t="shared" si="0"/>
        <v>0</v>
      </c>
      <c r="AI5" s="27">
        <f t="shared" si="0"/>
        <v>0</v>
      </c>
      <c r="AJ5" s="27">
        <f t="shared" si="0"/>
        <v>0</v>
      </c>
      <c r="AK5" s="27">
        <f t="shared" si="0"/>
        <v>0</v>
      </c>
      <c r="AL5" s="27">
        <f t="shared" si="0"/>
        <v>3345.83</v>
      </c>
      <c r="AM5" s="27">
        <f t="shared" si="0"/>
        <v>0</v>
      </c>
      <c r="AN5" s="27">
        <f t="shared" si="0"/>
        <v>5886.42</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124364.83</v>
      </c>
      <c r="BA5" s="29">
        <f t="shared" si="1"/>
        <v>104232.58</v>
      </c>
      <c r="BB5" s="29">
        <f t="shared" si="1"/>
        <v>35430</v>
      </c>
      <c r="BC5" s="29">
        <f t="shared" si="1"/>
        <v>13200</v>
      </c>
      <c r="BD5" s="29">
        <f t="shared" si="1"/>
        <v>21600</v>
      </c>
      <c r="BE5" s="29">
        <f t="shared" si="1"/>
        <v>5400</v>
      </c>
      <c r="BF5" s="29">
        <f t="shared" si="1"/>
        <v>8800</v>
      </c>
      <c r="BG5" s="29">
        <f t="shared" si="1"/>
        <v>19802.580000000002</v>
      </c>
      <c r="BH5" s="29">
        <f t="shared" si="1"/>
        <v>0</v>
      </c>
      <c r="BI5" s="29">
        <f t="shared" si="1"/>
        <v>0</v>
      </c>
      <c r="BJ5" s="29">
        <f t="shared" si="1"/>
        <v>0</v>
      </c>
      <c r="BK5" s="29">
        <f t="shared" si="1"/>
        <v>0</v>
      </c>
      <c r="BL5" s="29">
        <f t="shared" si="1"/>
        <v>20132.25</v>
      </c>
      <c r="BM5" s="29">
        <f t="shared" si="1"/>
        <v>10900</v>
      </c>
      <c r="BN5" s="29">
        <f t="shared" si="1"/>
        <v>0</v>
      </c>
      <c r="BO5" s="29">
        <f t="shared" si="1"/>
        <v>0</v>
      </c>
      <c r="BP5" s="29">
        <f t="shared" si="1"/>
        <v>0</v>
      </c>
      <c r="BQ5" s="29">
        <f t="shared" si="1"/>
        <v>3345.83</v>
      </c>
      <c r="BR5" s="29">
        <f t="shared" si="1"/>
        <v>5886.42</v>
      </c>
      <c r="BS5" s="29">
        <f t="shared" si="1"/>
        <v>0</v>
      </c>
      <c r="BT5" s="30">
        <f t="shared" si="1"/>
        <v>0</v>
      </c>
    </row>
    <row r="6" spans="1:72" s="37" customFormat="1" ht="13">
      <c r="A6" s="26" t="s">
        <v>134</v>
      </c>
      <c r="B6" s="31"/>
      <c r="C6" s="31"/>
      <c r="D6" s="32"/>
      <c r="E6" s="27">
        <f>H6+AC6+AT6</f>
        <v>10423.24</v>
      </c>
      <c r="F6" s="27" t="s">
        <v>1</v>
      </c>
      <c r="G6" s="27" t="s">
        <v>2</v>
      </c>
      <c r="H6" s="33">
        <f>SUMIF(I$12:AB$12,"总值",I6:AB6)</f>
        <v>8735.92</v>
      </c>
      <c r="I6" s="27">
        <f t="shared" ref="I6:AB6" si="2">ROUND($A$3*I5/$B$3,2)</f>
        <v>2969.45</v>
      </c>
      <c r="J6" s="27">
        <f t="shared" si="2"/>
        <v>0</v>
      </c>
      <c r="K6" s="27">
        <f t="shared" si="2"/>
        <v>1106.32</v>
      </c>
      <c r="L6" s="27">
        <f t="shared" si="2"/>
        <v>0</v>
      </c>
      <c r="M6" s="27">
        <f t="shared" si="2"/>
        <v>1810.34</v>
      </c>
      <c r="N6" s="27">
        <f t="shared" si="2"/>
        <v>0</v>
      </c>
      <c r="O6" s="27">
        <f t="shared" si="2"/>
        <v>452.58</v>
      </c>
      <c r="P6" s="27">
        <f t="shared" si="2"/>
        <v>0</v>
      </c>
      <c r="Q6" s="27">
        <f t="shared" si="2"/>
        <v>737.54</v>
      </c>
      <c r="R6" s="27">
        <f t="shared" si="2"/>
        <v>0</v>
      </c>
      <c r="S6" s="27">
        <f t="shared" si="2"/>
        <v>1659.69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1687.3200000000002</v>
      </c>
      <c r="AD6" s="27">
        <f t="shared" ref="AD6:AS6" si="3">ROUND($A$3*AD5/$B$3,2)</f>
        <v>913.55</v>
      </c>
      <c r="AE6" s="27">
        <f t="shared" si="3"/>
        <v>0</v>
      </c>
      <c r="AF6" s="27">
        <f t="shared" si="3"/>
        <v>0</v>
      </c>
      <c r="AG6" s="27">
        <f t="shared" si="3"/>
        <v>0</v>
      </c>
      <c r="AH6" s="27">
        <f t="shared" si="3"/>
        <v>0</v>
      </c>
      <c r="AI6" s="27">
        <f t="shared" si="3"/>
        <v>0</v>
      </c>
      <c r="AJ6" s="27">
        <f t="shared" si="3"/>
        <v>0</v>
      </c>
      <c r="AK6" s="27">
        <f t="shared" si="3"/>
        <v>0</v>
      </c>
      <c r="AL6" s="27">
        <f t="shared" si="3"/>
        <v>280.42</v>
      </c>
      <c r="AM6" s="27">
        <f t="shared" si="3"/>
        <v>0</v>
      </c>
      <c r="AN6" s="27">
        <f t="shared" si="3"/>
        <v>493.35</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8735.93</v>
      </c>
      <c r="BB6" s="27">
        <f>ROUND($AY$6*BB5/$AZ$5,2)</f>
        <v>2969.45</v>
      </c>
      <c r="BC6" s="27">
        <f t="shared" ref="BC6:BH6" si="4">ROUND($AY$6*BC5/$AZ$5,2)</f>
        <v>1106.32</v>
      </c>
      <c r="BD6" s="27">
        <f t="shared" si="4"/>
        <v>1810.34</v>
      </c>
      <c r="BE6" s="27">
        <f t="shared" si="4"/>
        <v>452.58</v>
      </c>
      <c r="BF6" s="27">
        <f t="shared" si="4"/>
        <v>737.54</v>
      </c>
      <c r="BG6" s="27">
        <f t="shared" si="4"/>
        <v>1659.69</v>
      </c>
      <c r="BH6" s="27">
        <f t="shared" si="4"/>
        <v>0</v>
      </c>
      <c r="BI6" s="27">
        <f t="shared" ref="BI6:BT6" si="5">ROUND($AY$6*BI5/$AZ$5,2)</f>
        <v>0</v>
      </c>
      <c r="BJ6" s="27">
        <f t="shared" si="5"/>
        <v>0</v>
      </c>
      <c r="BK6" s="27">
        <f t="shared" si="5"/>
        <v>0</v>
      </c>
      <c r="BL6" s="27">
        <f t="shared" si="5"/>
        <v>1687.32</v>
      </c>
      <c r="BM6" s="27">
        <f t="shared" si="5"/>
        <v>913.55</v>
      </c>
      <c r="BN6" s="27">
        <f t="shared" si="5"/>
        <v>0</v>
      </c>
      <c r="BO6" s="27">
        <f t="shared" si="5"/>
        <v>0</v>
      </c>
      <c r="BP6" s="27">
        <f t="shared" si="5"/>
        <v>0</v>
      </c>
      <c r="BQ6" s="27">
        <f t="shared" si="5"/>
        <v>280.42</v>
      </c>
      <c r="BR6" s="27">
        <f t="shared" si="5"/>
        <v>493.35</v>
      </c>
      <c r="BS6" s="27">
        <f t="shared" si="5"/>
        <v>0</v>
      </c>
      <c r="BT6" s="36">
        <f t="shared" si="5"/>
        <v>0</v>
      </c>
    </row>
    <row r="7" spans="1:72" s="18" customFormat="1" ht="26">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153</v>
      </c>
      <c r="I9" s="3018" t="s">
        <v>2930</v>
      </c>
      <c r="J9" s="51"/>
      <c r="K9" s="3018" t="s">
        <v>2930</v>
      </c>
      <c r="L9" s="51"/>
      <c r="M9" s="3018" t="s">
        <v>2930</v>
      </c>
      <c r="N9" s="51"/>
      <c r="O9" s="59" t="s">
        <v>2930</v>
      </c>
      <c r="P9" s="51"/>
      <c r="Q9" s="59" t="s">
        <v>2931</v>
      </c>
      <c r="R9" s="51"/>
      <c r="S9" s="59" t="s">
        <v>2931</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3">
      <c r="A10" s="45"/>
      <c r="B10" s="45"/>
      <c r="C10" s="45"/>
      <c r="D10" s="45"/>
      <c r="E10" s="45"/>
      <c r="F10" s="45"/>
      <c r="G10" s="55"/>
      <c r="H10" s="62"/>
      <c r="I10" s="3018" t="s">
        <v>2932</v>
      </c>
      <c r="J10" s="51"/>
      <c r="K10" s="3020" t="s">
        <v>1642</v>
      </c>
      <c r="L10" s="51"/>
      <c r="M10" s="3020" t="s">
        <v>2932</v>
      </c>
      <c r="N10" s="51"/>
      <c r="O10" s="66" t="s">
        <v>2932</v>
      </c>
      <c r="P10" s="51"/>
      <c r="Q10" s="66" t="s">
        <v>2932</v>
      </c>
      <c r="R10" s="51"/>
      <c r="S10" s="66" t="s">
        <v>2933</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3019" t="s">
        <v>2959</v>
      </c>
      <c r="J11" s="71"/>
      <c r="K11" s="3019" t="s">
        <v>2961</v>
      </c>
      <c r="L11" s="71"/>
      <c r="M11" s="70" t="s">
        <v>2963</v>
      </c>
      <c r="N11" s="71"/>
      <c r="O11" s="70" t="s">
        <v>2965</v>
      </c>
      <c r="P11" s="71"/>
      <c r="Q11" s="70" t="s">
        <v>2967</v>
      </c>
      <c r="R11" s="71"/>
      <c r="S11" s="70" t="s">
        <v>2929</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3013"/>
      <c r="B13" s="3013"/>
      <c r="C13" s="3013"/>
      <c r="D13" s="3014" t="s">
        <v>1643</v>
      </c>
      <c r="E13" s="27">
        <f t="shared" ref="E13:E20" si="6">IF($C$3="是",ROUND($A$3*G13/$B$3,2),ROUND($A$3*(G13-AT13)/$B$3,2))</f>
        <v>10423.25</v>
      </c>
      <c r="F13" s="81"/>
      <c r="G13" s="82">
        <f t="shared" ref="G13:G20" si="7">H13+AC13+AT13</f>
        <v>124364.83</v>
      </c>
      <c r="H13" s="33">
        <f t="shared" ref="H13:H20" si="8">SUMIF(I$12:AB$12,"总值",I13:AB13)</f>
        <v>104232.58</v>
      </c>
      <c r="I13" s="3017">
        <v>35430</v>
      </c>
      <c r="J13" s="3017"/>
      <c r="K13" s="3017">
        <v>13200</v>
      </c>
      <c r="L13" s="3017"/>
      <c r="M13" s="3017">
        <f>27000-O13</f>
        <v>21600</v>
      </c>
      <c r="N13" s="83"/>
      <c r="O13" s="83">
        <v>5400</v>
      </c>
      <c r="P13" s="83"/>
      <c r="Q13" s="83">
        <v>8800</v>
      </c>
      <c r="R13" s="83"/>
      <c r="S13" s="83">
        <v>19802.580000000002</v>
      </c>
      <c r="T13" s="83"/>
      <c r="U13" s="83"/>
      <c r="V13" s="83"/>
      <c r="W13" s="83"/>
      <c r="X13" s="83"/>
      <c r="Y13" s="83"/>
      <c r="Z13" s="83"/>
      <c r="AA13" s="83"/>
      <c r="AB13" s="83"/>
      <c r="AC13" s="27">
        <f t="shared" ref="AC13:AC20" si="9">SUMIF(AD$12:AS$12,"总值",AD13:AS13)</f>
        <v>20132.25</v>
      </c>
      <c r="AD13" s="3021">
        <v>10900</v>
      </c>
      <c r="AE13" s="3021"/>
      <c r="AF13" s="3021"/>
      <c r="AG13" s="3021"/>
      <c r="AH13" s="3021"/>
      <c r="AI13" s="3021"/>
      <c r="AJ13" s="3021"/>
      <c r="AK13" s="3021"/>
      <c r="AL13" s="3021">
        <f>3145.83+200</f>
        <v>3345.83</v>
      </c>
      <c r="AM13" s="3021"/>
      <c r="AN13" s="3021">
        <f>970+1428+3488.42</f>
        <v>5886.42</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124364.83</v>
      </c>
      <c r="BA13" s="27">
        <f t="shared" ref="BA13:BA20" si="13">SUM(BB13:BK13)</f>
        <v>104232.58</v>
      </c>
      <c r="BB13" s="27">
        <f t="shared" ref="BB13:BB20" si="14">IF($D13="是",I13-J13,0)</f>
        <v>35430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19802.580000000002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20132.25</v>
      </c>
      <c r="BM13" s="27">
        <f t="shared" ref="BM13:BM20" si="25">IF($D13="是",AD13-AE13,0)</f>
        <v>10900</v>
      </c>
      <c r="BN13" s="27">
        <f t="shared" ref="BN13:BN20" si="26">IF($D13="是",AF13-AG13,0)</f>
        <v>0</v>
      </c>
      <c r="BO13" s="27">
        <f t="shared" ref="BO13:BO20" si="27">IF($D13="是",AH13-AI13,0)</f>
        <v>0</v>
      </c>
      <c r="BP13" s="27">
        <f t="shared" ref="BP13:BP20" si="28">IF($D13="是",AJ13-AK13,0)</f>
        <v>0</v>
      </c>
      <c r="BQ13" s="27">
        <f t="shared" ref="BQ13:BQ20" si="29">IF($D13="是",AL13-AM13,0)</f>
        <v>3345.83</v>
      </c>
      <c r="BR13" s="27">
        <f t="shared" ref="BR13:BR20" si="30">IF($D13="是",AN13-AO13,0)</f>
        <v>5886.42</v>
      </c>
      <c r="BS13" s="27">
        <f t="shared" ref="BS13:BS20" si="31">IF($D13="是",AP13-AQ13,0)</f>
        <v>0</v>
      </c>
      <c r="BT13" s="36">
        <f t="shared" ref="BT13:BT20" si="32">IF($D13="是",AR13-AS13,0)</f>
        <v>0</v>
      </c>
    </row>
    <row r="14" spans="1:72" s="18" customFormat="1" ht="13">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288" t="s">
        <v>0</v>
      </c>
      <c r="B1" s="3288" t="s">
        <v>4</v>
      </c>
      <c r="C1" s="3288" t="s">
        <v>5</v>
      </c>
      <c r="D1" s="3289" t="s">
        <v>39</v>
      </c>
      <c r="E1" s="3289" t="s">
        <v>40</v>
      </c>
      <c r="F1" s="3289"/>
      <c r="G1" s="3289"/>
      <c r="H1" s="3289"/>
      <c r="I1" s="3289"/>
      <c r="J1" s="3289"/>
      <c r="K1" s="3289"/>
      <c r="L1" s="3289"/>
      <c r="M1" s="3289"/>
    </row>
    <row r="2" spans="1:13" ht="27" customHeight="1">
      <c r="A2" s="3288"/>
      <c r="B2" s="3288"/>
      <c r="C2" s="3288"/>
      <c r="D2" s="3289"/>
      <c r="E2" s="3289" t="s">
        <v>23</v>
      </c>
      <c r="F2" s="3289" t="s">
        <v>24</v>
      </c>
      <c r="G2" s="3289"/>
      <c r="H2" s="3289"/>
      <c r="I2" s="3289"/>
      <c r="J2" s="3289" t="s">
        <v>25</v>
      </c>
      <c r="K2" s="3289"/>
      <c r="L2" s="3289"/>
      <c r="M2" s="3289"/>
    </row>
    <row r="3" spans="1:13" ht="45">
      <c r="A3" s="3288"/>
      <c r="B3" s="3288"/>
      <c r="C3" s="3288"/>
      <c r="D3" s="3289"/>
      <c r="E3" s="3289"/>
      <c r="F3" s="3" t="s">
        <v>26</v>
      </c>
      <c r="G3" s="3" t="s">
        <v>21</v>
      </c>
      <c r="H3" s="3" t="s">
        <v>22</v>
      </c>
      <c r="I3" s="3" t="s">
        <v>35</v>
      </c>
      <c r="J3" s="3" t="s">
        <v>26</v>
      </c>
      <c r="K3" s="3" t="s">
        <v>37</v>
      </c>
      <c r="L3" s="3" t="s">
        <v>36</v>
      </c>
      <c r="M3" s="3" t="s">
        <v>38</v>
      </c>
    </row>
    <row r="4" spans="1:13" ht="4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5">
      <c r="A5" s="3" t="s">
        <v>27</v>
      </c>
      <c r="B5" s="3" t="s">
        <v>30</v>
      </c>
      <c r="C5" s="3" t="s">
        <v>31</v>
      </c>
      <c r="D5" s="4">
        <v>3667.86</v>
      </c>
      <c r="E5" s="4">
        <v>19906.61</v>
      </c>
      <c r="F5" s="4">
        <v>18792.87</v>
      </c>
      <c r="G5" s="4">
        <v>18792.87</v>
      </c>
      <c r="H5" s="4">
        <v>0</v>
      </c>
      <c r="I5" s="4">
        <v>0</v>
      </c>
      <c r="J5" s="4">
        <v>1113.74</v>
      </c>
      <c r="K5" s="4">
        <v>55.59</v>
      </c>
      <c r="L5" s="4">
        <v>0</v>
      </c>
      <c r="M5" s="4">
        <v>1058.1500000000001</v>
      </c>
    </row>
    <row r="6" spans="1:13" ht="4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5">
      <c r="A7" s="3" t="s">
        <v>27</v>
      </c>
      <c r="B7" s="3" t="s">
        <v>30</v>
      </c>
      <c r="C7" s="3" t="s">
        <v>33</v>
      </c>
      <c r="D7" s="4">
        <v>8.18</v>
      </c>
      <c r="E7" s="4">
        <v>44.41</v>
      </c>
      <c r="F7" s="4">
        <v>0</v>
      </c>
      <c r="G7" s="4">
        <v>0</v>
      </c>
      <c r="H7" s="4">
        <v>0</v>
      </c>
      <c r="I7" s="4">
        <v>0</v>
      </c>
      <c r="J7" s="4">
        <v>44.41</v>
      </c>
      <c r="K7" s="4">
        <v>44.41</v>
      </c>
      <c r="L7" s="4">
        <v>0</v>
      </c>
      <c r="M7" s="4">
        <v>0</v>
      </c>
    </row>
    <row r="8" spans="1:13" ht="4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9" t="s">
        <v>41</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 sqref="K3"/>
    </sheetView>
  </sheetViews>
  <sheetFormatPr defaultColWidth="9.1796875" defaultRowHeight="14"/>
  <cols>
    <col min="1" max="1" width="8.1796875" style="1984" customWidth="1"/>
    <col min="2" max="2" width="10.1796875" style="1984" customWidth="1"/>
    <col min="3" max="3" width="18.453125" style="1984" customWidth="1"/>
    <col min="4" max="4" width="11.08984375" style="1984" customWidth="1"/>
    <col min="5" max="5" width="13.36328125" style="1984" customWidth="1"/>
    <col min="6" max="8" width="11.453125" style="1984" customWidth="1"/>
    <col min="9" max="9" width="10.36328125" style="1984" customWidth="1"/>
    <col min="10" max="10" width="3.08984375" style="1984" customWidth="1"/>
    <col min="11" max="16" width="11.6328125" style="1984" customWidth="1"/>
    <col min="17" max="17" width="3.36328125" style="1984" customWidth="1"/>
    <col min="18" max="16384" width="9.1796875" style="1984"/>
  </cols>
  <sheetData>
    <row r="1" spans="1:16" ht="18">
      <c r="A1" s="104" t="s">
        <v>167</v>
      </c>
      <c r="B1" s="1983"/>
      <c r="C1" s="1983"/>
      <c r="D1" s="1983"/>
      <c r="E1" s="1983"/>
      <c r="F1" s="1983"/>
      <c r="G1" s="1983"/>
      <c r="H1" s="1983"/>
      <c r="I1" s="1983"/>
      <c r="J1" s="1983"/>
      <c r="K1" s="1983"/>
      <c r="L1" s="1983"/>
    </row>
    <row r="2" spans="1:16">
      <c r="A2" s="3299" t="s">
        <v>168</v>
      </c>
      <c r="B2" s="3299"/>
      <c r="C2" s="3299"/>
      <c r="D2" s="1974" t="s">
        <v>169</v>
      </c>
      <c r="E2" s="106" t="s">
        <v>170</v>
      </c>
      <c r="F2" s="1983"/>
      <c r="G2" s="1197"/>
      <c r="H2" s="1198"/>
      <c r="I2" s="1199" t="s">
        <v>822</v>
      </c>
      <c r="J2" s="1983"/>
      <c r="K2" s="1983"/>
      <c r="L2" s="1983"/>
    </row>
    <row r="3" spans="1:16" ht="14.5" thickBot="1">
      <c r="A3" s="3300" t="s">
        <v>171</v>
      </c>
      <c r="B3" s="3300"/>
      <c r="C3" s="3300"/>
      <c r="D3" s="107">
        <f>'数据-基础表'!AY6</f>
        <v>10423.25</v>
      </c>
      <c r="E3" s="107">
        <f>'数据-基础表'!AZ5</f>
        <v>124364.83</v>
      </c>
      <c r="F3" s="1983"/>
      <c r="G3" s="280" t="s">
        <v>823</v>
      </c>
      <c r="H3" s="275" t="s">
        <v>824</v>
      </c>
      <c r="I3" s="1975">
        <f>ROUND('数据-基础表'!B3/'数据-基础表'!A3,2)</f>
        <v>11.93</v>
      </c>
      <c r="J3" s="1983"/>
      <c r="K3" s="1983"/>
      <c r="L3" s="1983"/>
    </row>
    <row r="4" spans="1:16">
      <c r="A4" s="3301"/>
      <c r="B4" s="3302"/>
      <c r="C4" s="3303"/>
      <c r="D4" s="108" t="s">
        <v>169</v>
      </c>
      <c r="E4" s="109" t="s">
        <v>170</v>
      </c>
      <c r="F4" s="1983"/>
      <c r="G4" s="1200"/>
      <c r="H4" s="275" t="s">
        <v>825</v>
      </c>
      <c r="I4" s="1975">
        <f>ROUND(SUMIF('数据-基础表'!I9:AS9,"地上",'数据-基础表'!I5:AS5)/'数据-基础表'!A3,2)</f>
        <v>8.6199999999999992</v>
      </c>
      <c r="J4" s="1983"/>
      <c r="K4" s="1983"/>
      <c r="L4" s="1983"/>
    </row>
    <row r="5" spans="1:16">
      <c r="A5" s="110" t="s">
        <v>172</v>
      </c>
      <c r="B5" s="3304" t="s">
        <v>195</v>
      </c>
      <c r="C5" s="3304"/>
      <c r="D5" s="111">
        <f>ROUND($D$3*E5/$E$3,2)</f>
        <v>0</v>
      </c>
      <c r="E5" s="112">
        <f>SUMIF('数据-基础表'!$11:$11,"住宅",'数据-基础表'!$5:$5)</f>
        <v>0</v>
      </c>
      <c r="F5" s="1983"/>
      <c r="G5" s="280" t="s">
        <v>826</v>
      </c>
      <c r="H5" s="275" t="s">
        <v>824</v>
      </c>
      <c r="I5" s="1975">
        <f>ROUND(E31/D31,2)</f>
        <v>11.93</v>
      </c>
      <c r="J5" s="1983"/>
      <c r="K5" s="1983"/>
      <c r="L5" s="1983"/>
    </row>
    <row r="6" spans="1:16" ht="14.5" thickBot="1">
      <c r="A6" s="113"/>
      <c r="B6" s="3304" t="s">
        <v>173</v>
      </c>
      <c r="C6" s="3304"/>
      <c r="D6" s="111">
        <f>ROUND($D$3*E6/$E$3,2)</f>
        <v>10423.25</v>
      </c>
      <c r="E6" s="112">
        <f>E3-E5</f>
        <v>124364.83</v>
      </c>
      <c r="F6" s="1983"/>
      <c r="G6" s="1200"/>
      <c r="H6" s="275" t="s">
        <v>825</v>
      </c>
      <c r="I6" s="1975">
        <f>ROUND(F31/D31,2)</f>
        <v>8.6199999999999992</v>
      </c>
      <c r="J6" s="1983"/>
      <c r="K6" s="1983"/>
      <c r="L6" s="1983"/>
    </row>
    <row r="7" spans="1:16">
      <c r="A7" s="3296"/>
      <c r="B7" s="3297"/>
      <c r="C7" s="3298"/>
      <c r="D7" s="108" t="s">
        <v>169</v>
      </c>
      <c r="E7" s="114" t="s">
        <v>196</v>
      </c>
      <c r="F7" s="1983"/>
      <c r="G7" s="1155" t="s">
        <v>1610</v>
      </c>
      <c r="H7" s="1156"/>
      <c r="I7" s="1845"/>
      <c r="J7" s="1983"/>
      <c r="K7" s="1983"/>
      <c r="L7" s="1983"/>
    </row>
    <row r="8" spans="1:16">
      <c r="A8" s="110" t="s">
        <v>174</v>
      </c>
      <c r="B8" s="115" t="s">
        <v>175</v>
      </c>
      <c r="C8" s="111" t="s">
        <v>176</v>
      </c>
      <c r="D8" s="111">
        <f t="shared" ref="D8:D15" si="0">ROUND($D$3*E8/$E$3,2)</f>
        <v>6338.69</v>
      </c>
      <c r="E8" s="116">
        <f>SUMIF('数据-基础表'!BB10:BK10,"地上",'数据-基础表'!BB5:BK5)</f>
        <v>75630</v>
      </c>
      <c r="F8" s="1983"/>
      <c r="G8" s="1985"/>
      <c r="H8" s="1985"/>
      <c r="I8" s="1983"/>
      <c r="J8" s="1983"/>
      <c r="K8" s="1983"/>
      <c r="L8" s="1983"/>
    </row>
    <row r="9" spans="1:16">
      <c r="A9" s="117"/>
      <c r="B9" s="118"/>
      <c r="C9" s="111" t="s">
        <v>177</v>
      </c>
      <c r="D9" s="111">
        <f t="shared" si="0"/>
        <v>0</v>
      </c>
      <c r="E9" s="119">
        <f>'数据-基础表'!AH5</f>
        <v>0</v>
      </c>
      <c r="F9" s="1983"/>
      <c r="G9" s="1985"/>
      <c r="H9" s="1985"/>
      <c r="I9" s="1983"/>
      <c r="J9" s="1983"/>
      <c r="K9" s="1983"/>
      <c r="L9" s="1983"/>
    </row>
    <row r="10" spans="1:16">
      <c r="A10" s="117"/>
      <c r="B10" s="118"/>
      <c r="C10" s="111" t="s">
        <v>178</v>
      </c>
      <c r="D10" s="111">
        <f t="shared" si="0"/>
        <v>737.54</v>
      </c>
      <c r="E10" s="116">
        <f>SUMPRODUCT(('数据-基础表'!BB10:BK10="地下")*('数据-基础表'!BB11:BK11="商业")*('数据-基础表'!BB5:BK5))</f>
        <v>8800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1659.69</v>
      </c>
      <c r="E13" s="116">
        <f>SUMPRODUCT(('数据-基础表'!BB10:BK10="地下")*('数据-基础表'!BB11:BK11="车库")*('数据-基础表'!BB5:BK5))</f>
        <v>19802.580000000002</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4.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4.5" thickBot="1">
      <c r="A16" s="113"/>
      <c r="B16" s="118"/>
      <c r="C16" s="115" t="s">
        <v>180</v>
      </c>
      <c r="D16" s="115">
        <f>SUM(D8:D15)</f>
        <v>8735.92</v>
      </c>
      <c r="E16" s="120">
        <f>SUM(E8:E15)</f>
        <v>104232.58</v>
      </c>
      <c r="F16" s="1983"/>
      <c r="G16" s="1985"/>
      <c r="H16" s="968" t="s">
        <v>184</v>
      </c>
      <c r="I16" s="969"/>
      <c r="J16" s="1983"/>
      <c r="K16" s="3290" t="s">
        <v>2525</v>
      </c>
      <c r="L16" s="3291"/>
      <c r="M16" s="3291"/>
      <c r="N16" s="3291"/>
      <c r="O16" s="3291"/>
      <c r="P16" s="3292"/>
    </row>
    <row r="17" spans="1:19">
      <c r="A17" s="121" t="s">
        <v>181</v>
      </c>
      <c r="B17" s="122" t="s">
        <v>182</v>
      </c>
      <c r="C17" s="2297" t="s">
        <v>2275</v>
      </c>
      <c r="D17" s="108" t="s">
        <v>169</v>
      </c>
      <c r="E17" s="124" t="s">
        <v>170</v>
      </c>
      <c r="F17" s="125"/>
      <c r="G17" s="1365"/>
      <c r="H17" s="970" t="s">
        <v>183</v>
      </c>
      <c r="I17" s="971" t="s">
        <v>2274</v>
      </c>
      <c r="J17" s="1983"/>
      <c r="K17" s="3293" t="s">
        <v>2526</v>
      </c>
      <c r="L17" s="3294"/>
      <c r="M17" s="3295"/>
      <c r="N17" s="3293" t="s">
        <v>2527</v>
      </c>
      <c r="O17" s="3294"/>
      <c r="P17" s="3295"/>
      <c r="R17" s="2298" t="s">
        <v>2273</v>
      </c>
      <c r="S17" s="144"/>
    </row>
    <row r="18" spans="1:19">
      <c r="A18" s="117"/>
      <c r="B18" s="128"/>
      <c r="C18" s="129"/>
      <c r="D18" s="2641"/>
      <c r="E18" s="130" t="s">
        <v>185</v>
      </c>
      <c r="F18" s="131" t="s">
        <v>186</v>
      </c>
      <c r="G18" s="1366" t="s">
        <v>187</v>
      </c>
      <c r="H18" s="972" t="s">
        <v>188</v>
      </c>
      <c r="I18" s="973" t="s">
        <v>189</v>
      </c>
      <c r="J18" s="1983"/>
      <c r="K18" s="2604" t="s">
        <v>2528</v>
      </c>
      <c r="L18" s="2605" t="s">
        <v>2529</v>
      </c>
      <c r="M18" s="2606" t="s">
        <v>2530</v>
      </c>
      <c r="N18" s="2604" t="s">
        <v>2528</v>
      </c>
      <c r="O18" s="2605" t="s">
        <v>2529</v>
      </c>
      <c r="P18" s="2606" t="s">
        <v>2530</v>
      </c>
      <c r="R18" s="2299" t="s">
        <v>2271</v>
      </c>
      <c r="S18" s="2299" t="s">
        <v>2272</v>
      </c>
    </row>
    <row r="19" spans="1:19">
      <c r="A19" s="133"/>
      <c r="B19" s="115" t="s">
        <v>190</v>
      </c>
      <c r="C19" s="3024" t="str">
        <f>定义!A2</f>
        <v>地上商业用房</v>
      </c>
      <c r="D19" s="111">
        <f t="shared" ref="D19:D26" si="1">ROUND($D$3*E19/$E$3,2)</f>
        <v>2969.45</v>
      </c>
      <c r="E19" s="134">
        <f t="shared" ref="E19:E26" si="2">SUM(F19:G19)</f>
        <v>35430</v>
      </c>
      <c r="F19" s="135">
        <f>'数据-基础表'!I13</f>
        <v>35430</v>
      </c>
      <c r="G19" s="1367"/>
      <c r="H19" s="974">
        <f>ROUND($D$3*I19/$E$3,2)</f>
        <v>263.02</v>
      </c>
      <c r="I19" s="116">
        <f>IF($I$17="自定义",P19,M19)</f>
        <v>3138.16</v>
      </c>
      <c r="J19" s="1983"/>
      <c r="K19" s="2607">
        <f t="shared" ref="K19:K26" si="3">ROUND(E$28*E19/E$27,2)</f>
        <v>3138.16</v>
      </c>
      <c r="L19" s="275">
        <f t="shared" ref="L19:L26" si="4">ROUND(IF(COUNTIF(C19,"*住宅*")&gt;0,E$29*E19/E$32,0),2)</f>
        <v>0</v>
      </c>
      <c r="M19" s="2608">
        <f>K19+L19</f>
        <v>3138.16</v>
      </c>
      <c r="N19" s="2609"/>
      <c r="O19" s="2610"/>
      <c r="P19" s="2611">
        <f>N19+O19</f>
        <v>0</v>
      </c>
      <c r="R19" s="275">
        <f t="shared" ref="R19:S26" si="5">D19+H19</f>
        <v>3232.47</v>
      </c>
      <c r="S19" s="2300">
        <f t="shared" si="5"/>
        <v>38568.160000000003</v>
      </c>
    </row>
    <row r="20" spans="1:19">
      <c r="A20" s="138"/>
      <c r="B20" s="115" t="s">
        <v>191</v>
      </c>
      <c r="C20" s="3024" t="str">
        <f>定义!A3</f>
        <v>办公用房</v>
      </c>
      <c r="D20" s="111">
        <f t="shared" si="1"/>
        <v>1106.32</v>
      </c>
      <c r="E20" s="134">
        <f t="shared" si="2"/>
        <v>13200</v>
      </c>
      <c r="F20" s="135">
        <f>'数据-基础表'!K13</f>
        <v>13200</v>
      </c>
      <c r="G20" s="1367"/>
      <c r="H20" s="974">
        <f t="shared" ref="H20:H26" si="6">ROUND($D$3*I20/$E$3,2)</f>
        <v>97.99</v>
      </c>
      <c r="I20" s="116">
        <f t="shared" ref="I20:I26" si="7">IF($I$17="自定义",P20,M20)</f>
        <v>1169.17</v>
      </c>
      <c r="J20" s="1983"/>
      <c r="K20" s="2607">
        <f t="shared" si="3"/>
        <v>1169.17</v>
      </c>
      <c r="L20" s="275">
        <f t="shared" si="4"/>
        <v>0</v>
      </c>
      <c r="M20" s="2608">
        <f t="shared" ref="M20:M26" si="8">K20+L20</f>
        <v>1169.17</v>
      </c>
      <c r="N20" s="2609"/>
      <c r="O20" s="2610"/>
      <c r="P20" s="2611">
        <f t="shared" ref="P20:P26" si="9">N20+O20</f>
        <v>0</v>
      </c>
      <c r="R20" s="275">
        <f t="shared" si="5"/>
        <v>1204.31</v>
      </c>
      <c r="S20" s="2300">
        <f t="shared" si="5"/>
        <v>14369.17</v>
      </c>
    </row>
    <row r="21" spans="1:19">
      <c r="A21" s="138"/>
      <c r="B21" s="115" t="s">
        <v>191</v>
      </c>
      <c r="C21" s="3024" t="str">
        <f>定义!A4</f>
        <v>商务公寓用房</v>
      </c>
      <c r="D21" s="111">
        <f t="shared" si="1"/>
        <v>1810.34</v>
      </c>
      <c r="E21" s="134">
        <f t="shared" si="2"/>
        <v>21600</v>
      </c>
      <c r="F21" s="135">
        <f>'数据-基础表'!M13</f>
        <v>21600</v>
      </c>
      <c r="G21" s="1367"/>
      <c r="H21" s="974">
        <f t="shared" si="6"/>
        <v>160.35</v>
      </c>
      <c r="I21" s="116">
        <f t="shared" si="7"/>
        <v>1913.19</v>
      </c>
      <c r="J21" s="1983"/>
      <c r="K21" s="2607">
        <f t="shared" si="3"/>
        <v>1913.19</v>
      </c>
      <c r="L21" s="275">
        <f t="shared" si="4"/>
        <v>0</v>
      </c>
      <c r="M21" s="2608">
        <f t="shared" si="8"/>
        <v>1913.19</v>
      </c>
      <c r="N21" s="2609"/>
      <c r="O21" s="2610"/>
      <c r="P21" s="2611">
        <f t="shared" si="9"/>
        <v>0</v>
      </c>
      <c r="R21" s="275">
        <f t="shared" si="5"/>
        <v>1970.6899999999998</v>
      </c>
      <c r="S21" s="2300">
        <f t="shared" si="5"/>
        <v>23513.19</v>
      </c>
    </row>
    <row r="22" spans="1:19">
      <c r="A22" s="138"/>
      <c r="B22" s="115" t="s">
        <v>191</v>
      </c>
      <c r="C22" s="1364" t="str">
        <f>定义!A5</f>
        <v>人才公寓用房</v>
      </c>
      <c r="D22" s="111">
        <f t="shared" si="1"/>
        <v>452.58</v>
      </c>
      <c r="E22" s="134">
        <f t="shared" si="2"/>
        <v>5400</v>
      </c>
      <c r="F22" s="140">
        <f>'数据-基础表'!O13</f>
        <v>5400</v>
      </c>
      <c r="G22" s="1368"/>
      <c r="H22" s="974">
        <f t="shared" si="6"/>
        <v>40.090000000000003</v>
      </c>
      <c r="I22" s="116">
        <f t="shared" si="7"/>
        <v>478.3</v>
      </c>
      <c r="J22" s="1983"/>
      <c r="K22" s="2607">
        <f t="shared" si="3"/>
        <v>478.3</v>
      </c>
      <c r="L22" s="275">
        <f t="shared" si="4"/>
        <v>0</v>
      </c>
      <c r="M22" s="2608">
        <f t="shared" si="8"/>
        <v>478.3</v>
      </c>
      <c r="N22" s="2609"/>
      <c r="O22" s="2610"/>
      <c r="P22" s="2611">
        <f t="shared" si="9"/>
        <v>0</v>
      </c>
      <c r="R22" s="275">
        <f t="shared" si="5"/>
        <v>492.66999999999996</v>
      </c>
      <c r="S22" s="2300">
        <f t="shared" si="5"/>
        <v>5878.3</v>
      </c>
    </row>
    <row r="23" spans="1:19">
      <c r="A23" s="138"/>
      <c r="B23" s="115" t="s">
        <v>191</v>
      </c>
      <c r="C23" s="139" t="str">
        <f>定义!A6</f>
        <v>地下商业用房</v>
      </c>
      <c r="D23" s="111">
        <f>ROUND($D$3*E23/$E$3,2)</f>
        <v>737.54</v>
      </c>
      <c r="E23" s="134">
        <f>SUM(F23:G23)</f>
        <v>8800</v>
      </c>
      <c r="F23" s="140"/>
      <c r="G23" s="1368">
        <f>'数据-基础表'!Q13</f>
        <v>8800</v>
      </c>
      <c r="H23" s="974">
        <f>ROUND($D$3*I23/$E$3,2)</f>
        <v>65.33</v>
      </c>
      <c r="I23" s="116">
        <f t="shared" si="7"/>
        <v>779.45</v>
      </c>
      <c r="J23" s="1983"/>
      <c r="K23" s="2607">
        <f t="shared" si="3"/>
        <v>779.45</v>
      </c>
      <c r="L23" s="275">
        <f t="shared" si="4"/>
        <v>0</v>
      </c>
      <c r="M23" s="2608">
        <f t="shared" si="8"/>
        <v>779.45</v>
      </c>
      <c r="N23" s="2609"/>
      <c r="O23" s="2610"/>
      <c r="P23" s="2611">
        <f t="shared" si="9"/>
        <v>0</v>
      </c>
      <c r="R23" s="275">
        <f t="shared" si="5"/>
        <v>802.87</v>
      </c>
      <c r="S23" s="2300">
        <f t="shared" si="5"/>
        <v>9579.4500000000007</v>
      </c>
    </row>
    <row r="24" spans="1:19">
      <c r="A24" s="138"/>
      <c r="B24" s="115" t="s">
        <v>191</v>
      </c>
      <c r="C24" s="139" t="str">
        <f>定义!A7</f>
        <v>地下车库用房</v>
      </c>
      <c r="D24" s="111">
        <f>ROUND($D$3*E24/$E$3,2)</f>
        <v>1659.69</v>
      </c>
      <c r="E24" s="134">
        <f>SUM(F24:G24)</f>
        <v>19802.580000000002</v>
      </c>
      <c r="F24" s="140"/>
      <c r="G24" s="1368">
        <f>'数据-基础表'!S13</f>
        <v>19802.580000000002</v>
      </c>
      <c r="H24" s="974">
        <f>ROUND($D$3*I24/$E$3,2)</f>
        <v>147</v>
      </c>
      <c r="I24" s="116">
        <f t="shared" si="7"/>
        <v>1753.98</v>
      </c>
      <c r="J24" s="1983"/>
      <c r="K24" s="2607">
        <f t="shared" si="3"/>
        <v>1753.98</v>
      </c>
      <c r="L24" s="275">
        <f t="shared" si="4"/>
        <v>0</v>
      </c>
      <c r="M24" s="2608">
        <f t="shared" si="8"/>
        <v>1753.98</v>
      </c>
      <c r="N24" s="2609"/>
      <c r="O24" s="2610"/>
      <c r="P24" s="2611">
        <f t="shared" si="9"/>
        <v>0</v>
      </c>
      <c r="R24" s="275">
        <f t="shared" si="5"/>
        <v>1806.69</v>
      </c>
      <c r="S24" s="2300">
        <f t="shared" si="5"/>
        <v>21556.560000000001</v>
      </c>
    </row>
    <row r="25" spans="1:19">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42.5" thickBot="1">
      <c r="A27" s="138"/>
      <c r="B27" s="111"/>
      <c r="C27" s="127" t="s">
        <v>180</v>
      </c>
      <c r="D27" s="134">
        <f>SUM(D19:D26)</f>
        <v>8735.92</v>
      </c>
      <c r="E27" s="143">
        <f>IF(SUM(E19:E26)='数据-基础表'!BA5,SUM(E19:E26),IF(F27="地上面积有误","面积有误","地下面积有误"))</f>
        <v>104232.58</v>
      </c>
      <c r="F27" s="134">
        <f>IF(SUM(F19:F26)=E8,SUM(F19:F26),"地上面积有误")</f>
        <v>75630</v>
      </c>
      <c r="G27" s="112">
        <f>SUM(G19:G26)</f>
        <v>28602.58</v>
      </c>
      <c r="H27" s="975">
        <f>SUM(H19:H26)</f>
        <v>773.78000000000009</v>
      </c>
      <c r="I27" s="976">
        <f>SUM(I19:I26)</f>
        <v>9232.25</v>
      </c>
      <c r="J27" s="1983"/>
      <c r="K27" s="2616">
        <f>SUM(K19:K26)</f>
        <v>9232.25</v>
      </c>
      <c r="L27" s="2617">
        <f>SUM(L19:L26)</f>
        <v>0</v>
      </c>
      <c r="M27" s="2618">
        <f>SUM(M19:M26)</f>
        <v>9232.25</v>
      </c>
      <c r="N27" s="2616">
        <f t="shared" ref="N27:O27" si="10">SUM(N19:N26)</f>
        <v>0</v>
      </c>
      <c r="O27" s="2617">
        <f t="shared" si="10"/>
        <v>0</v>
      </c>
      <c r="P27" s="2619">
        <f>SUM(P19:P26)</f>
        <v>0</v>
      </c>
      <c r="R27" s="2304" t="str">
        <f>IF(SUM(R19:R26)=$D$3,SUM(R19:R26),SUM(R19:R26)&amp;"误差"&amp;ROUND(SUM(R19:R26)-$D$3,2))</f>
        <v>9509.7误差-913.55</v>
      </c>
      <c r="S27" s="275" t="str">
        <f>IF(SUM(S19:S26)=$E$3,SUM(S19:S26),SUM(S19:S26)&amp;"误差"&amp;ROUND(SUM(S19:S26)-E3,2))</f>
        <v>113464.83误差-10900</v>
      </c>
    </row>
    <row r="28" spans="1:19">
      <c r="A28" s="138"/>
      <c r="B28" s="115" t="s">
        <v>192</v>
      </c>
      <c r="C28" s="136" t="s">
        <v>193</v>
      </c>
      <c r="D28" s="111">
        <f>ROUND($D$3*E28/$E$3,2)</f>
        <v>773.77</v>
      </c>
      <c r="E28" s="134">
        <f>SUM(F28:G28)</f>
        <v>9232.25</v>
      </c>
      <c r="F28" s="144">
        <f>'数据-基础表'!BQ5+'数据-基础表'!BS5</f>
        <v>3345.83</v>
      </c>
      <c r="G28" s="145">
        <f>'数据-基础表'!BR5+'数据-基础表'!BT5</f>
        <v>5886.42</v>
      </c>
      <c r="H28" s="1983"/>
      <c r="I28" s="1983"/>
      <c r="J28" s="1983"/>
      <c r="K28" s="1983"/>
      <c r="L28" s="1983"/>
    </row>
    <row r="29" spans="1:19">
      <c r="A29" s="138"/>
      <c r="B29" s="115" t="s">
        <v>192</v>
      </c>
      <c r="C29" s="2312" t="s">
        <v>2282</v>
      </c>
      <c r="D29" s="111">
        <f>ROUND($D$3*E29/$E$3,2)</f>
        <v>913.55</v>
      </c>
      <c r="E29" s="134">
        <f>SUM(F29:G29)</f>
        <v>10900</v>
      </c>
      <c r="F29" s="144">
        <f>'数据-基础表'!BM5+'数据-基础表'!BO5</f>
        <v>10900</v>
      </c>
      <c r="G29" s="146">
        <f>'数据-基础表'!BN5+'数据-基础表'!BP5</f>
        <v>0</v>
      </c>
      <c r="H29" s="1983"/>
      <c r="I29" s="1983"/>
      <c r="J29" s="1983"/>
      <c r="K29" s="1983"/>
      <c r="L29" s="1983"/>
    </row>
    <row r="30" spans="1:19">
      <c r="A30" s="138"/>
      <c r="B30" s="111"/>
      <c r="C30" s="147" t="s">
        <v>180</v>
      </c>
      <c r="D30" s="134">
        <f>SUM(D28:D29)</f>
        <v>1687.32</v>
      </c>
      <c r="E30" s="134">
        <f>SUM(E28:E29)</f>
        <v>20132.25</v>
      </c>
      <c r="F30" s="134">
        <f>SUM(F28:F29)</f>
        <v>14245.83</v>
      </c>
      <c r="G30" s="112">
        <f>SUM(G28:G29)</f>
        <v>5886.42</v>
      </c>
      <c r="H30" s="1983"/>
      <c r="I30" s="1983"/>
      <c r="J30" s="1983"/>
      <c r="K30" s="1983"/>
      <c r="L30" s="1983"/>
    </row>
    <row r="31" spans="1:19" ht="32.25" customHeight="1" thickBot="1">
      <c r="A31" s="1369"/>
      <c r="B31" s="1370" t="s">
        <v>194</v>
      </c>
      <c r="C31" s="2329" t="s">
        <v>2284</v>
      </c>
      <c r="D31" s="1371">
        <f>D27+D30</f>
        <v>10423.24</v>
      </c>
      <c r="E31" s="1371">
        <f>E27+E30</f>
        <v>124364.83</v>
      </c>
      <c r="F31" s="1372">
        <f>F27+F30</f>
        <v>89875.83</v>
      </c>
      <c r="G31" s="1373">
        <f>G27+G30</f>
        <v>34489</v>
      </c>
      <c r="H31" s="1983"/>
      <c r="I31" s="1983"/>
      <c r="J31" s="1983"/>
      <c r="K31" s="1983"/>
      <c r="L31" s="1983"/>
    </row>
    <row r="32" spans="1:19">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9" sqref="L19"/>
    </sheetView>
  </sheetViews>
  <sheetFormatPr defaultColWidth="13.81640625" defaultRowHeight="12.5"/>
  <cols>
    <col min="1" max="1" width="20.90625" style="1215" customWidth="1"/>
    <col min="2" max="3" width="12" style="1202" customWidth="1"/>
    <col min="4" max="4" width="9.08984375" style="1216" customWidth="1"/>
    <col min="5" max="5" width="15" style="1202" bestFit="1" customWidth="1"/>
    <col min="6" max="10" width="8.90625" style="1202" customWidth="1"/>
    <col min="11" max="12" width="12.36328125" style="1217" customWidth="1"/>
    <col min="13" max="13" width="8.6328125" style="1202" customWidth="1"/>
    <col min="14" max="14" width="9.81640625" style="1202" customWidth="1"/>
    <col min="15" max="16" width="9.6328125" style="1202" customWidth="1"/>
    <col min="17" max="17" width="10.90625" style="1202" customWidth="1"/>
    <col min="18" max="19" width="12.453125" style="1202" customWidth="1"/>
    <col min="20" max="20" width="12.08984375" style="1202" customWidth="1"/>
    <col min="21" max="21" width="7.453125" style="1202" customWidth="1"/>
    <col min="22" max="22" width="6.36328125" style="1202" customWidth="1"/>
    <col min="23" max="24" width="6.81640625" style="1202" customWidth="1"/>
    <col min="25" max="25" width="8.08984375" style="1202" customWidth="1"/>
    <col min="26" max="30" width="6.81640625" style="1202" customWidth="1"/>
    <col min="31" max="31" width="6.453125" style="1202" customWidth="1"/>
    <col min="32" max="34" width="7.1796875" style="1202" customWidth="1"/>
    <col min="35" max="39" width="8" style="1202" customWidth="1"/>
    <col min="40" max="41" width="13.81640625" style="1997"/>
    <col min="42" max="42" width="0" style="1997" hidden="1" customWidth="1"/>
    <col min="43" max="83" width="13.81640625" style="1997"/>
    <col min="84" max="16384" width="13.81640625" style="1202"/>
  </cols>
  <sheetData>
    <row r="1" spans="1:83" ht="18"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 thickBot="1">
      <c r="A2" s="149" t="s">
        <v>200</v>
      </c>
      <c r="B2" s="2337">
        <f>项目基本情况!D3</f>
        <v>43899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4.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4.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6">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2787</v>
      </c>
      <c r="O5" s="163" t="s">
        <v>211</v>
      </c>
      <c r="P5" s="165" t="s">
        <v>212</v>
      </c>
      <c r="Q5" s="166" t="s">
        <v>213</v>
      </c>
      <c r="R5" s="167" t="s">
        <v>214</v>
      </c>
      <c r="S5" s="2620" t="s">
        <v>2531</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
      <c r="A6" s="2301" t="str">
        <f>'数据-汇总表'!C19</f>
        <v>地上商业用房</v>
      </c>
      <c r="B6" s="2336" t="str">
        <f>IF(A6=0,"","经营性")</f>
        <v>经营性</v>
      </c>
      <c r="C6" s="173" t="s">
        <v>2932</v>
      </c>
      <c r="D6" s="2307">
        <f>SUMIF(项目基本情况!D$15:I$15,C6,项目基本情况!D$18:I$18)</f>
        <v>40</v>
      </c>
      <c r="E6" s="2308">
        <f>IF(B6="","",SUMIF(项目基本情况!D$15:I$15,C6,项目基本情况!D$17:I$17))</f>
        <v>58230</v>
      </c>
      <c r="F6" s="174">
        <f>SUMIF(项目基本情况!D$15:I$15,C6,项目基本情况!D$19:I$19)</f>
        <v>39.26</v>
      </c>
      <c r="G6" s="175">
        <f>IF(ISERROR(ROUND(POWER(1+H6,D6-F6)*(POWER(1+H6,F6)-1)/(POWER(1+H6,D6)-1),3)),0,ROUND(POWER(1+H6,D6-F6)*(POWER(1+H6,F6)-1)/(POWER(1+H6,D6)-1),3))</f>
        <v>0.99299999999999999</v>
      </c>
      <c r="H6" s="3025">
        <v>4.4999999999999998E-2</v>
      </c>
      <c r="I6" s="3025">
        <v>0.06</v>
      </c>
      <c r="J6" s="176">
        <v>8.5000000000000006E-2</v>
      </c>
      <c r="K6" s="179">
        <f>SUMIF('数据-汇总表'!C$19:C$33,'数据-取费表'!A6,'数据-汇总表'!E$19:E$33)</f>
        <v>35430</v>
      </c>
      <c r="L6" s="193">
        <v>3600</v>
      </c>
      <c r="M6" s="177">
        <f t="shared" ref="M6:M14" si="0">ROUND(K6*L6/10000,0)</f>
        <v>12755</v>
      </c>
      <c r="N6" s="3026">
        <v>0</v>
      </c>
      <c r="O6" s="177">
        <f>IF($N$5="成新度","——",ROUND(M6*N6,0))</f>
        <v>0</v>
      </c>
      <c r="P6" s="178">
        <f>IF($N$5="成新度","——",M6-O6)</f>
        <v>12755</v>
      </c>
      <c r="Q6" s="3027">
        <v>0.25</v>
      </c>
      <c r="R6" s="179">
        <f>SUMIF('数据-汇总表'!C$19:C$33,A6,'数据-汇总表'!R$19:R$33)</f>
        <v>3232.47</v>
      </c>
      <c r="S6" s="132">
        <f>IF('数据-汇总表'!$I$17="按面积比例",SUMIF('数据-汇总表'!C$19:C$33,A6,'数据-汇总表'!K$19:K$33),SUMIF('数据-汇总表'!C$19:C$33,A6,'数据-汇总表'!N$19:N$33))</f>
        <v>3138.16</v>
      </c>
      <c r="T6" s="2233">
        <f>IF($T$4="按面积比例",IF(ISERROR(ROUND($M$14*S6/S$16,0)),"0",ROUND($M$14*S6/S$16,0)),"需自行计算录入")</f>
        <v>1130</v>
      </c>
      <c r="U6" s="180">
        <f>商业案例!G29</f>
        <v>18.2</v>
      </c>
      <c r="V6" s="3184">
        <v>2.5000000000000001E-2</v>
      </c>
      <c r="W6" s="181">
        <v>0.1</v>
      </c>
      <c r="X6" s="2320"/>
      <c r="Y6" s="182">
        <v>1</v>
      </c>
      <c r="Z6" s="183"/>
      <c r="AA6" s="176"/>
      <c r="AB6" s="176"/>
      <c r="AC6" s="2323"/>
      <c r="AD6" s="184"/>
      <c r="AE6" s="972">
        <f ca="1">IF(AN6="",0,SUMIF(INDIRECT("'"&amp;AN6&amp;"'"&amp;"!E:E"),$AE$5,INDIRECT("'"&amp;AN6&amp;"'"&amp;"!F:F")))</f>
        <v>37.26</v>
      </c>
      <c r="AF6" s="141"/>
      <c r="AG6" s="1212">
        <f>IF(AF6="",0,AE6-AF6)</f>
        <v>0</v>
      </c>
      <c r="AH6" s="141"/>
      <c r="AI6" s="187">
        <v>365</v>
      </c>
      <c r="AJ6" s="188"/>
      <c r="AK6" s="189">
        <v>0.02</v>
      </c>
      <c r="AL6" s="190">
        <v>2E-3</v>
      </c>
      <c r="AM6" s="3038">
        <v>0.03</v>
      </c>
      <c r="AN6" s="2391" t="str">
        <f>定义!B5</f>
        <v>收益法-地上商业</v>
      </c>
      <c r="AO6" s="1999"/>
      <c r="AP6" s="1203">
        <f>ROUND(1-1/(1+H6)^F6,3)</f>
        <v>0.82199999999999995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58230</v>
      </c>
      <c r="F7" s="174">
        <f>SUMIF(项目基本情况!D$15:I$15,C7,项目基本情况!D$19:I$19)</f>
        <v>39.26</v>
      </c>
      <c r="G7" s="175">
        <f t="shared" ref="G7:G11" si="2">IF(ISERROR(ROUND(POWER(1+H7,D7-F7)*(POWER(1+H7,F7)-1)/(POWER(1+H7,D7)-1),3)),0,ROUND(POWER(1+H7,D7-F7)*(POWER(1+H7,F7)-1)/(POWER(1+H7,D7)-1),3))</f>
        <v>0.99299999999999999</v>
      </c>
      <c r="H7" s="3025">
        <v>4.4999999999999998E-2</v>
      </c>
      <c r="I7" s="3025">
        <v>5.5E-2</v>
      </c>
      <c r="J7" s="176">
        <v>8.5000000000000006E-2</v>
      </c>
      <c r="K7" s="179">
        <f>SUMIF('数据-汇总表'!C$19:C$33,'数据-取费表'!A7,'数据-汇总表'!E$19:E$33)</f>
        <v>13200</v>
      </c>
      <c r="L7" s="193">
        <f>L6</f>
        <v>3600</v>
      </c>
      <c r="M7" s="177">
        <f t="shared" si="0"/>
        <v>4752</v>
      </c>
      <c r="N7" s="3026">
        <v>0</v>
      </c>
      <c r="O7" s="177">
        <f t="shared" ref="O7:O14" si="3">IF($N$5="成新度","——",ROUND(M7*N7,0))</f>
        <v>0</v>
      </c>
      <c r="P7" s="178">
        <f t="shared" ref="P7:P14" si="4">IF($N$5="成新度","——",M7-O7)</f>
        <v>4752</v>
      </c>
      <c r="Q7" s="3027">
        <v>0.15</v>
      </c>
      <c r="R7" s="179">
        <f>SUMIF('数据-汇总表'!C$19:C$33,A7,'数据-汇总表'!R$19:R$33)</f>
        <v>1204.31</v>
      </c>
      <c r="S7" s="132">
        <f>IF('数据-汇总表'!$I$17="按面积比例",SUMIF('数据-汇总表'!C$19:C$33,A7,'数据-汇总表'!K$19:K$33),SUMIF('数据-汇总表'!C$19:C$33,A7,'数据-汇总表'!N$19:N$33))</f>
        <v>1169.17</v>
      </c>
      <c r="T7" s="2233">
        <f t="shared" ref="T7:T13" si="5">IF($T$4="按面积比例",IF(ISERROR(ROUND($M$14*S7/S$16,0)),"0",ROUND($M$14*S7/S$16,0)),"需自行计算录入")</f>
        <v>421</v>
      </c>
      <c r="U7" s="180">
        <v>12</v>
      </c>
      <c r="V7" s="3184">
        <v>0.02</v>
      </c>
      <c r="W7" s="181">
        <v>0.1</v>
      </c>
      <c r="X7" s="2320"/>
      <c r="Y7" s="182">
        <v>1</v>
      </c>
      <c r="Z7" s="183"/>
      <c r="AA7" s="176"/>
      <c r="AB7" s="176"/>
      <c r="AC7" s="2323"/>
      <c r="AD7" s="184"/>
      <c r="AE7" s="972">
        <f t="shared" ref="AE7:AE13" ca="1" si="6">IF(AN7="",0,SUMIF(INDIRECT("'"&amp;AN7&amp;"'"&amp;"!E:E"),$AE$5,INDIRECT("'"&amp;AN7&amp;"'"&amp;"!F:F")))</f>
        <v>37.26</v>
      </c>
      <c r="AF7" s="141"/>
      <c r="AG7" s="1212">
        <f t="shared" ref="AG7:AG13" si="7">IF(AF7="",0,AE7-AF7)</f>
        <v>0</v>
      </c>
      <c r="AH7" s="141"/>
      <c r="AI7" s="187">
        <v>365</v>
      </c>
      <c r="AJ7" s="188"/>
      <c r="AK7" s="189">
        <v>0.02</v>
      </c>
      <c r="AL7" s="190">
        <v>2E-3</v>
      </c>
      <c r="AM7" s="3038">
        <v>0.02</v>
      </c>
      <c r="AN7" s="2391" t="str">
        <f>定义!B6</f>
        <v>收益法-办公</v>
      </c>
      <c r="AO7" s="1999"/>
      <c r="AP7" s="1203">
        <f t="shared" ref="AP7:AP13" si="8">ROUND(1-1/(1+H7)^F7,3)</f>
        <v>0.82199999999999995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
      <c r="A8" s="2301" t="str">
        <f>'数据-汇总表'!C21</f>
        <v>商务公寓用房</v>
      </c>
      <c r="B8" s="2336" t="str">
        <f t="shared" si="1"/>
        <v>经营性</v>
      </c>
      <c r="C8" s="173" t="s">
        <v>2932</v>
      </c>
      <c r="D8" s="2307">
        <f>SUMIF(项目基本情况!D$15:I$15,C8,项目基本情况!D$18:I$18)</f>
        <v>40</v>
      </c>
      <c r="E8" s="2308">
        <f>IF(B8="","",SUMIF(项目基本情况!D$15:I$15,C8,项目基本情况!D$17:I$17))</f>
        <v>58230</v>
      </c>
      <c r="F8" s="174">
        <f>SUMIF(项目基本情况!D$15:I$15,C8,项目基本情况!D$19:I$19)</f>
        <v>39.26</v>
      </c>
      <c r="G8" s="175">
        <f t="shared" si="2"/>
        <v>0.99299999999999999</v>
      </c>
      <c r="H8" s="3025">
        <v>4.4999999999999998E-2</v>
      </c>
      <c r="I8" s="3025">
        <v>0.05</v>
      </c>
      <c r="J8" s="176">
        <v>8.5000000000000006E-2</v>
      </c>
      <c r="K8" s="179">
        <f>SUMIF('数据-汇总表'!C$19:C$33,'数据-取费表'!A8,'数据-汇总表'!E$19:E$33)</f>
        <v>21600</v>
      </c>
      <c r="L8" s="193">
        <v>5500</v>
      </c>
      <c r="M8" s="177">
        <f>ROUND(K8*L8/10000,0)</f>
        <v>11880</v>
      </c>
      <c r="N8" s="3026">
        <v>0</v>
      </c>
      <c r="O8" s="177">
        <f t="shared" si="3"/>
        <v>0</v>
      </c>
      <c r="P8" s="178">
        <f t="shared" si="4"/>
        <v>11880</v>
      </c>
      <c r="Q8" s="3027">
        <v>0.2</v>
      </c>
      <c r="R8" s="179">
        <f>SUMIF('数据-汇总表'!C$19:C$33,A8,'数据-汇总表'!R$19:R$33)</f>
        <v>1970.6899999999998</v>
      </c>
      <c r="S8" s="132">
        <f>IF('数据-汇总表'!$I$17="按面积比例",SUMIF('数据-汇总表'!C$19:C$33,A8,'数据-汇总表'!K$19:K$33),SUMIF('数据-汇总表'!C$19:C$33,A8,'数据-汇总表'!N$19:N$33))</f>
        <v>1913.19</v>
      </c>
      <c r="T8" s="2233">
        <f t="shared" si="5"/>
        <v>689</v>
      </c>
      <c r="U8" s="180"/>
      <c r="V8" s="3184">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8">
        <v>0.02</v>
      </c>
      <c r="AN8" s="2391"/>
      <c r="AO8" s="1999"/>
      <c r="AP8" s="1203">
        <f t="shared" si="8"/>
        <v>0.82199999999999995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
      <c r="A9" s="2301" t="str">
        <f>'数据-汇总表'!C22</f>
        <v>人才公寓用房</v>
      </c>
      <c r="B9" s="2336" t="str">
        <f t="shared" si="1"/>
        <v>经营性</v>
      </c>
      <c r="C9" s="173" t="s">
        <v>2932</v>
      </c>
      <c r="D9" s="2307">
        <f>SUMIF(项目基本情况!D$15:I$15,C9,项目基本情况!D$18:I$18)</f>
        <v>40</v>
      </c>
      <c r="E9" s="2308">
        <f>IF(B9="","",SUMIF(项目基本情况!D$15:I$15,C9,项目基本情况!D$17:I$17))</f>
        <v>58230</v>
      </c>
      <c r="F9" s="174">
        <f>SUMIF(项目基本情况!D$15:I$15,C9,项目基本情况!D$19:I$19)</f>
        <v>39.26</v>
      </c>
      <c r="G9" s="175">
        <f t="shared" si="2"/>
        <v>0.99299999999999999</v>
      </c>
      <c r="H9" s="176">
        <v>4.4999999999999998E-2</v>
      </c>
      <c r="I9" s="176">
        <v>0.05</v>
      </c>
      <c r="J9" s="176">
        <v>8.5000000000000006E-2</v>
      </c>
      <c r="K9" s="179">
        <f>SUMIF('数据-汇总表'!C$19:C$33,'数据-取费表'!A9,'数据-汇总表'!E$19:E$33)</f>
        <v>5400</v>
      </c>
      <c r="L9" s="193">
        <f>L6</f>
        <v>3600</v>
      </c>
      <c r="M9" s="177">
        <f t="shared" si="0"/>
        <v>1944</v>
      </c>
      <c r="N9" s="194">
        <v>0</v>
      </c>
      <c r="O9" s="177">
        <f t="shared" si="3"/>
        <v>0</v>
      </c>
      <c r="P9" s="178">
        <f t="shared" si="4"/>
        <v>1944</v>
      </c>
      <c r="Q9" s="192">
        <v>0</v>
      </c>
      <c r="R9" s="179">
        <f>SUMIF('数据-汇总表'!C$19:C$33,A9,'数据-汇总表'!R$19:R$33)</f>
        <v>492.66999999999996</v>
      </c>
      <c r="S9" s="132">
        <f>IF('数据-汇总表'!$I$17="按面积比例",SUMIF('数据-汇总表'!C$19:C$33,A9,'数据-汇总表'!K$19:K$33),SUMIF('数据-汇总表'!C$19:C$33,A9,'数据-汇总表'!N$19:N$33))</f>
        <v>478.3</v>
      </c>
      <c r="T9" s="2233">
        <f t="shared" si="5"/>
        <v>172</v>
      </c>
      <c r="U9" s="180"/>
      <c r="V9" s="3184"/>
      <c r="W9" s="181"/>
      <c r="X9" s="2320"/>
      <c r="Y9" s="182"/>
      <c r="Z9" s="183"/>
      <c r="AA9" s="176"/>
      <c r="AB9" s="176"/>
      <c r="AC9" s="2323"/>
      <c r="AD9" s="184"/>
      <c r="AE9" s="972">
        <f t="shared" ca="1" si="6"/>
        <v>0</v>
      </c>
      <c r="AF9" s="141"/>
      <c r="AG9" s="1212">
        <f t="shared" si="7"/>
        <v>0</v>
      </c>
      <c r="AH9" s="141"/>
      <c r="AI9" s="187">
        <v>365</v>
      </c>
      <c r="AJ9" s="188"/>
      <c r="AK9" s="189">
        <v>0.02</v>
      </c>
      <c r="AL9" s="190">
        <v>2E-3</v>
      </c>
      <c r="AM9" s="3038">
        <v>0.02</v>
      </c>
      <c r="AN9" s="2391"/>
      <c r="AO9" s="1999"/>
      <c r="AP9" s="1203">
        <f t="shared" si="8"/>
        <v>0.82199999999999995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
      <c r="A10" s="2301" t="str">
        <f>'数据-汇总表'!C23</f>
        <v>地下商业用房</v>
      </c>
      <c r="B10" s="2336" t="str">
        <f t="shared" si="1"/>
        <v>经营性</v>
      </c>
      <c r="C10" s="173" t="s">
        <v>2932</v>
      </c>
      <c r="D10" s="2307">
        <f>SUMIF(项目基本情况!D$15:I$15,C10,项目基本情况!D$18:I$18)</f>
        <v>40</v>
      </c>
      <c r="E10" s="2308">
        <f>IF(B10="","",SUMIF(项目基本情况!D$15:I$15,C10,项目基本情况!D$17:I$17))</f>
        <v>58230</v>
      </c>
      <c r="F10" s="174">
        <f>SUMIF(项目基本情况!D$15:I$15,C10,项目基本情况!D$19:I$19)</f>
        <v>39.26</v>
      </c>
      <c r="G10" s="175">
        <f t="shared" si="2"/>
        <v>0.99299999999999999</v>
      </c>
      <c r="H10" s="176">
        <v>4.4999999999999998E-2</v>
      </c>
      <c r="I10" s="176">
        <v>0.06</v>
      </c>
      <c r="J10" s="176">
        <v>8.5000000000000006E-2</v>
      </c>
      <c r="K10" s="179">
        <f>SUMIF('数据-汇总表'!C$19:C$33,'数据-取费表'!A10,'数据-汇总表'!E$19:E$33)</f>
        <v>8800</v>
      </c>
      <c r="L10" s="193">
        <f>L6</f>
        <v>3600</v>
      </c>
      <c r="M10" s="177">
        <f t="shared" si="0"/>
        <v>3168</v>
      </c>
      <c r="N10" s="194">
        <v>0</v>
      </c>
      <c r="O10" s="177">
        <f t="shared" si="3"/>
        <v>0</v>
      </c>
      <c r="P10" s="178">
        <f t="shared" si="4"/>
        <v>3168</v>
      </c>
      <c r="Q10" s="192">
        <v>0.2</v>
      </c>
      <c r="R10" s="179">
        <f>SUMIF('数据-汇总表'!C$19:C$33,A10,'数据-汇总表'!R$19:R$33)</f>
        <v>802.87</v>
      </c>
      <c r="S10" s="132">
        <f>IF('数据-汇总表'!$I$17="按面积比例",SUMIF('数据-汇总表'!C$19:C$33,A10,'数据-汇总表'!K$19:K$33),SUMIF('数据-汇总表'!C$19:C$33,A10,'数据-汇总表'!N$19:N$33))</f>
        <v>779.45</v>
      </c>
      <c r="T10" s="2233">
        <f t="shared" si="5"/>
        <v>281</v>
      </c>
      <c r="U10" s="180">
        <f>商业案例!G31</f>
        <v>18</v>
      </c>
      <c r="V10" s="3184">
        <v>0.02</v>
      </c>
      <c r="W10" s="181">
        <v>0.1</v>
      </c>
      <c r="X10" s="2320"/>
      <c r="Y10" s="182">
        <v>1</v>
      </c>
      <c r="Z10" s="183"/>
      <c r="AA10" s="176"/>
      <c r="AB10" s="176"/>
      <c r="AC10" s="2323"/>
      <c r="AD10" s="184"/>
      <c r="AE10" s="972">
        <f t="shared" ca="1" si="6"/>
        <v>37.26</v>
      </c>
      <c r="AF10" s="141"/>
      <c r="AG10" s="1212">
        <f t="shared" si="7"/>
        <v>0</v>
      </c>
      <c r="AH10" s="141"/>
      <c r="AI10" s="187">
        <v>365</v>
      </c>
      <c r="AJ10" s="188"/>
      <c r="AK10" s="189">
        <v>0.02</v>
      </c>
      <c r="AL10" s="190">
        <v>2E-3</v>
      </c>
      <c r="AM10" s="3038">
        <v>0.03</v>
      </c>
      <c r="AN10" s="2391" t="str">
        <f>定义!B9</f>
        <v>收益法-地下商业</v>
      </c>
      <c r="AO10" s="1999"/>
      <c r="AP10" s="1203">
        <f t="shared" si="8"/>
        <v>0.82199999999999995</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
      <c r="A11" s="2301" t="str">
        <f>'数据-汇总表'!C24</f>
        <v>地下车库用房</v>
      </c>
      <c r="B11" s="2336" t="str">
        <f t="shared" si="1"/>
        <v>经营性</v>
      </c>
      <c r="C11" s="173" t="s">
        <v>2933</v>
      </c>
      <c r="D11" s="2307">
        <f>SUMIF(项目基本情况!D$15:I$15,C11,项目基本情况!D$18:I$18)</f>
        <v>40</v>
      </c>
      <c r="E11" s="2308">
        <f>IF(B11="","",SUMIF(项目基本情况!D$15:I$15,C11,项目基本情况!D$17:I$17))</f>
        <v>58230</v>
      </c>
      <c r="F11" s="174">
        <f>SUMIF(项目基本情况!D$15:I$15,C11,项目基本情况!D$19:I$19)</f>
        <v>39.26</v>
      </c>
      <c r="G11" s="175">
        <f t="shared" si="2"/>
        <v>0.99299999999999999</v>
      </c>
      <c r="H11" s="176">
        <v>4.4999999999999998E-2</v>
      </c>
      <c r="I11" s="176">
        <v>0.05</v>
      </c>
      <c r="J11" s="176">
        <v>8.5000000000000006E-2</v>
      </c>
      <c r="K11" s="179">
        <f>SUMIF('数据-汇总表'!C$19:C$33,'数据-取费表'!A11,'数据-汇总表'!E$19:E$33)</f>
        <v>19802.580000000002</v>
      </c>
      <c r="L11" s="193">
        <f>L10</f>
        <v>3600</v>
      </c>
      <c r="M11" s="177">
        <f t="shared" si="0"/>
        <v>7129</v>
      </c>
      <c r="N11" s="194">
        <v>0</v>
      </c>
      <c r="O11" s="177">
        <f t="shared" si="3"/>
        <v>0</v>
      </c>
      <c r="P11" s="178">
        <f t="shared" si="4"/>
        <v>7129</v>
      </c>
      <c r="Q11" s="192">
        <v>0.03</v>
      </c>
      <c r="R11" s="179">
        <f>SUMIF('数据-汇总表'!C$19:C$33,A11,'数据-汇总表'!R$19:R$33)</f>
        <v>1806.69</v>
      </c>
      <c r="S11" s="132">
        <f>IF('数据-汇总表'!$I$17="按面积比例",SUMIF('数据-汇总表'!C$19:C$33,A11,'数据-汇总表'!K$19:K$33),SUMIF('数据-汇总表'!C$19:C$33,A11,'数据-汇总表'!N$19:N$33))</f>
        <v>1753.98</v>
      </c>
      <c r="T11" s="2233">
        <f t="shared" si="5"/>
        <v>632</v>
      </c>
      <c r="U11" s="185">
        <v>1500</v>
      </c>
      <c r="V11" s="3185">
        <v>0.02</v>
      </c>
      <c r="W11" s="181">
        <v>0.1</v>
      </c>
      <c r="X11" s="2323"/>
      <c r="Y11" s="182">
        <v>1</v>
      </c>
      <c r="Z11" s="195"/>
      <c r="AA11" s="176"/>
      <c r="AB11" s="176"/>
      <c r="AC11" s="2323"/>
      <c r="AD11" s="184"/>
      <c r="AE11" s="972">
        <f t="shared" ca="1" si="6"/>
        <v>37.26</v>
      </c>
      <c r="AF11" s="141"/>
      <c r="AG11" s="1212">
        <f t="shared" si="7"/>
        <v>0</v>
      </c>
      <c r="AH11" s="141">
        <v>500</v>
      </c>
      <c r="AI11" s="187">
        <v>12</v>
      </c>
      <c r="AJ11" s="188"/>
      <c r="AK11" s="189">
        <v>5.0000000000000001E-3</v>
      </c>
      <c r="AL11" s="190">
        <v>1E-3</v>
      </c>
      <c r="AM11" s="3038">
        <v>0.05</v>
      </c>
      <c r="AN11" s="2391" t="str">
        <f>定义!B10</f>
        <v>收益法-地下车库</v>
      </c>
      <c r="AO11" s="1999"/>
      <c r="AP11" s="1203">
        <f t="shared" si="8"/>
        <v>0.82199999999999995</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
      <c r="A14" s="2302" t="s">
        <v>2276</v>
      </c>
      <c r="B14" s="2305" t="s">
        <v>1644</v>
      </c>
      <c r="C14" s="2306" t="s">
        <v>2276</v>
      </c>
      <c r="D14" s="2307"/>
      <c r="E14" s="2308"/>
      <c r="F14" s="174"/>
      <c r="G14" s="175"/>
      <c r="H14" s="2309"/>
      <c r="I14" s="2309"/>
      <c r="J14" s="2309"/>
      <c r="K14" s="179">
        <f>SUMIF('数据-汇总表'!C$19:C$33,'数据-取费表'!A14,'数据-汇总表'!E$19:E$33)</f>
        <v>9232.25</v>
      </c>
      <c r="L14" s="193">
        <f>L11</f>
        <v>3600</v>
      </c>
      <c r="M14" s="177">
        <f t="shared" si="0"/>
        <v>3324</v>
      </c>
      <c r="N14" s="194">
        <v>0</v>
      </c>
      <c r="O14" s="177">
        <f t="shared" si="3"/>
        <v>0</v>
      </c>
      <c r="P14" s="178">
        <f t="shared" si="4"/>
        <v>3324</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8">
      <c r="A15" s="2311" t="s">
        <v>2278</v>
      </c>
      <c r="B15" s="2305" t="s">
        <v>1644</v>
      </c>
      <c r="C15" s="2306" t="s">
        <v>2277</v>
      </c>
      <c r="D15" s="2307"/>
      <c r="E15" s="2308"/>
      <c r="F15" s="174"/>
      <c r="G15" s="175"/>
      <c r="H15" s="2309"/>
      <c r="I15" s="2309"/>
      <c r="J15" s="2309"/>
      <c r="K15" s="179">
        <f>SUMIF('数据-汇总表'!C$19:C$33,'数据-取费表'!A15,'数据-汇总表'!E$19:E$33)</f>
        <v>10900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4.5" thickBot="1">
      <c r="A16" s="198" t="s">
        <v>227</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124364.83</v>
      </c>
      <c r="L16" s="206">
        <f>ROUND(M16*10000/SUM(K6:K14),0)</f>
        <v>3962</v>
      </c>
      <c r="M16" s="206">
        <f>SUM(M6:M14)</f>
        <v>44952</v>
      </c>
      <c r="N16" s="207">
        <f>ROUND(SUMPRODUCT(M6:M14,N6:N14)/M16,3)</f>
        <v>0</v>
      </c>
      <c r="O16" s="206">
        <f>SUM(O6:O14)</f>
        <v>0</v>
      </c>
      <c r="P16" s="206">
        <f>SUM(P6:P14)</f>
        <v>44952</v>
      </c>
      <c r="Q16" s="208">
        <f>ROUND(SUMPRODUCT(Q6:Q13,K6:K13)/SUMPRODUCT((Q6:Q13&gt;0)*(K6:K13)),2)</f>
        <v>0.18</v>
      </c>
      <c r="R16" s="2310">
        <f>SUM(R6:R13)</f>
        <v>9509.6999999999989</v>
      </c>
      <c r="S16" s="209">
        <f>SUM(S6:S13)</f>
        <v>9232.25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0.82199999999999995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4.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4.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4.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8.5">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8.5">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9"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8">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8">
      <c r="A31" s="228" t="s">
        <v>239</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8.5" thickBot="1">
      <c r="A32" s="237" t="s">
        <v>240</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
      <c r="A33" s="226" t="s">
        <v>243</v>
      </c>
      <c r="B33" s="1377">
        <v>0.05</v>
      </c>
      <c r="C33" s="2364" t="s">
        <v>2848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
      <c r="A34" s="228" t="s">
        <v>244</v>
      </c>
      <c r="B34" s="233">
        <v>0</v>
      </c>
      <c r="C34" s="2364" t="s">
        <v>2849</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
      <c r="A35" s="228" t="s">
        <v>241</v>
      </c>
      <c r="B35" s="229">
        <v>200</v>
      </c>
      <c r="C35" s="2364" t="s">
        <v>2850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4.5" thickBot="1">
      <c r="A36" s="231" t="s">
        <v>242</v>
      </c>
      <c r="B36" s="234">
        <v>1.4999999999999999E-2</v>
      </c>
      <c r="C36" s="2364" t="s">
        <v>2851</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
      <c r="A37" s="235" t="s">
        <v>245</v>
      </c>
      <c r="B37" s="236">
        <v>0.02</v>
      </c>
      <c r="C37" s="2364" t="s">
        <v>2852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
      <c r="A38" s="228" t="s">
        <v>246</v>
      </c>
      <c r="B38" s="233">
        <v>0.02</v>
      </c>
      <c r="C38" s="2364" t="s">
        <v>2852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
      <c r="A39" s="2488" t="s">
        <v>2415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4.5" thickBot="1">
      <c r="A40" s="2488" t="s">
        <v>2416</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5">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
      <c r="A42" s="979" t="s">
        <v>248</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
      <c r="A44" s="239" t="s">
        <v>250</v>
      </c>
      <c r="B44" s="242">
        <v>7.0000000000000007E-2</v>
      </c>
      <c r="C44" s="2364" t="s">
        <v>2853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
      <c r="A45" s="239" t="s">
        <v>251</v>
      </c>
      <c r="B45" s="240">
        <v>0.03</v>
      </c>
      <c r="C45" s="2366" t="s">
        <v>2854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
      <c r="A46" s="239" t="s">
        <v>252</v>
      </c>
      <c r="B46" s="240">
        <v>0.02</v>
      </c>
      <c r="C46" s="2366" t="s">
        <v>2855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4.5" thickBot="1">
      <c r="A47" s="243" t="s">
        <v>253</v>
      </c>
      <c r="B47" s="244">
        <v>0</v>
      </c>
      <c r="C47" s="3073" t="s">
        <v>2856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
      <c r="A48" s="245" t="s">
        <v>254</v>
      </c>
      <c r="B48" s="246">
        <v>0.03</v>
      </c>
      <c r="C48" s="3074" t="s">
        <v>2857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4.5" thickBot="1">
      <c r="A49" s="237" t="s">
        <v>255</v>
      </c>
      <c r="B49" s="240">
        <v>5.0000000000000001E-4</v>
      </c>
      <c r="C49" s="3074" t="s">
        <v>2858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5">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
      <c r="A53" s="228" t="s">
        <v>259</v>
      </c>
      <c r="B53" s="251" t="s">
        <v>1121</v>
      </c>
      <c r="C53" s="3075" t="s">
        <v>2859</v>
      </c>
      <c r="D53" s="3076" t="s">
        <v>2860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
      <c r="A54" s="3078" t="s">
        <v>2861</v>
      </c>
      <c r="B54" s="186">
        <v>15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
      <c r="A55" s="3078" t="s">
        <v>2862</v>
      </c>
      <c r="B55" s="186">
        <v>12</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
      <c r="A56" s="3078" t="s">
        <v>2863</v>
      </c>
      <c r="B56" s="186"/>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
      <c r="A57" s="3078" t="s">
        <v>2864</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
      <c r="A58" s="3078" t="s">
        <v>2865</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
      <c r="A59" s="3078" t="s">
        <v>2866</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
      <c r="A60" s="3078" t="s">
        <v>2867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
      <c r="A61" s="3078" t="s">
        <v>2868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
      <c r="A62" s="3078" t="s">
        <v>2869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4.5" thickBot="1">
      <c r="A63" s="3079" t="s">
        <v>2870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4"/>
  <cols>
    <col min="1" max="1" width="9.453125" style="2007" customWidth="1"/>
    <col min="2" max="2" width="24.453125" style="2022" customWidth="1"/>
    <col min="3" max="3" width="24.453125" style="2024" customWidth="1"/>
    <col min="4" max="4" width="2.6328125" style="2024" customWidth="1"/>
    <col min="5" max="5" width="5.90625" style="2024" customWidth="1"/>
    <col min="6" max="6" width="27" style="2022" customWidth="1"/>
    <col min="7" max="7" width="27" style="2023" customWidth="1"/>
    <col min="8" max="8" width="11.90625" style="2022" customWidth="1"/>
    <col min="9" max="9" width="16.81640625" style="2023" customWidth="1"/>
    <col min="10" max="10" width="2.6328125" style="2024" customWidth="1"/>
    <col min="11" max="11" width="11.90625" style="2022" customWidth="1"/>
    <col min="12" max="12" width="16.81640625" style="2023" customWidth="1"/>
    <col min="13" max="13" width="2.6328125" style="2024" customWidth="1"/>
    <col min="14" max="14" width="11.90625" style="2022" customWidth="1"/>
    <col min="15" max="15" width="16.81640625" style="2023" customWidth="1"/>
    <col min="16" max="16" width="2.6328125" style="2024" customWidth="1"/>
    <col min="17" max="17" width="11.90625" style="2022" customWidth="1"/>
    <col min="18" max="18" width="16.81640625" style="2025" customWidth="1"/>
    <col min="19" max="16384" width="9" style="2007"/>
  </cols>
  <sheetData>
    <row r="1" spans="1:18" s="2006" customFormat="1" ht="18" thickBot="1">
      <c r="A1" s="3305" t="s">
        <v>1628</v>
      </c>
      <c r="B1" s="3306"/>
      <c r="C1" s="3306"/>
      <c r="D1" s="3306"/>
      <c r="E1" s="3306"/>
      <c r="F1" s="3306"/>
      <c r="G1" s="3306"/>
      <c r="H1" s="2001"/>
      <c r="I1" s="2002"/>
      <c r="J1" s="2003"/>
      <c r="K1" s="2001"/>
      <c r="L1" s="2002"/>
      <c r="M1" s="2003"/>
      <c r="N1" s="2001"/>
      <c r="O1" s="2002"/>
      <c r="P1" s="2003"/>
      <c r="Q1" s="2004"/>
      <c r="R1" s="2005"/>
    </row>
    <row r="2" spans="1:18" ht="14.5" thickBot="1">
      <c r="A2" s="1220"/>
      <c r="B2" s="1221"/>
      <c r="C2" s="1222" t="s">
        <v>1629</v>
      </c>
      <c r="D2" s="1223"/>
      <c r="E2" s="1224"/>
      <c r="F2" s="1225"/>
      <c r="G2" s="1222" t="s">
        <v>1630</v>
      </c>
      <c r="H2" s="2007"/>
      <c r="I2" s="2007"/>
      <c r="J2" s="2007"/>
      <c r="K2" s="2007"/>
      <c r="L2" s="2007"/>
      <c r="M2" s="2007"/>
      <c r="N2" s="2007"/>
      <c r="O2" s="2007"/>
      <c r="P2" s="2007"/>
      <c r="Q2" s="2007"/>
      <c r="R2" s="2007"/>
    </row>
    <row r="3" spans="1:18" ht="28">
      <c r="A3" s="1226" t="s">
        <v>1631</v>
      </c>
      <c r="B3" s="1227" t="s">
        <v>1618</v>
      </c>
      <c r="C3" s="3199" t="s">
        <v>3139</v>
      </c>
      <c r="D3" s="2008"/>
      <c r="E3" s="1228" t="s">
        <v>1631</v>
      </c>
      <c r="F3" s="1229" t="s">
        <v>1619</v>
      </c>
      <c r="G3" s="3082"/>
      <c r="H3" s="2007"/>
      <c r="I3" s="2007"/>
      <c r="J3" s="2007"/>
      <c r="K3" s="2007"/>
      <c r="L3" s="2007"/>
      <c r="M3" s="2007"/>
      <c r="N3" s="2007"/>
      <c r="O3" s="2007"/>
      <c r="P3" s="2007"/>
      <c r="Q3" s="2007"/>
      <c r="R3" s="2007"/>
    </row>
    <row r="4" spans="1:18" ht="70">
      <c r="A4" s="1228"/>
      <c r="B4" s="1230" t="s">
        <v>1632</v>
      </c>
      <c r="C4" s="3186" t="s">
        <v>2987</v>
      </c>
      <c r="D4" s="2008"/>
      <c r="E4" s="1231"/>
      <c r="F4" s="1232" t="s">
        <v>1633</v>
      </c>
      <c r="G4" s="3080"/>
      <c r="H4" s="2007"/>
      <c r="I4" s="2007"/>
      <c r="J4" s="2007"/>
      <c r="K4" s="2007"/>
      <c r="L4" s="2007"/>
      <c r="M4" s="2007"/>
      <c r="N4" s="2007"/>
      <c r="O4" s="2007"/>
      <c r="P4" s="2007"/>
      <c r="Q4" s="2007"/>
      <c r="R4" s="2007"/>
    </row>
    <row r="5" spans="1:18" ht="56">
      <c r="A5" s="1228"/>
      <c r="B5" s="1230" t="s">
        <v>1634</v>
      </c>
      <c r="C5" s="3186" t="s">
        <v>2988</v>
      </c>
      <c r="D5" s="2008"/>
      <c r="E5" s="1231"/>
      <c r="F5" s="1230" t="s">
        <v>2505</v>
      </c>
      <c r="G5" s="3080"/>
      <c r="H5" s="2007"/>
      <c r="I5" s="2007"/>
      <c r="J5" s="2007"/>
      <c r="K5" s="2007"/>
      <c r="L5" s="2007"/>
      <c r="M5" s="2007"/>
      <c r="N5" s="2007"/>
      <c r="O5" s="2007"/>
      <c r="P5" s="2007"/>
      <c r="Q5" s="2007"/>
      <c r="R5" s="2007"/>
    </row>
    <row r="6" spans="1:18" ht="70">
      <c r="A6" s="1228"/>
      <c r="B6" s="1230" t="s">
        <v>1620</v>
      </c>
      <c r="C6" s="3187" t="s">
        <v>3143</v>
      </c>
      <c r="D6" s="2008"/>
      <c r="E6" s="1231"/>
      <c r="F6" s="1230" t="s">
        <v>2506</v>
      </c>
      <c r="G6" s="3080"/>
      <c r="H6" s="2007"/>
      <c r="I6" s="2007"/>
      <c r="J6" s="2007"/>
      <c r="K6" s="2007"/>
      <c r="L6" s="2007"/>
      <c r="M6" s="2007"/>
      <c r="N6" s="2007"/>
      <c r="O6" s="2007"/>
      <c r="P6" s="2007"/>
      <c r="Q6" s="2007"/>
      <c r="R6" s="2007"/>
    </row>
    <row r="7" spans="1:18" ht="28.5" thickBot="1">
      <c r="A7" s="1228"/>
      <c r="B7" s="1230" t="s">
        <v>2505</v>
      </c>
      <c r="C7" s="3187" t="s">
        <v>2990</v>
      </c>
      <c r="D7" s="2009"/>
      <c r="E7" s="1233"/>
      <c r="F7" s="1234" t="s">
        <v>1635</v>
      </c>
      <c r="G7" s="3083"/>
      <c r="H7" s="2007"/>
      <c r="I7" s="2007"/>
      <c r="J7" s="2007"/>
      <c r="K7" s="2007"/>
      <c r="L7" s="2007"/>
      <c r="M7" s="2007"/>
      <c r="N7" s="2007"/>
      <c r="O7" s="2007"/>
      <c r="P7" s="2007"/>
      <c r="Q7" s="2007"/>
      <c r="R7" s="2007"/>
    </row>
    <row r="8" spans="1:18" ht="28">
      <c r="A8" s="1228"/>
      <c r="B8" s="1230" t="s">
        <v>2506</v>
      </c>
      <c r="C8" s="3187" t="s">
        <v>2992</v>
      </c>
      <c r="D8" s="2009"/>
      <c r="E8" s="2009"/>
      <c r="F8" s="1552"/>
      <c r="G8" s="1552"/>
      <c r="H8" s="2007"/>
      <c r="I8" s="2007"/>
      <c r="J8" s="2007"/>
      <c r="K8" s="2007"/>
      <c r="L8" s="2007"/>
      <c r="M8" s="2007"/>
      <c r="N8" s="2007"/>
      <c r="O8" s="2007"/>
      <c r="P8" s="2007"/>
      <c r="Q8" s="2007"/>
      <c r="R8" s="2007"/>
    </row>
    <row r="9" spans="1:18" ht="56">
      <c r="A9" s="1228"/>
      <c r="B9" s="1230" t="s">
        <v>1621</v>
      </c>
      <c r="C9" s="3186" t="s">
        <v>2993</v>
      </c>
      <c r="D9" s="2008"/>
      <c r="E9" s="2009"/>
      <c r="F9" s="1552"/>
      <c r="G9" s="1552"/>
      <c r="H9" s="2007"/>
      <c r="I9" s="2007"/>
      <c r="J9" s="2007"/>
      <c r="K9" s="2007"/>
      <c r="L9" s="2007"/>
      <c r="M9" s="2007"/>
      <c r="N9" s="2007"/>
      <c r="O9" s="2007"/>
      <c r="P9" s="2007"/>
      <c r="Q9" s="2007"/>
      <c r="R9" s="2007"/>
    </row>
    <row r="10" spans="1:18" s="2015" customFormat="1" ht="14.5" thickBot="1">
      <c r="A10" s="1235"/>
      <c r="B10" s="1236" t="s">
        <v>1636</v>
      </c>
      <c r="C10" s="3081" t="s">
        <v>2997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5">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1637</v>
      </c>
      <c r="B13" s="2577"/>
      <c r="C13" s="2577"/>
      <c r="D13" s="1223"/>
      <c r="E13" s="2577"/>
      <c r="F13" s="2577"/>
      <c r="G13" s="2577"/>
    </row>
    <row r="14" spans="1:18" ht="14.5" thickBot="1">
      <c r="A14" s="1237"/>
      <c r="B14" s="1238"/>
      <c r="C14" s="1239" t="s">
        <v>1629</v>
      </c>
      <c r="D14" s="2008"/>
      <c r="E14" s="1240"/>
      <c r="F14" s="1240"/>
      <c r="G14" s="1222" t="s">
        <v>1630</v>
      </c>
    </row>
    <row r="15" spans="1:18" ht="28">
      <c r="A15" s="2587" t="s">
        <v>1622</v>
      </c>
      <c r="B15" s="1241" t="s">
        <v>1618</v>
      </c>
      <c r="C15" s="1242" t="str">
        <f>C3</f>
        <v>周边居住社区成熟度较好</v>
      </c>
      <c r="D15" s="2008"/>
      <c r="E15" s="2584" t="s">
        <v>1623</v>
      </c>
      <c r="F15" s="1241" t="s">
        <v>1638</v>
      </c>
      <c r="G15" s="1243">
        <f>G3</f>
        <v>0</v>
      </c>
    </row>
    <row r="16" spans="1:18" ht="70">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6">
      <c r="A17" s="2588"/>
      <c r="B17" s="1244" t="s">
        <v>1634</v>
      </c>
      <c r="C17" s="1245" t="str">
        <f>C5</f>
        <v>估价对象位于华强北，周边办公楼项目多，有华美大厦等，入驻率高，办公集聚程度好</v>
      </c>
      <c r="D17" s="2009"/>
      <c r="E17" s="2585"/>
      <c r="F17" s="1246" t="s">
        <v>1639</v>
      </c>
      <c r="G17" s="2793"/>
    </row>
    <row r="18" spans="1:7" ht="70">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8" t="s">
        <v>2995</v>
      </c>
      <c r="D19" s="2008"/>
      <c r="E19" s="2585"/>
      <c r="F19" s="1230" t="s">
        <v>2505</v>
      </c>
      <c r="G19" s="1005">
        <f>G5</f>
        <v>0</v>
      </c>
    </row>
    <row r="20" spans="1:7" ht="56">
      <c r="A20" s="2588"/>
      <c r="B20" s="1246" t="s">
        <v>1625</v>
      </c>
      <c r="C20" s="1245" t="str">
        <f>C9</f>
        <v>区域自然环境及人文环境好，周边有深圳城市学院、深圳中心公园；综合评价环境状况好</v>
      </c>
      <c r="D20" s="2009"/>
      <c r="E20" s="2585"/>
      <c r="F20" s="1230" t="s">
        <v>2506</v>
      </c>
      <c r="G20" s="1005">
        <f>G6</f>
        <v>0</v>
      </c>
    </row>
    <row r="21" spans="1:7" ht="28">
      <c r="A21" s="2588"/>
      <c r="B21" s="1230" t="s">
        <v>2505</v>
      </c>
      <c r="C21" s="1005" t="str">
        <f>C7</f>
        <v>估价对象所在区域公共配套设施齐备情况好</v>
      </c>
      <c r="D21" s="2008"/>
      <c r="E21" s="2585"/>
      <c r="F21" s="1246" t="s">
        <v>1626</v>
      </c>
      <c r="G21" s="3084"/>
    </row>
    <row r="22" spans="1:7" ht="28">
      <c r="A22" s="2588"/>
      <c r="B22" s="1230" t="s">
        <v>2506</v>
      </c>
      <c r="C22" s="1005" t="str">
        <f>C8</f>
        <v>估价对象所在区域基础设施水平高</v>
      </c>
      <c r="D22" s="2008"/>
      <c r="E22" s="2585"/>
      <c r="F22" s="1246" t="s">
        <v>1636</v>
      </c>
      <c r="G22" s="2793"/>
    </row>
    <row r="23" spans="1:7" ht="14.5" thickBot="1">
      <c r="A23" s="2588"/>
      <c r="B23" s="1246" t="s">
        <v>1626</v>
      </c>
      <c r="C23" s="3084" t="s">
        <v>2996</v>
      </c>
      <c r="E23" s="2586"/>
      <c r="F23" s="1247" t="s">
        <v>1640</v>
      </c>
      <c r="G23" s="3085"/>
    </row>
    <row r="24" spans="1:7" ht="14.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328125" defaultRowHeight="14"/>
  <cols>
    <col min="1" max="1" width="24.36328125" customWidth="1"/>
  </cols>
  <sheetData>
    <row r="1" spans="1:9" ht="16.5">
      <c r="A1" s="3044" t="s">
        <v>2803</v>
      </c>
      <c r="B1" s="3044">
        <f>SUM(B14:B23)</f>
        <v>124364.83</v>
      </c>
      <c r="C1" s="3045"/>
      <c r="D1" s="3045"/>
      <c r="E1" s="3045"/>
      <c r="F1" s="3045"/>
    </row>
    <row r="2" spans="1:9" ht="16.5">
      <c r="A2" s="3044" t="s">
        <v>2804</v>
      </c>
      <c r="B2" s="3044">
        <f>SUM(C14:C23)</f>
        <v>10423.25</v>
      </c>
      <c r="C2" s="3045"/>
      <c r="D2" s="3045"/>
      <c r="E2" s="3045"/>
      <c r="F2" s="3045"/>
    </row>
    <row r="3" spans="1:9" ht="16.5">
      <c r="A3" s="3044" t="s">
        <v>2805</v>
      </c>
      <c r="B3" s="3046">
        <f>项目基本情况!D3</f>
        <v>43899</v>
      </c>
      <c r="C3" s="3045"/>
      <c r="D3" s="3045"/>
      <c r="E3" s="3045"/>
      <c r="F3" s="3045"/>
    </row>
    <row r="4" spans="1:9" ht="33">
      <c r="A4" s="3044" t="s">
        <v>2806</v>
      </c>
      <c r="B4" s="3044" t="s">
        <v>2807</v>
      </c>
      <c r="C4" s="3044" t="s">
        <v>2808</v>
      </c>
      <c r="D4" s="3044" t="s">
        <v>2809</v>
      </c>
      <c r="E4" s="3045"/>
      <c r="F4" s="3045"/>
    </row>
    <row r="5" spans="1:9" ht="16.5">
      <c r="A5" s="3044" t="s">
        <v>2810</v>
      </c>
      <c r="B5" s="3044">
        <f ca="1">SUM(D14:D23)</f>
        <v>435607</v>
      </c>
      <c r="C5" s="3044">
        <f ca="1">ROUND(B5*10000/$B$1,0)</f>
        <v>35027</v>
      </c>
      <c r="D5" s="3044">
        <f ca="1">ROUND(B5*10000/$B$2,0)</f>
        <v>417919</v>
      </c>
      <c r="E5" s="3045"/>
      <c r="F5" s="3045"/>
    </row>
    <row r="6" spans="1:9" ht="16.5">
      <c r="A6" s="3044" t="s">
        <v>2811</v>
      </c>
      <c r="B6" s="3044">
        <f ca="1">SUM(G14:G23)</f>
        <v>435607</v>
      </c>
      <c r="C6" s="3044">
        <f t="shared" ref="C6:C8" ca="1" si="0">ROUND(B6*10000/$B$1,0)</f>
        <v>35027</v>
      </c>
      <c r="D6" s="3044">
        <f t="shared" ref="D6:D8" ca="1" si="1">ROUND(B6*10000/$B$2,0)</f>
        <v>417919</v>
      </c>
      <c r="E6" s="3045"/>
      <c r="F6" s="3045"/>
    </row>
    <row r="7" spans="1:9" ht="16.5">
      <c r="A7" s="3044" t="s">
        <v>2812</v>
      </c>
      <c r="B7" s="3044">
        <f>SUM(H14:H23)</f>
        <v>0</v>
      </c>
      <c r="C7" s="3044">
        <f t="shared" si="0"/>
        <v>0</v>
      </c>
      <c r="D7" s="3044">
        <f t="shared" si="1"/>
        <v>0</v>
      </c>
      <c r="E7" s="3045"/>
      <c r="F7" s="3045"/>
    </row>
    <row r="8" spans="1:9" ht="16.5">
      <c r="A8" s="3044" t="s">
        <v>2813</v>
      </c>
      <c r="B8" s="3044">
        <f>SUM(I14:I23)</f>
        <v>0</v>
      </c>
      <c r="C8" s="3044">
        <f t="shared" si="0"/>
        <v>0</v>
      </c>
      <c r="D8" s="3044">
        <f t="shared" si="1"/>
        <v>0</v>
      </c>
      <c r="E8" s="3045"/>
      <c r="F8" s="3045"/>
    </row>
    <row r="9" spans="1:9" ht="16.5">
      <c r="A9" s="3044" t="s">
        <v>2814</v>
      </c>
      <c r="B9" s="3047"/>
      <c r="C9" s="3045"/>
      <c r="D9" s="3045"/>
      <c r="E9" s="3045"/>
      <c r="F9" s="3045"/>
    </row>
    <row r="10" spans="1:9" ht="16.5">
      <c r="A10" s="3044" t="s">
        <v>2815</v>
      </c>
      <c r="B10" s="3047"/>
      <c r="C10" s="3045"/>
      <c r="D10" s="3045"/>
      <c r="E10" s="3045"/>
      <c r="F10" s="3045"/>
    </row>
    <row r="11" spans="1:9" ht="16.5">
      <c r="A11" s="3044" t="s">
        <v>2832</v>
      </c>
      <c r="B11" s="3047"/>
      <c r="C11" s="3045"/>
      <c r="D11" s="3045"/>
      <c r="E11" s="3045"/>
      <c r="F11" s="3045"/>
    </row>
    <row r="12" spans="1:9" ht="16.5">
      <c r="A12" s="3045"/>
      <c r="B12" s="3045"/>
      <c r="C12" s="3045"/>
      <c r="D12" s="3045"/>
      <c r="E12" s="3045"/>
      <c r="F12" s="3045"/>
    </row>
    <row r="13" spans="1:9" ht="33">
      <c r="A13" s="3050" t="s">
        <v>2831</v>
      </c>
      <c r="B13" s="3048" t="s">
        <v>2803</v>
      </c>
      <c r="C13" s="3048" t="s">
        <v>2804</v>
      </c>
      <c r="D13" s="3048" t="s">
        <v>2816</v>
      </c>
      <c r="E13" s="3044" t="s">
        <v>2830</v>
      </c>
      <c r="F13" s="3044" t="s">
        <v>2809</v>
      </c>
      <c r="G13" s="3048" t="s">
        <v>2817</v>
      </c>
      <c r="H13" s="3048" t="s">
        <v>2818</v>
      </c>
      <c r="I13" s="3048" t="s">
        <v>2819</v>
      </c>
    </row>
    <row r="14" spans="1:9" ht="16.5">
      <c r="A14" s="3051" t="s">
        <v>2829</v>
      </c>
      <c r="B14" s="3048">
        <f>结果表!L38</f>
        <v>124364.83</v>
      </c>
      <c r="C14" s="3048">
        <f>结果表!K38</f>
        <v>10423.25</v>
      </c>
      <c r="D14" s="3048">
        <f ca="1">结果表!C42</f>
        <v>435607</v>
      </c>
      <c r="E14" s="3048">
        <f ca="1">ROUND(D14*10000/B14,0)</f>
        <v>35027</v>
      </c>
      <c r="F14" s="3048">
        <f ca="1">ROUND(D14*10000/C14,0)</f>
        <v>417919</v>
      </c>
      <c r="G14" s="3048">
        <f ca="1">结果表!C44</f>
        <v>435607</v>
      </c>
      <c r="H14" s="3048" t="str">
        <f>结果表!C45</f>
        <v>——</v>
      </c>
      <c r="I14" s="3048" t="str">
        <f>结果表!C46</f>
        <v>——</v>
      </c>
    </row>
    <row r="15" spans="1:9" ht="16.5">
      <c r="A15" s="3051" t="s">
        <v>2820</v>
      </c>
      <c r="B15" s="3052"/>
      <c r="C15" s="3052"/>
      <c r="D15" s="3052"/>
      <c r="E15" s="3048" t="e">
        <f t="shared" ref="E15:E23" si="2">ROUND(D15*10000/B15,0)</f>
        <v>#DIV/0!</v>
      </c>
      <c r="F15" s="3048" t="e">
        <f t="shared" ref="F15:F23" si="3">ROUND(D15*10000/C15,0)</f>
        <v>#DIV/0!</v>
      </c>
      <c r="G15" s="3049"/>
      <c r="H15" s="3049"/>
      <c r="I15" s="3052"/>
    </row>
    <row r="16" spans="1:9" ht="16.5">
      <c r="A16" s="3051" t="s">
        <v>2821</v>
      </c>
      <c r="B16" s="3052"/>
      <c r="C16" s="3052"/>
      <c r="D16" s="3052"/>
      <c r="E16" s="3048" t="e">
        <f t="shared" si="2"/>
        <v>#DIV/0!</v>
      </c>
      <c r="F16" s="3048" t="e">
        <f t="shared" si="3"/>
        <v>#DIV/0!</v>
      </c>
      <c r="G16" s="3049"/>
      <c r="H16" s="3049"/>
      <c r="I16" s="3052"/>
    </row>
    <row r="17" spans="1:9" ht="16.5">
      <c r="A17" s="3051" t="s">
        <v>2822</v>
      </c>
      <c r="B17" s="3052"/>
      <c r="C17" s="3052"/>
      <c r="D17" s="3052"/>
      <c r="E17" s="3048" t="e">
        <f t="shared" si="2"/>
        <v>#DIV/0!</v>
      </c>
      <c r="F17" s="3048" t="e">
        <f t="shared" si="3"/>
        <v>#DIV/0!</v>
      </c>
      <c r="G17" s="3049"/>
      <c r="H17" s="3049"/>
      <c r="I17" s="3052"/>
    </row>
    <row r="18" spans="1:9" ht="16.5">
      <c r="A18" s="3051" t="s">
        <v>2823</v>
      </c>
      <c r="B18" s="3052"/>
      <c r="C18" s="3052"/>
      <c r="D18" s="3052"/>
      <c r="E18" s="3048" t="e">
        <f t="shared" si="2"/>
        <v>#DIV/0!</v>
      </c>
      <c r="F18" s="3048" t="e">
        <f t="shared" si="3"/>
        <v>#DIV/0!</v>
      </c>
      <c r="G18" s="3052"/>
      <c r="H18" s="3052"/>
      <c r="I18" s="3052"/>
    </row>
    <row r="19" spans="1:9" ht="16.5">
      <c r="A19" s="3051" t="s">
        <v>2824</v>
      </c>
      <c r="B19" s="3052"/>
      <c r="C19" s="3052"/>
      <c r="D19" s="3052"/>
      <c r="E19" s="3048" t="e">
        <f t="shared" si="2"/>
        <v>#DIV/0!</v>
      </c>
      <c r="F19" s="3048" t="e">
        <f t="shared" si="3"/>
        <v>#DIV/0!</v>
      </c>
      <c r="G19" s="3052"/>
      <c r="H19" s="3052"/>
      <c r="I19" s="3052"/>
    </row>
    <row r="20" spans="1:9" ht="16.5">
      <c r="A20" s="3051" t="s">
        <v>2825</v>
      </c>
      <c r="B20" s="3052"/>
      <c r="C20" s="3052"/>
      <c r="D20" s="3052"/>
      <c r="E20" s="3048" t="e">
        <f t="shared" si="2"/>
        <v>#DIV/0!</v>
      </c>
      <c r="F20" s="3048" t="e">
        <f t="shared" si="3"/>
        <v>#DIV/0!</v>
      </c>
      <c r="G20" s="3052"/>
      <c r="H20" s="3052"/>
      <c r="I20" s="3052"/>
    </row>
    <row r="21" spans="1:9" ht="16.5">
      <c r="A21" s="3051" t="s">
        <v>2826</v>
      </c>
      <c r="B21" s="3052"/>
      <c r="C21" s="3052"/>
      <c r="D21" s="3052"/>
      <c r="E21" s="3048" t="e">
        <f t="shared" si="2"/>
        <v>#DIV/0!</v>
      </c>
      <c r="F21" s="3048" t="e">
        <f t="shared" si="3"/>
        <v>#DIV/0!</v>
      </c>
      <c r="G21" s="3052"/>
      <c r="H21" s="3052"/>
      <c r="I21" s="3052"/>
    </row>
    <row r="22" spans="1:9" ht="16.5">
      <c r="A22" s="3051" t="s">
        <v>2827</v>
      </c>
      <c r="B22" s="3052"/>
      <c r="C22" s="3052"/>
      <c r="D22" s="3052"/>
      <c r="E22" s="3048" t="e">
        <f t="shared" si="2"/>
        <v>#DIV/0!</v>
      </c>
      <c r="F22" s="3048" t="e">
        <f t="shared" si="3"/>
        <v>#DIV/0!</v>
      </c>
      <c r="G22" s="3052"/>
      <c r="H22" s="3052"/>
      <c r="I22" s="3052"/>
    </row>
    <row r="23" spans="1:9" ht="16.5">
      <c r="A23" s="3051" t="s">
        <v>2828</v>
      </c>
      <c r="B23" s="3052"/>
      <c r="C23" s="3052"/>
      <c r="D23" s="3052"/>
      <c r="E23" s="3044" t="e">
        <f t="shared" si="2"/>
        <v>#DIV/0!</v>
      </c>
      <c r="F23" s="3044" t="e">
        <f t="shared" si="3"/>
        <v>#DIV/0!</v>
      </c>
      <c r="G23" s="3052"/>
      <c r="H23" s="3052"/>
      <c r="I23" s="3052"/>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L9" sqref="L9"/>
    </sheetView>
  </sheetViews>
  <sheetFormatPr defaultColWidth="12.6328125" defaultRowHeight="21.75" customHeight="1"/>
  <cols>
    <col min="1" max="2" width="12.81640625" style="1249" bestFit="1" customWidth="1"/>
    <col min="3" max="4" width="12.6328125" style="1249" customWidth="1"/>
    <col min="5" max="9" width="12.81640625" style="1249" bestFit="1" customWidth="1"/>
    <col min="10" max="10" width="2.1796875" style="257" customWidth="1"/>
    <col min="11" max="12" width="12.6328125" style="257" customWidth="1"/>
    <col min="13" max="13" width="12.6328125" style="257"/>
    <col min="14" max="14" width="15.6328125" style="257" bestFit="1" customWidth="1"/>
    <col min="15" max="19" width="12.81640625" style="257" bestFit="1" customWidth="1"/>
    <col min="20" max="26" width="12.6328125" style="257"/>
    <col min="27" max="16384" width="12.6328125" style="1249"/>
  </cols>
  <sheetData>
    <row r="1" spans="1:22" ht="21.75" customHeight="1" thickBot="1">
      <c r="A1" s="1775" t="s">
        <v>2017</v>
      </c>
      <c r="B1" s="1776"/>
      <c r="C1" s="1804" t="s">
        <v>2018</v>
      </c>
      <c r="D1" s="1805" t="s">
        <v>2955</v>
      </c>
      <c r="E1" s="1804" t="s">
        <v>2019</v>
      </c>
      <c r="F1" s="1806" t="s">
        <v>2956</v>
      </c>
      <c r="G1" s="311"/>
      <c r="H1" s="311"/>
      <c r="I1" s="311"/>
      <c r="J1" s="2028"/>
      <c r="K1" s="2028"/>
      <c r="L1" s="2028"/>
      <c r="M1" s="2028"/>
      <c r="N1" s="2028"/>
      <c r="O1" s="2028"/>
      <c r="P1" s="2028"/>
      <c r="Q1" s="2028"/>
      <c r="R1" s="2028"/>
      <c r="S1" s="2028"/>
      <c r="T1" s="2028"/>
      <c r="U1" s="2028"/>
      <c r="V1" s="2028"/>
    </row>
    <row r="2" spans="1:22" ht="21.75" customHeight="1" thickBot="1">
      <c r="A2" s="3352" t="str">
        <f>项目基本情况!K2</f>
        <v>深圳市莱茵达路以北、嘉华路以西出让国有建设用地使用权</v>
      </c>
      <c r="B2" s="3353"/>
      <c r="C2" s="3354"/>
      <c r="D2" s="3354"/>
      <c r="E2" s="3354"/>
      <c r="F2" s="3354"/>
      <c r="G2" s="3353"/>
      <c r="H2" s="3353"/>
      <c r="I2" s="3355"/>
      <c r="J2" s="2029"/>
      <c r="K2" s="2028"/>
      <c r="L2" s="2028"/>
      <c r="M2" s="2028"/>
      <c r="N2" s="2028"/>
      <c r="O2" s="2028"/>
      <c r="P2" s="2028"/>
      <c r="Q2" s="2028"/>
      <c r="R2" s="2028"/>
      <c r="S2" s="2028"/>
      <c r="T2" s="2028"/>
      <c r="U2" s="2028"/>
      <c r="V2" s="2028"/>
    </row>
    <row r="3" spans="1:22" ht="14">
      <c r="A3" s="3363" t="s">
        <v>263</v>
      </c>
      <c r="B3" s="3364"/>
      <c r="C3" s="3364"/>
      <c r="D3" s="3364"/>
      <c r="E3" s="3364"/>
      <c r="F3" s="3364"/>
      <c r="G3" s="3364"/>
      <c r="H3" s="3364"/>
      <c r="I3" s="3364"/>
      <c r="J3" s="2029"/>
      <c r="K3" s="2028"/>
      <c r="L3" s="2028"/>
      <c r="M3" s="2028"/>
      <c r="N3" s="2028"/>
      <c r="O3" s="2028"/>
      <c r="P3" s="2028"/>
      <c r="Q3" s="2028"/>
      <c r="R3" s="2028"/>
      <c r="S3" s="2028"/>
      <c r="T3" s="2028"/>
      <c r="U3" s="2028"/>
      <c r="V3" s="2028"/>
    </row>
    <row r="4" spans="1:22" ht="14">
      <c r="A4" s="258" t="s">
        <v>264</v>
      </c>
      <c r="B4" s="259" t="s">
        <v>265</v>
      </c>
      <c r="C4" s="260" t="s">
        <v>2957</v>
      </c>
      <c r="D4" s="260" t="s">
        <v>2958</v>
      </c>
      <c r="E4" s="3327" t="s">
        <v>266</v>
      </c>
      <c r="F4" s="3369"/>
      <c r="G4" s="3369"/>
      <c r="H4" s="3369"/>
      <c r="I4" s="332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
      <c r="A5" s="3356" t="s">
        <v>267</v>
      </c>
      <c r="B5" s="3357">
        <v>25</v>
      </c>
      <c r="C5" s="3365"/>
      <c r="D5" s="3368"/>
      <c r="E5" s="261" t="s">
        <v>268</v>
      </c>
      <c r="F5" s="262"/>
      <c r="G5" s="262"/>
      <c r="H5" s="262"/>
      <c r="I5" s="263"/>
      <c r="J5" s="2029"/>
      <c r="K5" s="2028"/>
      <c r="L5" s="2028"/>
      <c r="M5" s="2028"/>
      <c r="N5" s="2028"/>
      <c r="O5" s="2028"/>
      <c r="P5" s="2028"/>
      <c r="Q5" s="2028"/>
      <c r="R5" s="2028"/>
      <c r="S5" s="2028"/>
      <c r="T5" s="2028"/>
      <c r="U5" s="2028"/>
      <c r="V5" s="2028"/>
    </row>
    <row r="6" spans="1:22" ht="14">
      <c r="A6" s="3356"/>
      <c r="B6" s="3357"/>
      <c r="C6" s="3366"/>
      <c r="D6" s="3368"/>
      <c r="E6" s="261" t="s">
        <v>269</v>
      </c>
      <c r="F6" s="262"/>
      <c r="G6" s="262"/>
      <c r="H6" s="262"/>
      <c r="I6" s="263"/>
      <c r="J6" s="2029"/>
      <c r="K6" s="2028"/>
      <c r="L6" s="2028"/>
      <c r="M6" s="2028"/>
      <c r="N6" s="2028"/>
      <c r="O6" s="2028"/>
      <c r="P6" s="2028"/>
      <c r="Q6" s="2028"/>
      <c r="R6" s="2028"/>
      <c r="S6" s="2028"/>
      <c r="T6" s="2028"/>
      <c r="U6" s="2028"/>
      <c r="V6" s="2028"/>
    </row>
    <row r="7" spans="1:22" ht="14">
      <c r="A7" s="3356"/>
      <c r="B7" s="3357"/>
      <c r="C7" s="3367"/>
      <c r="D7" s="3368"/>
      <c r="E7" s="261" t="s">
        <v>270</v>
      </c>
      <c r="F7" s="262"/>
      <c r="G7" s="262"/>
      <c r="H7" s="262"/>
      <c r="I7" s="263"/>
      <c r="J7" s="2029"/>
      <c r="K7" s="2028"/>
      <c r="L7" s="2028"/>
      <c r="M7" s="2028"/>
      <c r="N7" s="2028"/>
      <c r="O7" s="2028"/>
      <c r="P7" s="2028"/>
      <c r="Q7" s="2028"/>
      <c r="R7" s="2028"/>
      <c r="S7" s="2028"/>
      <c r="T7" s="2028"/>
      <c r="U7" s="2028"/>
      <c r="V7" s="2028"/>
    </row>
    <row r="8" spans="1:22" ht="14">
      <c r="A8" s="3356" t="s">
        <v>271</v>
      </c>
      <c r="B8" s="3357">
        <v>15</v>
      </c>
      <c r="C8" s="3365"/>
      <c r="D8" s="3368"/>
      <c r="E8" s="261" t="s">
        <v>272</v>
      </c>
      <c r="F8" s="262"/>
      <c r="G8" s="262"/>
      <c r="H8" s="262"/>
      <c r="I8" s="263"/>
      <c r="J8" s="2029"/>
      <c r="K8" s="2028"/>
      <c r="L8" s="2028"/>
      <c r="M8" s="2028"/>
      <c r="N8" s="2028"/>
      <c r="O8" s="2028"/>
      <c r="P8" s="2028"/>
      <c r="Q8" s="2028"/>
      <c r="R8" s="2028"/>
      <c r="S8" s="2028"/>
      <c r="T8" s="2028"/>
      <c r="U8" s="2028"/>
      <c r="V8" s="2028"/>
    </row>
    <row r="9" spans="1:22" ht="14">
      <c r="A9" s="3356"/>
      <c r="B9" s="3357"/>
      <c r="C9" s="3367"/>
      <c r="D9" s="3368"/>
      <c r="E9" s="261" t="s">
        <v>273</v>
      </c>
      <c r="F9" s="262"/>
      <c r="G9" s="262"/>
      <c r="H9" s="262"/>
      <c r="I9" s="263"/>
      <c r="J9" s="2029"/>
      <c r="K9" s="2028"/>
      <c r="L9" s="2028"/>
      <c r="M9" s="2028"/>
      <c r="N9" s="2028"/>
      <c r="O9" s="2028"/>
      <c r="P9" s="2028"/>
      <c r="Q9" s="2028"/>
      <c r="R9" s="2028"/>
      <c r="S9" s="2028"/>
      <c r="T9" s="2028"/>
      <c r="U9" s="2028"/>
      <c r="V9" s="2028"/>
    </row>
    <row r="10" spans="1:22" ht="14">
      <c r="A10" s="3356" t="s">
        <v>274</v>
      </c>
      <c r="B10" s="3357">
        <v>15</v>
      </c>
      <c r="C10" s="3365"/>
      <c r="D10" s="3368"/>
      <c r="E10" s="261" t="s">
        <v>275</v>
      </c>
      <c r="F10" s="262"/>
      <c r="G10" s="262"/>
      <c r="H10" s="262"/>
      <c r="I10" s="263"/>
      <c r="J10" s="2029"/>
      <c r="K10" s="2028"/>
      <c r="L10" s="2028"/>
      <c r="M10" s="2028"/>
      <c r="N10" s="2028"/>
      <c r="O10" s="2028"/>
      <c r="P10" s="2028"/>
      <c r="Q10" s="2028"/>
      <c r="R10" s="2028"/>
      <c r="S10" s="2028"/>
      <c r="T10" s="2028"/>
      <c r="U10" s="2028"/>
      <c r="V10" s="2028"/>
    </row>
    <row r="11" spans="1:22" ht="14">
      <c r="A11" s="3356"/>
      <c r="B11" s="3357"/>
      <c r="C11" s="3367"/>
      <c r="D11" s="3368"/>
      <c r="E11" s="261" t="s">
        <v>276</v>
      </c>
      <c r="F11" s="262"/>
      <c r="G11" s="262"/>
      <c r="H11" s="262"/>
      <c r="I11" s="263"/>
      <c r="J11" s="2029"/>
      <c r="K11" s="2028"/>
      <c r="L11" s="2028"/>
      <c r="M11" s="2028"/>
      <c r="N11" s="2028"/>
      <c r="O11" s="2028"/>
      <c r="P11" s="2028"/>
      <c r="Q11" s="2028"/>
      <c r="R11" s="2028"/>
      <c r="S11" s="2028"/>
      <c r="T11" s="2028"/>
      <c r="U11" s="2028"/>
      <c r="V11" s="2028"/>
    </row>
    <row r="12" spans="1:22" ht="14">
      <c r="A12" s="3356" t="s">
        <v>277</v>
      </c>
      <c r="B12" s="3357">
        <v>15</v>
      </c>
      <c r="C12" s="3365"/>
      <c r="D12" s="3368"/>
      <c r="E12" s="261" t="s">
        <v>278</v>
      </c>
      <c r="F12" s="262"/>
      <c r="G12" s="262"/>
      <c r="H12" s="262"/>
      <c r="I12" s="263"/>
      <c r="J12" s="2029"/>
      <c r="K12" s="2028"/>
      <c r="L12" s="2028"/>
      <c r="M12" s="2028"/>
      <c r="N12" s="2028"/>
      <c r="O12" s="2028"/>
      <c r="P12" s="2028"/>
      <c r="Q12" s="2028"/>
      <c r="R12" s="2028"/>
      <c r="S12" s="2028"/>
      <c r="T12" s="2028"/>
      <c r="U12" s="2028"/>
      <c r="V12" s="2028"/>
    </row>
    <row r="13" spans="1:22" ht="14">
      <c r="A13" s="3356"/>
      <c r="B13" s="3357"/>
      <c r="C13" s="3367"/>
      <c r="D13" s="3368"/>
      <c r="E13" s="261" t="s">
        <v>279</v>
      </c>
      <c r="F13" s="262"/>
      <c r="G13" s="262"/>
      <c r="H13" s="262"/>
      <c r="I13" s="263"/>
      <c r="J13" s="2029"/>
      <c r="K13" s="2028"/>
      <c r="L13" s="2028"/>
      <c r="M13" s="2028"/>
      <c r="N13" s="2028"/>
      <c r="O13" s="2028"/>
      <c r="P13" s="2028"/>
      <c r="Q13" s="2028"/>
      <c r="R13" s="2028"/>
      <c r="S13" s="2028"/>
      <c r="T13" s="2028"/>
      <c r="U13" s="2028"/>
      <c r="V13" s="2028"/>
    </row>
    <row r="14" spans="1:22" ht="14">
      <c r="A14" s="3356" t="s">
        <v>280</v>
      </c>
      <c r="B14" s="3357">
        <v>30</v>
      </c>
      <c r="C14" s="3365">
        <v>3</v>
      </c>
      <c r="D14" s="3368">
        <v>7</v>
      </c>
      <c r="E14" s="261" t="s">
        <v>281</v>
      </c>
      <c r="F14" s="262"/>
      <c r="G14" s="262"/>
      <c r="H14" s="262"/>
      <c r="I14" s="263"/>
      <c r="J14" s="2029"/>
      <c r="K14" s="2028"/>
      <c r="L14" s="2028"/>
      <c r="M14" s="2028"/>
      <c r="N14" s="2028"/>
      <c r="O14" s="2028"/>
      <c r="P14" s="2028"/>
      <c r="Q14" s="2028"/>
      <c r="R14" s="2028"/>
      <c r="S14" s="2028"/>
      <c r="T14" s="2028"/>
      <c r="U14" s="2028"/>
      <c r="V14" s="2028"/>
    </row>
    <row r="15" spans="1:22" ht="14">
      <c r="A15" s="3356"/>
      <c r="B15" s="3357"/>
      <c r="C15" s="3366"/>
      <c r="D15" s="3368"/>
      <c r="E15" s="261" t="s">
        <v>282</v>
      </c>
      <c r="F15" s="262"/>
      <c r="G15" s="262"/>
      <c r="H15" s="262"/>
      <c r="I15" s="263"/>
      <c r="J15" s="2029"/>
      <c r="K15" s="2028"/>
      <c r="L15" s="2028"/>
      <c r="M15" s="2028"/>
      <c r="N15" s="2028"/>
      <c r="O15" s="2028"/>
      <c r="P15" s="2028"/>
      <c r="Q15" s="2028"/>
      <c r="R15" s="2028"/>
      <c r="S15" s="2028"/>
      <c r="T15" s="2028"/>
      <c r="U15" s="2028"/>
      <c r="V15" s="2028"/>
    </row>
    <row r="16" spans="1:22" ht="14">
      <c r="A16" s="3356"/>
      <c r="B16" s="3357"/>
      <c r="C16" s="3367"/>
      <c r="D16" s="3368"/>
      <c r="E16" s="261" t="s">
        <v>283</v>
      </c>
      <c r="F16" s="262"/>
      <c r="G16" s="262"/>
      <c r="H16" s="262"/>
      <c r="I16" s="263"/>
      <c r="J16" s="2029"/>
      <c r="K16" s="2028"/>
      <c r="L16" s="2028"/>
      <c r="M16" s="2028"/>
      <c r="N16" s="2028"/>
      <c r="O16" s="2028"/>
      <c r="P16" s="2028"/>
      <c r="Q16" s="2028"/>
      <c r="R16" s="2028"/>
      <c r="S16" s="2028"/>
      <c r="T16" s="2028"/>
      <c r="U16" s="2028"/>
      <c r="V16" s="2028"/>
    </row>
    <row r="17" spans="1:26" ht="14">
      <c r="A17" s="264" t="s">
        <v>284</v>
      </c>
      <c r="B17" s="144"/>
      <c r="C17" s="265">
        <f>SUM(C5:C16)</f>
        <v>3</v>
      </c>
      <c r="D17" s="265">
        <f>SUM(D5:D16)</f>
        <v>7</v>
      </c>
      <c r="E17" s="311"/>
      <c r="F17" s="311"/>
      <c r="G17" s="311"/>
      <c r="H17" s="311"/>
      <c r="I17" s="311"/>
      <c r="J17" s="2029"/>
      <c r="K17" s="2028"/>
      <c r="L17" s="2028"/>
      <c r="M17" s="2028"/>
      <c r="N17" s="2028"/>
      <c r="O17" s="2028"/>
      <c r="P17" s="2028"/>
      <c r="Q17" s="2028"/>
      <c r="R17" s="2028"/>
      <c r="S17" s="2028"/>
      <c r="T17" s="2028"/>
      <c r="U17" s="2028"/>
      <c r="V17" s="2028"/>
    </row>
    <row r="18" spans="1:26" ht="14.5" thickBot="1">
      <c r="A18" s="266" t="s">
        <v>285</v>
      </c>
      <c r="B18" s="105"/>
      <c r="C18" s="267">
        <f>ROUND(C17/SUM(C17:D17),2)</f>
        <v>0.3</v>
      </c>
      <c r="D18" s="267">
        <f>1-C18</f>
        <v>0.7</v>
      </c>
      <c r="E18" s="311"/>
      <c r="F18" s="311"/>
      <c r="G18" s="311"/>
      <c r="H18" s="311"/>
      <c r="I18" s="311"/>
      <c r="J18" s="2028"/>
      <c r="K18" s="2028"/>
      <c r="L18" s="2028"/>
      <c r="M18" s="2028"/>
      <c r="N18" s="2028"/>
      <c r="O18" s="2028"/>
      <c r="P18" s="2028"/>
      <c r="Q18" s="2028"/>
      <c r="R18" s="2028"/>
      <c r="S18" s="2028"/>
      <c r="T18" s="2028"/>
      <c r="U18" s="2028"/>
      <c r="V18" s="2028"/>
    </row>
    <row r="19" spans="1:26" ht="14">
      <c r="A19" s="268" t="s">
        <v>286</v>
      </c>
      <c r="B19" s="269" t="s">
        <v>287</v>
      </c>
      <c r="C19" s="270">
        <f ca="1">SUMIF(INDIRECT("'"&amp;C4&amp;"'"&amp;"!A:A"),结果表!B19,INDIRECT("'"&amp;C4&amp;"'"&amp;"!B:B"))</f>
        <v>353825</v>
      </c>
      <c r="D19" s="271">
        <f ca="1">SUMIF(INDIRECT("'"&amp;D4&amp;"'"&amp;"!A:A"),结果表!B19,INDIRECT("'"&amp;D4&amp;"'"&amp;"!B:B"))</f>
        <v>470657</v>
      </c>
      <c r="E19" s="268" t="s">
        <v>288</v>
      </c>
      <c r="F19" s="269" t="s">
        <v>287</v>
      </c>
      <c r="G19" s="272">
        <f ca="1">ROUND(C19*$C$18+D19*$D$18,0)</f>
        <v>435607</v>
      </c>
      <c r="H19" s="273" t="s">
        <v>289</v>
      </c>
      <c r="I19" s="311"/>
      <c r="J19" s="2028"/>
      <c r="K19" s="2028"/>
      <c r="L19" s="2028"/>
      <c r="M19" s="2028"/>
      <c r="N19" s="2028"/>
      <c r="O19" s="2028"/>
      <c r="P19" s="2028"/>
      <c r="Q19" s="2028"/>
      <c r="R19" s="2028"/>
      <c r="S19" s="2028"/>
      <c r="T19" s="2028"/>
      <c r="U19" s="2028"/>
      <c r="V19" s="2028"/>
    </row>
    <row r="20" spans="1:26" ht="14">
      <c r="A20" s="274"/>
      <c r="B20" s="275" t="s">
        <v>290</v>
      </c>
      <c r="C20" s="276">
        <f ca="1">SUMIF(INDIRECT("'"&amp;C4&amp;"'"&amp;"!A:A"),结果表!B20,INDIRECT("'"&amp;C4&amp;"'"&amp;"!B:B"))</f>
        <v>28451</v>
      </c>
      <c r="D20" s="277">
        <f ca="1">SUMIF(INDIRECT("'"&amp;D4&amp;"'"&amp;"!A:A"),结果表!B20,INDIRECT("'"&amp;D4&amp;"'"&amp;"!B:B"))</f>
        <v>37845</v>
      </c>
      <c r="E20" s="274"/>
      <c r="F20" s="275" t="s">
        <v>290</v>
      </c>
      <c r="G20" s="278">
        <f ca="1">ROUND(C20*$C$18+D20*$D$18,0)</f>
        <v>35027</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339457</v>
      </c>
      <c r="D21" s="151">
        <f ca="1">SUMIF(INDIRECT("'"&amp;D4&amp;"'"&amp;"!A:A"),结果表!B21,INDIRECT("'"&amp;D4&amp;"'"&amp;"!B:B"))</f>
        <v>451545</v>
      </c>
      <c r="E21" s="274"/>
      <c r="F21" s="280" t="s">
        <v>292</v>
      </c>
      <c r="G21" s="282">
        <f ca="1">ROUND(C21*$C$18+D21*$D$18,0)</f>
        <v>417919</v>
      </c>
      <c r="H21" s="1250" t="s">
        <v>291</v>
      </c>
      <c r="I21" s="311"/>
      <c r="J21" s="2028"/>
      <c r="K21" s="2028"/>
      <c r="L21" s="2028"/>
      <c r="M21" s="2028"/>
      <c r="N21" s="2028"/>
      <c r="O21" s="2028"/>
      <c r="P21" s="2028"/>
      <c r="Q21" s="2028"/>
      <c r="R21" s="2028"/>
      <c r="S21" s="2028"/>
      <c r="T21" s="2028"/>
      <c r="U21" s="2028"/>
      <c r="V21" s="2028"/>
    </row>
    <row r="22" spans="1:26" ht="14.5" thickBot="1">
      <c r="A22" s="126" t="s">
        <v>293</v>
      </c>
      <c r="B22" s="1251"/>
      <c r="C22" s="1252"/>
      <c r="D22" s="283">
        <f ca="1">IF(C19&lt;D19,D19/C19-1,C19/D19-1)</f>
        <v>0.33019713135024387</v>
      </c>
      <c r="E22" s="284"/>
      <c r="F22" s="285"/>
      <c r="G22" s="286">
        <f ca="1">ROUND(G19/('数据-汇总表'!D3/666.67),0)</f>
        <v>27861</v>
      </c>
      <c r="H22" s="287" t="s">
        <v>294</v>
      </c>
      <c r="I22" s="311"/>
      <c r="J22" s="2028"/>
      <c r="K22" s="2028"/>
      <c r="L22" s="2028"/>
      <c r="M22" s="2028"/>
      <c r="N22" s="2028"/>
      <c r="O22" s="2028"/>
      <c r="P22" s="2028"/>
      <c r="Q22" s="2028"/>
      <c r="R22" s="2028"/>
      <c r="S22" s="2028"/>
      <c r="T22" s="2028"/>
      <c r="U22" s="2028"/>
      <c r="V22" s="2028"/>
    </row>
    <row r="23" spans="1:26" ht="13"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4.5" thickBot="1">
      <c r="A24" s="3329"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5">
      <c r="A25" s="3371"/>
      <c r="B25" s="1320" t="s">
        <v>296</v>
      </c>
      <c r="C25" s="290">
        <f>IF(B30=0,0,C30)</f>
        <v>0</v>
      </c>
      <c r="D25" s="291"/>
      <c r="E25" s="311"/>
      <c r="F25" s="311"/>
      <c r="G25" s="311"/>
      <c r="H25" s="311"/>
      <c r="I25" s="311"/>
      <c r="J25" s="2028"/>
      <c r="K25" s="1254" t="str">
        <f ca="1">项目基本情况!B16&amp;"国有建设用地使用权价格："&amp;O38&amp;"万元"</f>
        <v>出让国有建设用地使用权价格：435607万元</v>
      </c>
      <c r="L25" s="1255"/>
      <c r="M25" s="1255"/>
      <c r="N25" s="1255"/>
      <c r="O25" s="1256"/>
      <c r="P25" s="2028"/>
      <c r="Q25" s="2028"/>
      <c r="R25" s="2028"/>
      <c r="S25" s="2028"/>
      <c r="T25" s="2028"/>
      <c r="U25" s="2028"/>
      <c r="V25" s="2028"/>
    </row>
    <row r="26" spans="1:26" s="1253" customFormat="1" ht="17.5">
      <c r="A26" s="293" t="s">
        <v>297</v>
      </c>
      <c r="B26" s="294" t="s">
        <v>298</v>
      </c>
      <c r="C26" s="294" t="s">
        <v>299</v>
      </c>
      <c r="D26" s="295" t="s">
        <v>300</v>
      </c>
      <c r="E26" s="311"/>
      <c r="F26" s="311"/>
      <c r="G26" s="311"/>
      <c r="H26" s="311"/>
      <c r="I26" s="311"/>
      <c r="J26" s="2028"/>
      <c r="K26" s="1257" t="str">
        <f ca="1">"大写金额：人民币"&amp;NUMBERSTRING(INT(O38*10000),2)&amp;"元整"</f>
        <v>大写金额：人民币肆拾叁亿伍仟陆佰零柒万元整</v>
      </c>
      <c r="L26" s="1251"/>
      <c r="M26" s="1251"/>
      <c r="N26" s="1251"/>
      <c r="O26" s="1250"/>
      <c r="P26" s="2028"/>
      <c r="Q26" s="2028"/>
      <c r="R26" s="2028"/>
      <c r="S26" s="2028"/>
      <c r="T26" s="2028"/>
      <c r="U26" s="2028"/>
      <c r="V26" s="2028"/>
      <c r="W26" s="292"/>
      <c r="X26" s="292"/>
      <c r="Y26" s="292"/>
      <c r="Z26" s="292"/>
    </row>
    <row r="27" spans="1:26" ht="17.5">
      <c r="A27" s="293"/>
      <c r="B27" s="294"/>
      <c r="C27" s="294"/>
      <c r="D27" s="3183">
        <f ca="1">G19/'数据-汇总表'!F27*10000</f>
        <v>57597.117545947374</v>
      </c>
      <c r="E27" s="311"/>
      <c r="F27" s="311"/>
      <c r="G27" s="311"/>
      <c r="H27" s="311"/>
      <c r="I27" s="311"/>
      <c r="J27" s="2028"/>
      <c r="K27" s="1257" t="str">
        <f ca="1">"单位面积地价："&amp;M38&amp;"元/平方米"</f>
        <v>单位面积地价：417919元/平方米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楼面地价：35027元/平方米</v>
      </c>
      <c r="L28" s="1251"/>
      <c r="M28" s="1251"/>
      <c r="N28" s="1251"/>
      <c r="O28" s="1250"/>
      <c r="P28" s="2028"/>
      <c r="V28" s="2028"/>
    </row>
    <row r="29" spans="1:26" ht="17.5">
      <c r="A29" s="293"/>
      <c r="B29" s="294"/>
      <c r="C29" s="294"/>
      <c r="D29" s="295"/>
      <c r="E29" s="311"/>
      <c r="F29" s="311"/>
      <c r="G29" s="311"/>
      <c r="H29" s="311"/>
      <c r="I29" s="311"/>
      <c r="J29" s="2028"/>
      <c r="K29" s="1257" t="str">
        <f ca="1">IF(OR(项目基本情况!E8="抵押价格",项目基本情况!E8="已注销及未注销"),"抵押价格："&amp;O39&amp;"万元","——")</f>
        <v>抵押价格：435607万元</v>
      </c>
      <c r="L29" s="1251"/>
      <c r="M29" s="1251"/>
      <c r="N29" s="1251"/>
      <c r="O29" s="1250"/>
      <c r="P29" s="2028"/>
      <c r="V29" s="2028"/>
    </row>
    <row r="30" spans="1:26" ht="18" thickBot="1">
      <c r="A30" s="3127" t="s">
        <v>301</v>
      </c>
      <c r="B30" s="309"/>
      <c r="C30" s="309"/>
      <c r="D30" s="310"/>
      <c r="E30" s="3128" t="s">
        <v>2915</v>
      </c>
      <c r="F30" s="311"/>
      <c r="G30" s="311"/>
      <c r="H30" s="311"/>
      <c r="I30" s="311"/>
      <c r="J30" s="2028"/>
      <c r="K30" s="1257" t="str">
        <f ca="1">IF(K29="——","——","大写金额：人民币"&amp;NUMBERSTRING(INT(O39*10000),2)&amp;"元整")</f>
        <v>大写金额：人民币肆拾叁亿伍仟陆佰零柒万元整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302</v>
      </c>
      <c r="B32" s="1380" t="s">
        <v>1650</v>
      </c>
      <c r="C32" s="1381">
        <f ca="1">G19-C24</f>
        <v>435607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305</v>
      </c>
      <c r="B33" s="1383" t="s">
        <v>1652</v>
      </c>
      <c r="C33" s="264">
        <f ca="1">ROUND(C32*10000/'数据-汇总表'!E3,0)</f>
        <v>35027</v>
      </c>
      <c r="D33" s="1384" t="s">
        <v>1653</v>
      </c>
      <c r="E33" s="3329"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 thickBot="1">
      <c r="A34" s="300"/>
      <c r="B34" s="1385" t="s">
        <v>1654</v>
      </c>
      <c r="C34" s="264">
        <f ca="1">ROUND(C32*10000/'数据-汇总表'!D3,0)</f>
        <v>417919</v>
      </c>
      <c r="D34" s="1386" t="s">
        <v>1653</v>
      </c>
      <c r="E34" s="3330"/>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4.5" thickBot="1">
      <c r="A35" s="284"/>
      <c r="B35" s="1387"/>
      <c r="C35" s="1388">
        <f ca="1">ROUND(C32/('数据-汇总表'!D3/666.67),0)</f>
        <v>27861</v>
      </c>
      <c r="D35" s="1389" t="s">
        <v>1655</v>
      </c>
      <c r="E35" s="3331"/>
      <c r="F35" s="301" t="s">
        <v>307</v>
      </c>
      <c r="G35" s="982"/>
      <c r="H35" s="981" t="s">
        <v>308</v>
      </c>
      <c r="I35" s="311"/>
      <c r="J35" s="2028"/>
      <c r="K35" s="3335" t="s">
        <v>315</v>
      </c>
      <c r="L35" s="3335" t="s">
        <v>316</v>
      </c>
      <c r="M35" s="1263" t="s">
        <v>317</v>
      </c>
      <c r="N35" s="3335" t="s">
        <v>318</v>
      </c>
      <c r="O35" s="3335" t="s">
        <v>319</v>
      </c>
      <c r="P35" s="2028"/>
      <c r="V35" s="2028"/>
    </row>
    <row r="36" spans="1:26" ht="16.5" customHeight="1">
      <c r="A36" s="303" t="s">
        <v>309</v>
      </c>
      <c r="B36" s="304" t="s">
        <v>298</v>
      </c>
      <c r="C36" s="305" t="s">
        <v>310</v>
      </c>
      <c r="D36" s="305" t="s">
        <v>311</v>
      </c>
      <c r="E36" s="306" t="s">
        <v>312</v>
      </c>
      <c r="F36" s="311"/>
      <c r="G36" s="311"/>
      <c r="H36" s="311"/>
      <c r="I36" s="311"/>
      <c r="J36" s="2030"/>
      <c r="K36" s="3336"/>
      <c r="L36" s="3336"/>
      <c r="M36" s="1265" t="s">
        <v>320</v>
      </c>
      <c r="N36" s="3336"/>
      <c r="O36" s="3336"/>
      <c r="P36" s="2028"/>
      <c r="V36" s="2028"/>
    </row>
    <row r="37" spans="1:26" ht="16.5" customHeight="1" thickBot="1">
      <c r="A37" s="1259" t="s">
        <v>313</v>
      </c>
      <c r="B37" s="307"/>
      <c r="C37" s="294"/>
      <c r="D37" s="294"/>
      <c r="E37" s="295"/>
      <c r="F37" s="311"/>
      <c r="G37" s="311"/>
      <c r="H37" s="311"/>
      <c r="I37" s="311"/>
      <c r="J37" s="2030"/>
      <c r="K37" s="3337"/>
      <c r="L37" s="3337"/>
      <c r="M37" s="1266"/>
      <c r="N37" s="3337"/>
      <c r="O37" s="3337"/>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124364.83</v>
      </c>
      <c r="M38" s="1268">
        <f ca="1">C34</f>
        <v>417919</v>
      </c>
      <c r="N38" s="1268">
        <f ca="1">C33</f>
        <v>35027</v>
      </c>
      <c r="O38" s="1269">
        <f ca="1">C32</f>
        <v>435607</v>
      </c>
      <c r="P38" s="2028"/>
      <c r="V38" s="2028"/>
    </row>
    <row r="39" spans="1:26" ht="16.5" customHeight="1" thickBot="1">
      <c r="A39" s="1264"/>
      <c r="B39" s="308"/>
      <c r="C39" s="309"/>
      <c r="D39" s="309"/>
      <c r="E39" s="310"/>
      <c r="F39" s="311"/>
      <c r="G39" s="311"/>
      <c r="H39" s="311"/>
      <c r="I39" s="311"/>
      <c r="J39" s="2030"/>
      <c r="K39" s="3312" t="str">
        <f>MID(A44,3,LEN(A44)-2)</f>
        <v>抵押价格</v>
      </c>
      <c r="L39" s="3313"/>
      <c r="M39" s="3313"/>
      <c r="N39" s="3314"/>
      <c r="O39" s="1391">
        <f ca="1">C44</f>
        <v>435607</v>
      </c>
      <c r="P39" s="2028"/>
      <c r="V39" s="2028"/>
    </row>
    <row r="40" spans="1:26" ht="18.5" thickBot="1">
      <c r="A40" s="104" t="s">
        <v>838</v>
      </c>
      <c r="B40" s="311"/>
      <c r="C40" s="311"/>
      <c r="D40" s="311"/>
      <c r="E40" s="311"/>
      <c r="F40" s="311"/>
      <c r="G40" s="311"/>
      <c r="H40" s="311"/>
      <c r="I40" s="311"/>
      <c r="J40" s="2030"/>
      <c r="K40" s="3312" t="str">
        <f t="shared" ref="K40:K41" si="0">MID(A45,3,LEN(A45)-2)</f>
        <v/>
      </c>
      <c r="L40" s="3313"/>
      <c r="M40" s="3313"/>
      <c r="N40" s="3314"/>
      <c r="O40" s="1391" t="str">
        <f>C45</f>
        <v>——</v>
      </c>
      <c r="P40" s="2028"/>
      <c r="V40" s="2028"/>
    </row>
    <row r="41" spans="1:26" ht="16" thickBot="1">
      <c r="A41" s="312" t="s">
        <v>321</v>
      </c>
      <c r="B41" s="313"/>
      <c r="C41" s="314" t="s">
        <v>322</v>
      </c>
      <c r="D41" s="315" t="s">
        <v>323</v>
      </c>
      <c r="E41" s="315" t="s">
        <v>324</v>
      </c>
      <c r="F41" s="316" t="s">
        <v>325</v>
      </c>
      <c r="G41" s="311"/>
      <c r="H41" s="311"/>
      <c r="I41" s="311"/>
      <c r="J41" s="2030"/>
      <c r="K41" s="3312" t="str">
        <f t="shared" si="0"/>
        <v/>
      </c>
      <c r="L41" s="3313"/>
      <c r="M41" s="3313"/>
      <c r="N41" s="3314"/>
      <c r="O41" s="1391" t="str">
        <f>C46</f>
        <v>——</v>
      </c>
      <c r="P41" s="2028"/>
      <c r="V41" s="2028"/>
    </row>
    <row r="42" spans="1:26" ht="31">
      <c r="A42" s="3372" t="s">
        <v>2029</v>
      </c>
      <c r="B42" s="3373"/>
      <c r="C42" s="264">
        <f ca="1">C32</f>
        <v>435607</v>
      </c>
      <c r="D42" s="317">
        <f ca="1">C33</f>
        <v>35027</v>
      </c>
      <c r="E42" s="317">
        <f ca="1">C34</f>
        <v>417919</v>
      </c>
      <c r="F42" s="318">
        <f ca="1">C35</f>
        <v>27861</v>
      </c>
      <c r="G42" s="311"/>
      <c r="H42" s="311"/>
      <c r="I42" s="319"/>
      <c r="J42" s="2030"/>
      <c r="K42" s="1270" t="s">
        <v>326</v>
      </c>
      <c r="L42" s="2047" t="s">
        <v>327</v>
      </c>
      <c r="M42" s="1271" t="s">
        <v>328</v>
      </c>
      <c r="N42" s="2048" t="s">
        <v>329</v>
      </c>
      <c r="O42" s="2049" t="s">
        <v>330</v>
      </c>
      <c r="P42" s="2028"/>
      <c r="V42" s="2028"/>
    </row>
    <row r="43" spans="1:26" ht="31">
      <c r="A43" s="3382" t="s">
        <v>2689</v>
      </c>
      <c r="B43" s="3383"/>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353825</v>
      </c>
      <c r="M43" s="1274">
        <f>C18</f>
        <v>0.3</v>
      </c>
      <c r="N43" s="1275">
        <f ca="1">IF(N42="测算结果/万元",G19,G20)</f>
        <v>435607</v>
      </c>
      <c r="O43" s="1276">
        <f ca="1">IF(O42="最终结果/万元",C32,C33)</f>
        <v>435607</v>
      </c>
      <c r="P43" s="2028"/>
      <c r="V43" s="2028"/>
    </row>
    <row r="44" spans="1:26" ht="31.5" thickBot="1">
      <c r="A44" s="3372" t="str">
        <f>IF(OR(项目基本情况!E8="抵押价格",项目基本情况!E8="已注销及未注销"),"3.抵押价格","——")</f>
        <v>3.抵押价格</v>
      </c>
      <c r="B44" s="3373"/>
      <c r="C44" s="264">
        <f ca="1">IF(A44="——","——",C42-C43)</f>
        <v>435607</v>
      </c>
      <c r="D44" s="317">
        <f ca="1">ROUND(C44*10000/'数据-汇总表'!E3,0)</f>
        <v>35027</v>
      </c>
      <c r="E44" s="317">
        <f ca="1">ROUND(C44*10000/'数据-汇总表'!D3,0)</f>
        <v>417919</v>
      </c>
      <c r="F44" s="318">
        <f ca="1">ROUND(C44/('数据-汇总表'!D3/666.67),0)</f>
        <v>27861</v>
      </c>
      <c r="G44" s="311"/>
      <c r="H44" s="311"/>
      <c r="I44" s="319"/>
      <c r="J44" s="2030"/>
      <c r="K44" s="1277" t="str">
        <f>D4</f>
        <v>剩余法-待开发</v>
      </c>
      <c r="L44" s="1278">
        <f ca="1">IF(L42="估价结果/万元",D19,D20)</f>
        <v>470657</v>
      </c>
      <c r="M44" s="1279">
        <f>D18</f>
        <v>0.7</v>
      </c>
      <c r="N44" s="1280"/>
      <c r="O44" s="1281"/>
      <c r="P44" s="2028"/>
      <c r="V44" s="2028"/>
    </row>
    <row r="45" spans="1:26" ht="14">
      <c r="A45" s="3377" t="str">
        <f>IF(项目基本情况!E8="已注销及未注销","4.抵押担保权已注销时的抵押价格",IF(项目基本情况!E8="已注销","3.抵押担保权已注销时的抵押价格","——"))</f>
        <v>——</v>
      </c>
      <c r="B45" s="337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5" thickBot="1">
      <c r="A46" s="3374" t="str">
        <f>IF(项目基本情况!E9="抵押净值",IF(A45="——","4.抵押净值","5.抵押净值"),"——")</f>
        <v>——</v>
      </c>
      <c r="B46" s="337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5">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3">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3">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0" t="s">
        <v>339</v>
      </c>
      <c r="B63" s="3341"/>
      <c r="C63" s="3342"/>
      <c r="D63" s="341">
        <f ca="1">ROUND(C42*F63,0)</f>
        <v>435607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79" t="s">
        <v>343</v>
      </c>
      <c r="B64" s="3380"/>
      <c r="C64" s="3380"/>
      <c r="D64" s="3380"/>
      <c r="E64" s="3380"/>
      <c r="F64" s="3380"/>
      <c r="G64" s="3381"/>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6">
      <c r="A66" s="3376" t="s">
        <v>351</v>
      </c>
      <c r="B66" s="3347"/>
      <c r="C66" s="3347"/>
      <c r="D66" s="261">
        <f ca="1">IF(H66="情况1",0,IF(H66="情况2",D70,IF(H66="情况3",D71,IF(H66="情况4",D72))))</f>
        <v>23232</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16" t="s">
        <v>350</v>
      </c>
      <c r="M66" s="3317"/>
      <c r="N66" s="2458"/>
      <c r="O66" s="2459"/>
      <c r="P66" s="2460"/>
      <c r="Q66" s="2028"/>
      <c r="R66" s="2028"/>
      <c r="S66" s="2028"/>
      <c r="T66" s="2028"/>
      <c r="U66" s="2028"/>
      <c r="V66" s="2028"/>
    </row>
    <row r="67" spans="1:22" ht="25.5" customHeight="1">
      <c r="A67" s="352" t="s">
        <v>355</v>
      </c>
      <c r="B67" s="3359" t="s">
        <v>356</v>
      </c>
      <c r="C67" s="3359"/>
      <c r="D67" s="353">
        <v>0</v>
      </c>
      <c r="E67" s="41" t="s">
        <v>357</v>
      </c>
      <c r="F67" s="62" t="s">
        <v>20</v>
      </c>
      <c r="G67" s="3343"/>
      <c r="H67" s="311"/>
      <c r="I67" s="1291"/>
      <c r="J67" s="2035"/>
      <c r="K67" s="1976">
        <v>2</v>
      </c>
      <c r="L67" s="3315" t="s">
        <v>354</v>
      </c>
      <c r="M67" s="3315"/>
      <c r="N67" s="1324">
        <f>'数据-取费表'!B2</f>
        <v>43899</v>
      </c>
      <c r="O67" s="1324"/>
      <c r="P67" s="1324"/>
      <c r="Q67" s="2028"/>
      <c r="R67" s="2028"/>
      <c r="S67" s="2028"/>
      <c r="T67" s="2028"/>
      <c r="U67" s="2028"/>
      <c r="V67" s="2028"/>
    </row>
    <row r="68" spans="1:22" ht="25.5" customHeight="1">
      <c r="A68" s="354"/>
      <c r="B68" s="3359" t="s">
        <v>359</v>
      </c>
      <c r="C68" s="3359"/>
      <c r="D68" s="355"/>
      <c r="E68" s="77"/>
      <c r="F68" s="356"/>
      <c r="G68" s="3344"/>
      <c r="H68" s="311"/>
      <c r="I68" s="1291"/>
      <c r="J68" s="2035"/>
      <c r="K68" s="1976">
        <v>3</v>
      </c>
      <c r="L68" s="3315" t="s">
        <v>358</v>
      </c>
      <c r="M68" s="3315"/>
      <c r="N68" s="1292">
        <f ca="1">C42</f>
        <v>435607</v>
      </c>
      <c r="O68" s="1292"/>
      <c r="P68" s="1292"/>
      <c r="Q68" s="2028"/>
      <c r="R68" s="2028"/>
      <c r="S68" s="2028"/>
      <c r="T68" s="2028"/>
      <c r="U68" s="2028"/>
      <c r="V68" s="2028"/>
    </row>
    <row r="69" spans="1:22" ht="12" customHeight="1">
      <c r="A69" s="357"/>
      <c r="B69" s="3359" t="s">
        <v>360</v>
      </c>
      <c r="C69" s="3359"/>
      <c r="D69" s="358"/>
      <c r="E69" s="73"/>
      <c r="F69" s="356"/>
      <c r="G69" s="3345"/>
      <c r="H69" s="311"/>
      <c r="I69" s="1291"/>
      <c r="J69" s="2035"/>
      <c r="K69" s="1293">
        <v>4</v>
      </c>
      <c r="L69" s="3321" t="s">
        <v>2842</v>
      </c>
      <c r="M69" s="3322"/>
      <c r="N69" s="1294">
        <f ca="1">C44</f>
        <v>435607</v>
      </c>
      <c r="O69" s="1294"/>
      <c r="P69" s="1294"/>
      <c r="Q69" s="2028"/>
      <c r="R69" s="2028"/>
      <c r="S69" s="2028"/>
      <c r="T69" s="2028"/>
      <c r="U69" s="2028"/>
      <c r="V69" s="2028"/>
    </row>
    <row r="70" spans="1:22" ht="24" customHeight="1">
      <c r="A70" s="359" t="s">
        <v>361</v>
      </c>
      <c r="B70" s="3359" t="s">
        <v>362</v>
      </c>
      <c r="C70" s="3359"/>
      <c r="D70" s="358">
        <f ca="1">ROUND(D63*'数据-取费表'!B41/(1+'数据-取费表'!C42),0)</f>
        <v>23232</v>
      </c>
      <c r="E70" s="17" t="s">
        <v>363</v>
      </c>
      <c r="F70" s="360">
        <f>'数据-取费表'!B41</f>
        <v>5.6000000000000001E-2</v>
      </c>
      <c r="G70" s="361"/>
      <c r="H70" s="311"/>
      <c r="I70" s="1291"/>
      <c r="J70" s="2035"/>
      <c r="K70" s="3061"/>
      <c r="L70" s="3062"/>
      <c r="M70" s="3062"/>
      <c r="N70" s="3063" t="s">
        <v>2846</v>
      </c>
      <c r="O70" s="3062"/>
      <c r="P70" s="3064"/>
      <c r="Q70" s="2028"/>
      <c r="R70" s="2028"/>
      <c r="S70" s="2028"/>
      <c r="T70" s="2028"/>
      <c r="U70" s="2028"/>
      <c r="V70" s="2028"/>
    </row>
    <row r="71" spans="1:22" ht="12" customHeight="1">
      <c r="A71" s="359" t="s">
        <v>369</v>
      </c>
      <c r="B71" s="3358" t="s">
        <v>370</v>
      </c>
      <c r="C71" s="3370"/>
      <c r="D71" s="358">
        <f ca="1">ROUND(D63*'数据-取费表'!B41/(1+'数据-取费表'!C42),0)</f>
        <v>23232</v>
      </c>
      <c r="E71" s="17" t="s">
        <v>363</v>
      </c>
      <c r="F71" s="360">
        <f>'数据-取费表'!B41</f>
        <v>5.6000000000000001E-2</v>
      </c>
      <c r="G71" s="361"/>
      <c r="H71" s="311"/>
      <c r="I71" s="1291"/>
      <c r="J71" s="2035"/>
      <c r="K71" s="3060" t="s">
        <v>364</v>
      </c>
      <c r="L71" s="3323" t="s">
        <v>365</v>
      </c>
      <c r="M71" s="3323"/>
      <c r="N71" s="3060" t="s">
        <v>366</v>
      </c>
      <c r="O71" s="3060" t="s">
        <v>367</v>
      </c>
      <c r="P71" s="3060" t="s">
        <v>368</v>
      </c>
      <c r="Q71" s="2028"/>
      <c r="R71" s="2028"/>
      <c r="S71" s="2028"/>
      <c r="T71" s="2028"/>
      <c r="U71" s="2028"/>
      <c r="V71" s="2028"/>
    </row>
    <row r="72" spans="1:22" ht="12" customHeight="1">
      <c r="A72" s="359" t="s">
        <v>372</v>
      </c>
      <c r="B72" s="3358" t="s">
        <v>373</v>
      </c>
      <c r="C72" s="3370"/>
      <c r="D72" s="358">
        <f ca="1">C86</f>
        <v>23120</v>
      </c>
      <c r="E72" s="73" t="s">
        <v>374</v>
      </c>
      <c r="F72" s="360">
        <f>'数据-取费表'!B41</f>
        <v>5.6000000000000001E-2</v>
      </c>
      <c r="G72" s="361"/>
      <c r="H72" s="1297"/>
      <c r="I72" s="1291"/>
      <c r="J72" s="2035"/>
      <c r="K72" s="1976">
        <v>1</v>
      </c>
      <c r="L72" s="3320" t="s">
        <v>371</v>
      </c>
      <c r="M72" s="3320"/>
      <c r="N72" s="1295">
        <f ca="1">D66</f>
        <v>23232</v>
      </c>
      <c r="O72" s="1859" t="str">
        <f>E66</f>
        <v>销售额×税（费）率</v>
      </c>
      <c r="P72" s="1296">
        <f>F66</f>
        <v>5.6000000000000001E-2</v>
      </c>
      <c r="Q72" s="2028"/>
      <c r="R72" s="2028"/>
      <c r="S72" s="2028"/>
      <c r="T72" s="2028"/>
      <c r="U72" s="2028"/>
      <c r="V72" s="2028"/>
    </row>
    <row r="73" spans="1:22" ht="24" customHeight="1">
      <c r="A73" s="3346" t="s">
        <v>376</v>
      </c>
      <c r="B73" s="3347"/>
      <c r="C73" s="3347"/>
      <c r="D73" s="362">
        <f ca="1">IF(H73="个人住宅",0,ROUND(D63*I73,0))</f>
        <v>218</v>
      </c>
      <c r="E73" s="17" t="s">
        <v>377</v>
      </c>
      <c r="F73" s="360">
        <f>IF(H73="正常",I73,"免征")</f>
        <v>5.0000000000000001E-4</v>
      </c>
      <c r="G73" s="361"/>
      <c r="H73" s="191" t="s">
        <v>2954</v>
      </c>
      <c r="I73" s="360">
        <f>'数据-取费表'!B49</f>
        <v>5.0000000000000001E-4</v>
      </c>
      <c r="J73" s="2035"/>
      <c r="K73" s="1976">
        <v>2</v>
      </c>
      <c r="L73" s="3320" t="s">
        <v>375</v>
      </c>
      <c r="M73" s="3320"/>
      <c r="N73" s="1295">
        <f t="shared" ref="N73:P74" ca="1" si="1">D73</f>
        <v>218</v>
      </c>
      <c r="O73" s="1859" t="str">
        <f t="shared" si="1"/>
        <v>销售额×税（费）率</v>
      </c>
      <c r="P73" s="1296">
        <f t="shared" si="1"/>
        <v>5.0000000000000001E-4</v>
      </c>
      <c r="Q73" s="2028"/>
      <c r="R73" s="2028"/>
      <c r="S73" s="2028"/>
      <c r="T73" s="2028"/>
      <c r="U73" s="2028"/>
      <c r="V73" s="2028"/>
    </row>
    <row r="74" spans="1:22" ht="26">
      <c r="A74" s="3346" t="s">
        <v>380</v>
      </c>
      <c r="B74" s="3347"/>
      <c r="C74" s="3347"/>
      <c r="D74" s="362">
        <f ca="1">IF(H74="个人住宅",D75,D76)</f>
        <v>0</v>
      </c>
      <c r="E74" s="17" t="s">
        <v>381</v>
      </c>
      <c r="F74" s="360" t="str">
        <f>IF(H74="正常",F76,"免征")</f>
        <v>——</v>
      </c>
      <c r="G74" s="983" t="s">
        <v>382</v>
      </c>
      <c r="H74" s="363" t="s">
        <v>378</v>
      </c>
      <c r="I74" s="42"/>
      <c r="J74" s="2035"/>
      <c r="K74" s="1976">
        <v>3</v>
      </c>
      <c r="L74" s="3320" t="s">
        <v>379</v>
      </c>
      <c r="M74" s="3320"/>
      <c r="N74" s="1295">
        <f t="shared" ca="1" si="1"/>
        <v>0</v>
      </c>
      <c r="O74" s="1859" t="str">
        <f t="shared" si="1"/>
        <v>增值额×税（费）率</v>
      </c>
      <c r="P74" s="1298" t="str">
        <f t="shared" si="1"/>
        <v>——</v>
      </c>
      <c r="Q74" s="2028"/>
      <c r="R74" s="2028"/>
      <c r="S74" s="2028"/>
      <c r="T74" s="2028"/>
      <c r="U74" s="2028"/>
      <c r="V74" s="2028"/>
    </row>
    <row r="75" spans="1:22" ht="13">
      <c r="A75" s="359" t="s">
        <v>383</v>
      </c>
      <c r="B75" s="3327" t="s">
        <v>384</v>
      </c>
      <c r="C75" s="3328"/>
      <c r="D75" s="364">
        <v>0</v>
      </c>
      <c r="E75" s="41" t="s">
        <v>385</v>
      </c>
      <c r="F75" s="365"/>
      <c r="G75" s="361"/>
      <c r="H75" s="42"/>
      <c r="I75" s="42"/>
      <c r="J75" s="2035"/>
      <c r="K75" s="3053" t="str">
        <f>IF(H77="非个人房产","",4)</f>
        <v/>
      </c>
      <c r="L75" s="3320" t="str">
        <f>IF(H77="非个人房产","——","个人所得税")</f>
        <v>——</v>
      </c>
      <c r="M75" s="3320"/>
      <c r="N75" s="1299" t="str">
        <f>D77</f>
        <v>——</v>
      </c>
      <c r="O75" s="1872" t="str">
        <f>E77</f>
        <v>——</v>
      </c>
      <c r="P75" s="1300" t="str">
        <f>F77</f>
        <v>——</v>
      </c>
      <c r="Q75" s="2028"/>
      <c r="R75" s="2028"/>
      <c r="S75" s="2028"/>
      <c r="T75" s="2028"/>
      <c r="U75" s="2028"/>
      <c r="V75" s="2028"/>
    </row>
    <row r="76" spans="1:22" ht="26">
      <c r="A76" s="359" t="s">
        <v>361</v>
      </c>
      <c r="B76" s="3327" t="s">
        <v>387</v>
      </c>
      <c r="C76" s="3369"/>
      <c r="D76" s="362">
        <f ca="1">IF(H76="转让取得",C99,C115)</f>
        <v>0</v>
      </c>
      <c r="E76" s="17" t="s">
        <v>388</v>
      </c>
      <c r="F76" s="53" t="s">
        <v>20</v>
      </c>
      <c r="G76" s="361"/>
      <c r="H76" s="363" t="s">
        <v>389</v>
      </c>
      <c r="I76" s="42"/>
      <c r="J76" s="2035"/>
      <c r="K76" s="3053" t="str">
        <f>IF(项目基本情况!K6="上海银行",IF(K75="",4,K75+1),"")</f>
        <v/>
      </c>
      <c r="L76" s="3308" t="str">
        <f>IF(项目基本情况!K6="上海银行","其他处置费用","")</f>
        <v/>
      </c>
      <c r="M76" s="3309"/>
      <c r="N76" s="1295" t="str">
        <f>IF(项目基本情况!K6="上海银行",N89,"")</f>
        <v/>
      </c>
      <c r="O76" s="3310" t="str">
        <f>IF(项目基本情况!K6="上海银行","包含处置中涉及的律师、诉讼、拍卖、评估等费用","")</f>
        <v/>
      </c>
      <c r="P76" s="3311"/>
      <c r="Q76" s="2028"/>
      <c r="R76" s="2028"/>
      <c r="S76" s="2028"/>
      <c r="T76" s="2028"/>
      <c r="U76" s="2028"/>
      <c r="V76" s="2028"/>
    </row>
    <row r="77" spans="1:22" ht="26.5" thickBot="1">
      <c r="A77" s="3338" t="s">
        <v>391</v>
      </c>
      <c r="B77" s="3339"/>
      <c r="C77" s="3339"/>
      <c r="D77" s="366" t="str">
        <f>IF(H77="非个人房产","——",IF(H77="个人住宅",0,ROUND(D63*I77,0)))</f>
        <v>——</v>
      </c>
      <c r="E77" s="367" t="str">
        <f>IF(H77="非个人房产","——","销售额×税（费）率")</f>
        <v>——</v>
      </c>
      <c r="F77" s="368" t="str">
        <f>IF(H77="非个人房产","——",IF(H77="个人住宅","免征",I77))</f>
        <v>——</v>
      </c>
      <c r="G77" s="984" t="s">
        <v>382</v>
      </c>
      <c r="H77" s="363" t="s">
        <v>3260</v>
      </c>
      <c r="I77" s="369">
        <v>0.01</v>
      </c>
      <c r="J77" s="2035"/>
      <c r="K77" s="3334">
        <f>IF(AND(K75="",K76=""),4,IF(项目基本情况!K6="上海银行",K76+1,K75+1))</f>
        <v>4</v>
      </c>
      <c r="L77" s="3320" t="s">
        <v>2843</v>
      </c>
      <c r="M77" s="3059" t="s">
        <v>386</v>
      </c>
      <c r="N77" s="1301"/>
      <c r="O77" s="1302">
        <f ca="1">SUMIF(N72:N76,"&lt;9e307")</f>
        <v>23450</v>
      </c>
      <c r="P77" s="1303"/>
      <c r="Q77" s="3057">
        <f ca="1">O77/N69</f>
        <v>5.3832927386382678E-2</v>
      </c>
      <c r="R77" s="2028"/>
      <c r="S77" s="2028"/>
      <c r="T77" s="2028"/>
      <c r="U77" s="2028"/>
      <c r="V77" s="2028"/>
    </row>
    <row r="78" spans="1:22" ht="12" customHeight="1">
      <c r="A78" s="1304"/>
      <c r="B78" s="311"/>
      <c r="C78" s="311"/>
      <c r="D78" s="311"/>
      <c r="E78" s="42"/>
      <c r="F78" s="42"/>
      <c r="G78" s="42"/>
      <c r="H78" s="1003"/>
      <c r="I78" s="311"/>
      <c r="J78" s="2035"/>
      <c r="K78" s="3334"/>
      <c r="L78" s="3320"/>
      <c r="M78" s="3059" t="s">
        <v>390</v>
      </c>
      <c r="N78" s="1301"/>
      <c r="O78" s="1302" t="str">
        <f ca="1">NUMBERSTRING(INT(O77*10000),2)&amp;"元整"</f>
        <v>贰亿叁仟肆佰伍拾万元整</v>
      </c>
      <c r="P78" s="1303"/>
      <c r="Q78" s="2028"/>
      <c r="R78" s="2028"/>
      <c r="S78" s="2028"/>
      <c r="T78" s="2028"/>
      <c r="U78" s="2028"/>
      <c r="V78" s="2028"/>
    </row>
    <row r="79" spans="1:22" ht="13.5" thickBot="1">
      <c r="A79" s="3324" t="s">
        <v>392</v>
      </c>
      <c r="B79" s="3324"/>
      <c r="C79" s="3324"/>
      <c r="D79" s="3324"/>
      <c r="E79" s="3324"/>
      <c r="F79" s="42"/>
      <c r="G79" s="42"/>
      <c r="H79" s="1003"/>
      <c r="I79" s="311"/>
      <c r="J79" s="2035"/>
      <c r="K79" s="3318">
        <f>K77+1</f>
        <v>5</v>
      </c>
      <c r="L79" s="3320" t="s">
        <v>2844</v>
      </c>
      <c r="M79" s="3059" t="s">
        <v>386</v>
      </c>
      <c r="N79" s="1301"/>
      <c r="O79" s="1302">
        <f ca="1">N69-O77</f>
        <v>412157</v>
      </c>
      <c r="P79" s="1303"/>
      <c r="Q79" s="2028"/>
      <c r="R79" s="2028"/>
      <c r="S79" s="2028"/>
      <c r="T79" s="2028"/>
      <c r="U79" s="2028"/>
      <c r="V79" s="2028"/>
    </row>
    <row r="80" spans="1:22" ht="37.5">
      <c r="A80" s="3325" t="s">
        <v>393</v>
      </c>
      <c r="B80" s="3326"/>
      <c r="C80" s="994"/>
      <c r="D80" s="994" t="s">
        <v>394</v>
      </c>
      <c r="E80" s="370" t="s">
        <v>395</v>
      </c>
      <c r="F80" s="42"/>
      <c r="G80" s="42"/>
      <c r="H80" s="1003"/>
      <c r="I80" s="311"/>
      <c r="J80" s="2028"/>
      <c r="K80" s="3319"/>
      <c r="L80" s="3320"/>
      <c r="M80" s="3059" t="s">
        <v>390</v>
      </c>
      <c r="N80" s="1301"/>
      <c r="O80" s="1302" t="str">
        <f ca="1">NUMBERSTRING(INT(O79*10000),2)&amp;"元整"</f>
        <v>肆拾壹亿贰仟壹佰伍拾柒万元整</v>
      </c>
      <c r="P80" s="1303"/>
      <c r="Q80" s="2028"/>
      <c r="R80" s="2028"/>
      <c r="S80" s="2028"/>
      <c r="T80" s="2028"/>
      <c r="U80" s="2028"/>
      <c r="V80" s="2028"/>
    </row>
    <row r="81" spans="1:26" ht="13.5" thickBot="1">
      <c r="A81" s="381" t="s">
        <v>1785</v>
      </c>
      <c r="B81" s="371" t="s">
        <v>396</v>
      </c>
      <c r="C81" s="372">
        <f ca="1">ROUND((C82+C83)/(1+'数据-取费表'!C42),0)</f>
        <v>414864</v>
      </c>
      <c r="D81" s="373"/>
      <c r="E81" s="374"/>
      <c r="F81" s="42"/>
      <c r="G81" s="42"/>
      <c r="H81" s="1003"/>
      <c r="I81" s="311"/>
      <c r="J81" s="2028"/>
      <c r="K81" s="3053">
        <f>K79+1</f>
        <v>6</v>
      </c>
      <c r="L81" s="3332" t="s">
        <v>2845</v>
      </c>
      <c r="M81" s="3333"/>
      <c r="N81" s="1305"/>
      <c r="O81" s="1306">
        <f ca="1">ROUND(O79*10000/'数据-汇总表'!E3,0)</f>
        <v>33141</v>
      </c>
      <c r="P81" s="1307"/>
      <c r="Q81" s="2028"/>
      <c r="R81" s="2028"/>
      <c r="S81" s="2028"/>
      <c r="T81" s="2028"/>
      <c r="U81" s="2028"/>
      <c r="V81" s="2028"/>
    </row>
    <row r="82" spans="1:26" ht="13.5" thickTop="1">
      <c r="A82" s="375" t="s">
        <v>1786</v>
      </c>
      <c r="B82" s="376" t="s">
        <v>397</v>
      </c>
      <c r="C82" s="377">
        <f ca="1">D63</f>
        <v>435607</v>
      </c>
      <c r="D82" s="378" t="s">
        <v>18</v>
      </c>
      <c r="E82" s="379"/>
      <c r="F82" s="42"/>
      <c r="G82" s="42"/>
      <c r="H82" s="1003"/>
      <c r="I82" s="311"/>
      <c r="J82" s="2028"/>
      <c r="K82" s="2028"/>
      <c r="L82" s="2028"/>
      <c r="M82" s="2028"/>
      <c r="N82" s="2028"/>
      <c r="O82" s="2028"/>
      <c r="P82" s="2028"/>
      <c r="Q82" s="2028"/>
      <c r="R82" s="2028"/>
      <c r="S82" s="2028"/>
      <c r="T82" s="2028"/>
      <c r="U82" s="2028"/>
      <c r="V82" s="2028"/>
    </row>
    <row r="83" spans="1:26" ht="13">
      <c r="A83" s="375" t="s">
        <v>1787</v>
      </c>
      <c r="B83" s="376" t="s">
        <v>398</v>
      </c>
      <c r="C83" s="380">
        <v>0</v>
      </c>
      <c r="D83" s="378"/>
      <c r="E83" s="379"/>
      <c r="F83" s="42"/>
      <c r="G83" s="42"/>
      <c r="H83" s="1003"/>
      <c r="I83" s="311"/>
      <c r="J83" s="2028"/>
      <c r="K83" s="3307" t="s">
        <v>2833</v>
      </c>
      <c r="L83" s="3065" t="s">
        <v>2834</v>
      </c>
      <c r="M83" s="3055">
        <f ca="1">IF(N69&gt;10000,N69*0.5%,IF(AND(N69&gt;1000,N69&lt;=10000),N69*1%,IF(AND(N69&gt;100,N69&lt;=1000),N69*3%,IF(AND(N69&gt;10,N69&lt;=100),N69*5%,N69*8%))))</f>
        <v>2178.0349999999999</v>
      </c>
      <c r="N83" s="53">
        <f ca="1">ROUND(M83,1)</f>
        <v>2178</v>
      </c>
      <c r="O83" s="3058"/>
      <c r="P83" s="2028"/>
      <c r="Q83" s="2028"/>
      <c r="R83" s="2028"/>
      <c r="S83" s="2028"/>
      <c r="T83" s="2028"/>
      <c r="U83" s="2028"/>
      <c r="V83" s="2028"/>
    </row>
    <row r="84" spans="1:26" ht="13.5">
      <c r="A84" s="381" t="s">
        <v>1788</v>
      </c>
      <c r="B84" s="382" t="s">
        <v>399</v>
      </c>
      <c r="C84" s="383">
        <v>2000</v>
      </c>
      <c r="D84" s="384" t="s">
        <v>18</v>
      </c>
      <c r="E84" s="3098" t="s">
        <v>2889</v>
      </c>
      <c r="F84" s="42"/>
      <c r="G84" s="42"/>
      <c r="H84" s="1003"/>
      <c r="I84" s="311"/>
      <c r="J84" s="2028"/>
      <c r="K84" s="3307"/>
      <c r="L84" s="3065" t="s">
        <v>2835</v>
      </c>
      <c r="M84" s="3055">
        <f ca="1">IF(N69&gt;2000,N69*0.5%,IF(AND(N69&gt;1000,N69&lt;=2000),N69*0.6%,IF(AND(N69&gt;500,N69&lt;=1000),N69*0.7%,IF(AND(N69&gt;200,N69&lt;=500),N69*0.8%,IF(AND(N69&gt;100,N69&lt;=200),N69*0.9%,IF(AND(N69&gt;50,N69&lt;=100),N69*1%,IF(AND(N69&gt;20,N69&lt;=50),N69*1.5%,IF(AND(N69&gt;10,N69&lt;=20),N69*2%,IF(AND(N69&gt;1,N69&lt;=10),N69*2.5%)))))))))</f>
        <v>2178.0349999999999</v>
      </c>
      <c r="N84" s="53">
        <f t="shared" ref="N84:N85" ca="1" si="2">ROUND(M84,1)</f>
        <v>2178</v>
      </c>
      <c r="O84" s="2028" t="s">
        <v>2836</v>
      </c>
      <c r="P84" s="2028"/>
      <c r="Q84" s="2028"/>
      <c r="R84" s="2028"/>
      <c r="S84" s="2028"/>
      <c r="T84" s="2028"/>
      <c r="U84" s="2028"/>
      <c r="V84" s="2028"/>
    </row>
    <row r="85" spans="1:26" ht="13">
      <c r="A85" s="381" t="s">
        <v>1789</v>
      </c>
      <c r="B85" s="382" t="s">
        <v>400</v>
      </c>
      <c r="C85" s="385">
        <f ca="1">C81-C84</f>
        <v>412864</v>
      </c>
      <c r="D85" s="378" t="s">
        <v>18</v>
      </c>
      <c r="E85" s="379"/>
      <c r="F85" s="42"/>
      <c r="G85" s="42"/>
      <c r="H85" s="1003"/>
      <c r="I85" s="311"/>
      <c r="J85" s="2028"/>
      <c r="K85" s="3307"/>
      <c r="L85" s="3065" t="s">
        <v>2837</v>
      </c>
      <c r="M85" s="3055">
        <f ca="1">IF(N69&gt;1000,N69*0.1%,IF(AND(N69&gt;500,N69&lt;=1000),N69*0.5%,IF(AND(N69&gt;50,N69&lt;=500),N69*1%,IF(AND(N69&gt;1,N69&lt;=50),N69*1.5%))))</f>
        <v>435.60700000000003</v>
      </c>
      <c r="N85" s="53">
        <f t="shared" ca="1" si="2"/>
        <v>435.6</v>
      </c>
      <c r="O85" s="2028" t="s">
        <v>2836</v>
      </c>
      <c r="P85" s="2028"/>
      <c r="Q85" s="2028"/>
      <c r="R85" s="2028"/>
      <c r="S85" s="2028"/>
      <c r="T85" s="2028"/>
      <c r="U85" s="2028"/>
      <c r="V85" s="2028"/>
    </row>
    <row r="86" spans="1:26" ht="13.5" thickBot="1">
      <c r="A86" s="386" t="s">
        <v>1790</v>
      </c>
      <c r="B86" s="387" t="s">
        <v>401</v>
      </c>
      <c r="C86" s="388">
        <f ca="1">IF(C85&lt;=0,0,ROUND(C85*D86,0))</f>
        <v>23120</v>
      </c>
      <c r="D86" s="389">
        <f>'数据-取费表'!B41</f>
        <v>5.6000000000000001E-2</v>
      </c>
      <c r="E86" s="390"/>
      <c r="F86" s="42"/>
      <c r="G86" s="42"/>
      <c r="H86" s="1003"/>
      <c r="I86" s="311"/>
      <c r="J86" s="2028"/>
      <c r="K86" s="3307"/>
      <c r="L86" s="3065" t="s">
        <v>2838</v>
      </c>
      <c r="M86" s="3055">
        <f ca="1">N69*0.5%</f>
        <v>2178.0349999999999</v>
      </c>
      <c r="N86" s="53">
        <f ca="1">IF(M86&gt;0.5,0.5,ROUND(M86,0))</f>
        <v>0.5</v>
      </c>
      <c r="O86" s="2028" t="s">
        <v>2839</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07"/>
      <c r="L87" s="3065" t="s">
        <v>2840</v>
      </c>
      <c r="M87" s="3055">
        <f ca="1">IF(N69&gt;=10000,(8.25+(N69-10000)*0.01%),IF(AND(N69&gt;=8000,N69&lt;10000),(7.85+(N69-8000)*0.02%),IF(AND(N69&gt;=5000,N69&lt;8000),(6.65+(N69-5000)*0.04%),IF(AND(N69&gt;=2000,N69&lt;5000),(4.25+(PN69-2000)*0.08%),IF(AND(N69&gt;=1000,N69&lt;2000),(2.75+(N69-1000)*0.15%),IF(AND(N69&gt;=100,N69&lt;1000),(0.5+(N69-100)*0.25%),IF(AND(N69&gt;0,N69&lt;100),N69*0.5%)))))))</f>
        <v>50.810700000000004</v>
      </c>
      <c r="N87" s="53">
        <f ca="1">ROUND(M87*0.9,1)</f>
        <v>45.7</v>
      </c>
      <c r="O87" s="3058"/>
      <c r="P87" s="311"/>
      <c r="Q87" s="2028"/>
      <c r="R87" s="2028"/>
      <c r="S87" s="2028"/>
      <c r="T87" s="2028"/>
      <c r="U87" s="2028"/>
      <c r="V87" s="2028"/>
      <c r="W87" s="292"/>
      <c r="X87" s="292"/>
      <c r="Y87" s="292"/>
      <c r="Z87" s="292"/>
    </row>
    <row r="88" spans="1:26" s="1313" customFormat="1" ht="14.5" thickBot="1">
      <c r="A88" s="3361" t="s">
        <v>402</v>
      </c>
      <c r="B88" s="3362"/>
      <c r="C88" s="3362"/>
      <c r="D88" s="3362"/>
      <c r="E88" s="3362"/>
      <c r="F88" s="3362"/>
      <c r="G88" s="3362"/>
      <c r="H88" s="3362"/>
      <c r="I88" s="1314"/>
      <c r="J88" s="2036"/>
      <c r="K88" s="3307"/>
      <c r="L88" s="3065" t="s">
        <v>2841</v>
      </c>
      <c r="M88" s="3055">
        <f ca="1">IF(N69&gt;10000,N69*0.5%,IF(AND(N69&gt;5000,N69&lt;=10000),N69*1%,IF(AND(N69&gt;1000,N69&lt;=5000),N69*2%,IF(AND(N69&gt;200,N69&lt;=1000),N69*3%,N69*5%))))</f>
        <v>2178.0349999999999</v>
      </c>
      <c r="N88" s="53">
        <f ca="1">ROUND(M88,1)</f>
        <v>2178</v>
      </c>
      <c r="O88" s="3058"/>
      <c r="P88" s="11"/>
      <c r="Q88" s="2033"/>
      <c r="R88" s="2033"/>
      <c r="S88" s="2033"/>
      <c r="T88" s="2033"/>
      <c r="U88" s="2033"/>
      <c r="V88" s="2033"/>
      <c r="W88" s="2037"/>
      <c r="X88" s="2037"/>
      <c r="Y88" s="2037"/>
      <c r="Z88" s="2037"/>
    </row>
    <row r="89" spans="1:26" s="1313" customFormat="1" ht="14">
      <c r="A89" s="3325" t="s">
        <v>393</v>
      </c>
      <c r="B89" s="3326"/>
      <c r="C89" s="994"/>
      <c r="D89" s="994" t="s">
        <v>394</v>
      </c>
      <c r="E89" s="391" t="s">
        <v>403</v>
      </c>
      <c r="F89" s="392"/>
      <c r="G89" s="392"/>
      <c r="H89" s="393"/>
      <c r="I89" s="1315"/>
      <c r="J89" s="2038"/>
      <c r="K89" s="3307"/>
      <c r="L89" s="3065" t="s">
        <v>26</v>
      </c>
      <c r="M89" s="3056"/>
      <c r="N89" s="53">
        <f ca="1">ROUND(SUM(N83:N88),0)</f>
        <v>7016</v>
      </c>
      <c r="O89" s="3066">
        <f ca="1">N89/N69</f>
        <v>1.6106260918672104E-2</v>
      </c>
      <c r="P89" s="2033"/>
      <c r="Q89" s="2033"/>
      <c r="R89" s="2033"/>
      <c r="S89" s="2033"/>
      <c r="T89" s="2033"/>
      <c r="U89" s="2033"/>
      <c r="V89" s="2033"/>
      <c r="W89" s="2037"/>
      <c r="X89" s="2037"/>
      <c r="Y89" s="2037"/>
      <c r="Z89" s="2037"/>
    </row>
    <row r="90" spans="1:26" s="1313" customFormat="1" ht="14">
      <c r="A90" s="381" t="s">
        <v>1785</v>
      </c>
      <c r="B90" s="382" t="s">
        <v>404</v>
      </c>
      <c r="C90" s="385">
        <f ca="1">ROUND(D63/(1+'数据-取费表'!C42),0)</f>
        <v>414864</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
      <c r="A91" s="381" t="s">
        <v>1791</v>
      </c>
      <c r="B91" s="348" t="s">
        <v>405</v>
      </c>
      <c r="C91" s="385">
        <f ca="1">C92+C96</f>
        <v>5050</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6">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358" t="s">
        <v>412</v>
      </c>
      <c r="F94" s="3359"/>
      <c r="G94" s="3359"/>
      <c r="H94" s="336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2489</v>
      </c>
      <c r="D96" s="406">
        <f>'数据-取费表'!B43</f>
        <v>6.000000000000001E-3</v>
      </c>
      <c r="E96" s="3348" t="s">
        <v>2389</v>
      </c>
      <c r="F96" s="3349"/>
      <c r="G96" s="3349"/>
      <c r="H96" s="335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
      <c r="A97" s="1616" t="s">
        <v>1797</v>
      </c>
      <c r="B97" s="382" t="s">
        <v>416</v>
      </c>
      <c r="C97" s="385">
        <f ca="1">C90-C91</f>
        <v>409814</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6">
      <c r="A98" s="1616" t="s">
        <v>1798</v>
      </c>
      <c r="B98" s="382" t="s">
        <v>417</v>
      </c>
      <c r="C98" s="407">
        <f ca="1">IF(C97&lt;=0,0,C97/C91)</f>
        <v>81.151287128712866</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6.5" thickBot="1">
      <c r="A99" s="1617" t="s">
        <v>1799</v>
      </c>
      <c r="B99" s="387" t="s">
        <v>418</v>
      </c>
      <c r="C99" s="408">
        <f ca="1">ROUND(IF(C97&lt;=0,0,IF(C98&gt;=200%,C97*60%-C91*35%,IF(C98&gt;=100%,C97*50%-C91*15%,IF(C98&gt;=50%,C97*40%-C91*5%,IF(C98&lt;50%,C97*30%,0))))),0)</f>
        <v>244121</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4.5" thickBot="1">
      <c r="A101" s="3361" t="s">
        <v>419</v>
      </c>
      <c r="B101" s="3362"/>
      <c r="C101" s="3362"/>
      <c r="D101" s="3362"/>
      <c r="E101" s="3362"/>
      <c r="F101" s="3362"/>
      <c r="G101" s="3362"/>
      <c r="H101" s="336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
      <c r="A102" s="3325" t="s">
        <v>393</v>
      </c>
      <c r="B102" s="3326"/>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
      <c r="A103" s="381" t="s">
        <v>1785</v>
      </c>
      <c r="B103" s="382" t="s">
        <v>404</v>
      </c>
      <c r="C103" s="385">
        <f ca="1">ROUND(D63/(1+'数据-取费表'!C42),0)</f>
        <v>414864</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
      <c r="A104" s="381" t="s">
        <v>1791</v>
      </c>
      <c r="B104" s="348" t="s">
        <v>405</v>
      </c>
      <c r="C104" s="385">
        <f ca="1">IF(H106="仅含出让金",C105+C108+C109+C110+C111+C112,C105+C109+C110+C111+C112)</f>
        <v>439205.04249999998</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
      <c r="A105" s="395" t="s">
        <v>1792</v>
      </c>
      <c r="B105" s="376" t="s">
        <v>420</v>
      </c>
      <c r="C105" s="405">
        <f>C106+C107</f>
        <v>225710.04250000001</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
      <c r="A106" s="395" t="s">
        <v>1793</v>
      </c>
      <c r="B106" s="376" t="s">
        <v>421</v>
      </c>
      <c r="C106" s="416">
        <f>企业预期售价!C9</f>
        <v>219030.04250000001</v>
      </c>
      <c r="D106" s="406"/>
      <c r="E106" s="417" t="s">
        <v>422</v>
      </c>
      <c r="F106" s="986"/>
      <c r="G106" s="418" t="s">
        <v>423</v>
      </c>
      <c r="H106" s="419" t="s">
        <v>3146</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
      <c r="A108" s="395" t="s">
        <v>1796</v>
      </c>
      <c r="B108" s="376" t="s">
        <v>425</v>
      </c>
      <c r="C108" s="416">
        <f>企业预期售价!C10</f>
        <v>144950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51" t="s">
        <v>427</v>
      </c>
      <c r="F109" s="3349"/>
      <c r="G109" s="3349"/>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37066</v>
      </c>
      <c r="D110" s="406">
        <v>0.1</v>
      </c>
      <c r="E110" s="3351" t="s">
        <v>429</v>
      </c>
      <c r="F110" s="3349"/>
      <c r="G110" s="3349"/>
      <c r="H110" s="335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2489</v>
      </c>
      <c r="D111" s="406">
        <f>'数据-取费表'!B43</f>
        <v>6.000000000000001E-3</v>
      </c>
      <c r="E111" s="3348" t="s">
        <v>2389</v>
      </c>
      <c r="F111" s="3349"/>
      <c r="G111" s="3349"/>
      <c r="H111" s="335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28990</v>
      </c>
      <c r="D112" s="406">
        <v>0.2</v>
      </c>
      <c r="E112" s="3351" t="s">
        <v>2413</v>
      </c>
      <c r="F112" s="3349"/>
      <c r="G112" s="3349"/>
      <c r="H112" s="335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
      <c r="A113" s="1616" t="s">
        <v>1797</v>
      </c>
      <c r="B113" s="382" t="s">
        <v>416</v>
      </c>
      <c r="C113" s="385">
        <f ca="1">ROUND(C103-C104,0)</f>
        <v>-24341</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6">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6.5"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60" zoomScaleNormal="95" workbookViewId="0">
      <selection activeCell="M52" sqref="M52"/>
    </sheetView>
  </sheetViews>
  <sheetFormatPr defaultColWidth="9" defaultRowHeight="14"/>
  <cols>
    <col min="1" max="1" width="15.6328125" style="1336" customWidth="1"/>
    <col min="2" max="2" width="15.81640625" style="1336" customWidth="1"/>
    <col min="3" max="3" width="16.81640625" style="1336" customWidth="1"/>
    <col min="4" max="4" width="12.1796875" style="1336" customWidth="1"/>
    <col min="5" max="5" width="16.08984375" style="1336" customWidth="1"/>
    <col min="6" max="6" width="12.1796875" style="1336" customWidth="1"/>
    <col min="7" max="7" width="19.6328125" style="1336" customWidth="1"/>
    <col min="8" max="8" width="12.1796875" style="1336" customWidth="1"/>
    <col min="9" max="9" width="17.906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353825</v>
      </c>
      <c r="C2" s="2127"/>
      <c r="D2" s="3196" t="s">
        <v>3122</v>
      </c>
      <c r="E2" s="3197">
        <v>144950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28451</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339457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22631</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
      <c r="A6" s="512" t="s">
        <v>486</v>
      </c>
      <c r="B6" s="513"/>
      <c r="C6" s="3406" t="s">
        <v>487</v>
      </c>
      <c r="D6" s="3407"/>
      <c r="E6" s="3406" t="s">
        <v>488</v>
      </c>
      <c r="F6" s="3407"/>
      <c r="G6" s="3406" t="s">
        <v>489</v>
      </c>
      <c r="H6" s="3407"/>
      <c r="I6" s="3406" t="s">
        <v>490</v>
      </c>
      <c r="J6" s="3407"/>
      <c r="K6" s="514" t="s">
        <v>491</v>
      </c>
      <c r="L6" s="2133"/>
      <c r="M6" s="2132"/>
      <c r="N6" s="2132"/>
      <c r="O6" s="2134"/>
      <c r="P6" s="3408" t="s">
        <v>492</v>
      </c>
      <c r="Q6" s="3409"/>
      <c r="R6" s="3394" t="s">
        <v>488</v>
      </c>
      <c r="S6" s="3395"/>
      <c r="T6" s="3394" t="s">
        <v>489</v>
      </c>
      <c r="U6" s="3395"/>
      <c r="V6" s="3414" t="s">
        <v>490</v>
      </c>
      <c r="W6" s="3414"/>
      <c r="X6" s="1566"/>
      <c r="Y6" s="3394" t="s">
        <v>492</v>
      </c>
      <c r="Z6" s="3395"/>
      <c r="AA6" s="3389" t="s">
        <v>488</v>
      </c>
      <c r="AB6" s="3390" t="s">
        <v>489</v>
      </c>
      <c r="AC6" s="3389" t="s">
        <v>490</v>
      </c>
    </row>
    <row r="7" spans="1:30" ht="20">
      <c r="A7" s="515"/>
      <c r="B7" s="516"/>
      <c r="C7" s="3419" t="str">
        <f>项目基本情况!F10</f>
        <v>莱茵达路以北、嘉华路以西</v>
      </c>
      <c r="D7" s="3420"/>
      <c r="E7" s="3417" t="str">
        <f>土地案例!B7</f>
        <v>前湾片区七单元03街坊</v>
      </c>
      <c r="F7" s="3418"/>
      <c r="G7" s="3417" t="str">
        <f>土地案例!B8</f>
        <v>桂湾片区三单元05街坊</v>
      </c>
      <c r="H7" s="3418"/>
      <c r="I7" s="3417" t="str">
        <f>土地案例!B13</f>
        <v>桂湾片区四单元04街坊</v>
      </c>
      <c r="J7" s="3418"/>
      <c r="K7" s="514"/>
      <c r="L7" s="2133"/>
      <c r="M7" s="2132"/>
      <c r="N7" s="2132"/>
      <c r="O7" s="2134"/>
      <c r="P7" s="3410"/>
      <c r="Q7" s="3411"/>
      <c r="R7" s="3396"/>
      <c r="S7" s="3397"/>
      <c r="T7" s="3396"/>
      <c r="U7" s="3397"/>
      <c r="V7" s="3414"/>
      <c r="W7" s="3414"/>
      <c r="X7" s="1566"/>
      <c r="Y7" s="3396"/>
      <c r="Z7" s="3397"/>
      <c r="AA7" s="3390"/>
      <c r="AB7" s="3390"/>
      <c r="AC7" s="3390"/>
    </row>
    <row r="8" spans="1:30" ht="20.5" thickBot="1">
      <c r="A8" s="515"/>
      <c r="B8" s="516"/>
      <c r="C8" s="3421" t="s">
        <v>2880</v>
      </c>
      <c r="D8" s="3422"/>
      <c r="E8" s="3421" t="s">
        <v>2880</v>
      </c>
      <c r="F8" s="3422"/>
      <c r="G8" s="3415" t="s">
        <v>2880</v>
      </c>
      <c r="H8" s="3416"/>
      <c r="I8" s="3415" t="s">
        <v>2880</v>
      </c>
      <c r="J8" s="3416"/>
      <c r="K8" s="514" t="s">
        <v>493</v>
      </c>
      <c r="L8" s="2133"/>
      <c r="M8" s="2132"/>
      <c r="N8" s="2132"/>
      <c r="O8" s="2134"/>
      <c r="P8" s="3412"/>
      <c r="Q8" s="3413"/>
      <c r="R8" s="3396"/>
      <c r="S8" s="3397"/>
      <c r="T8" s="3398"/>
      <c r="U8" s="3399"/>
      <c r="V8" s="3414"/>
      <c r="W8" s="3414"/>
      <c r="X8" s="1566"/>
      <c r="Y8" s="3398"/>
      <c r="Z8" s="3399"/>
      <c r="AA8" s="3391"/>
      <c r="AB8" s="3391"/>
      <c r="AC8" s="3391"/>
    </row>
    <row r="9" spans="1:30" s="1219" customFormat="1" ht="20.5" thickBot="1">
      <c r="A9" s="2912"/>
      <c r="B9" s="2919" t="s">
        <v>494</v>
      </c>
      <c r="C9" s="2911">
        <f>'数据-取费表'!B2</f>
        <v>43899</v>
      </c>
      <c r="D9" s="520">
        <v>100</v>
      </c>
      <c r="E9" s="521" t="str">
        <f>土地案例!I7</f>
        <v>2018-12-14</v>
      </c>
      <c r="F9" s="522">
        <f>SUMIF(72:72,YEAR(E9)&amp;"-"&amp;INT((MONTH(E9)+2)/3),73:73)</f>
        <v>95</v>
      </c>
      <c r="G9" s="523" t="str">
        <f>土地案例!I8</f>
        <v>2018-12-12</v>
      </c>
      <c r="H9" s="520">
        <f>SUMIF(72:72,YEAR(G9)&amp;"-"&amp;INT((MONTH(G9)+2)/3),73:73)</f>
        <v>95</v>
      </c>
      <c r="I9" s="523" t="str">
        <f>土地案例!I13</f>
        <v>2018-10-18</v>
      </c>
      <c r="J9" s="520">
        <f>SUMIF(72:72,YEAR(I9)&amp;"-"&amp;INT((MONTH(I9)+2)/3),73:73)</f>
        <v>95</v>
      </c>
      <c r="K9" s="524"/>
      <c r="L9" s="2135"/>
      <c r="M9" s="2132"/>
      <c r="N9" s="2132"/>
      <c r="O9" s="2136"/>
      <c r="P9" s="3392" t="s">
        <v>495</v>
      </c>
      <c r="Q9" s="3401"/>
      <c r="R9" s="1567" t="s">
        <v>8</v>
      </c>
      <c r="S9" s="1568">
        <f t="shared" ref="S9:S17" si="0">F9</f>
        <v>95</v>
      </c>
      <c r="T9" s="1567" t="s">
        <v>8</v>
      </c>
      <c r="U9" s="1568">
        <f t="shared" ref="U9:U17" si="1">H9</f>
        <v>95</v>
      </c>
      <c r="V9" s="1567" t="s">
        <v>8</v>
      </c>
      <c r="W9" s="1568">
        <f t="shared" ref="W9:W17" si="2">J9</f>
        <v>95</v>
      </c>
      <c r="X9" s="1569"/>
      <c r="Y9" s="3392" t="s">
        <v>495</v>
      </c>
      <c r="Z9" s="3393"/>
      <c r="AA9" s="1570">
        <f>D9/F9</f>
        <v>1.0526315789473684</v>
      </c>
      <c r="AB9" s="1570">
        <f>D9/H9</f>
        <v>1.0526315789473684</v>
      </c>
      <c r="AC9" s="1570">
        <f>D9/J9</f>
        <v>1.0526315789473684</v>
      </c>
    </row>
    <row r="10" spans="1:30" s="1219" customFormat="1" ht="20.5" thickBot="1">
      <c r="A10" s="2913"/>
      <c r="B10" s="2920" t="s">
        <v>496</v>
      </c>
      <c r="C10" s="856" t="s">
        <v>497</v>
      </c>
      <c r="D10" s="520">
        <v>100</v>
      </c>
      <c r="E10" s="525" t="s">
        <v>2954</v>
      </c>
      <c r="F10" s="522">
        <f>SUMIF(75:75,E10,76:76)-SUMIF(75:75,C10,76:76)+100</f>
        <v>100</v>
      </c>
      <c r="G10" s="525" t="s">
        <v>2954</v>
      </c>
      <c r="H10" s="520">
        <f>SUMIF(75:75,G10,76:76)-SUMIF(75:75,C10,76:76)+100</f>
        <v>100</v>
      </c>
      <c r="I10" s="525" t="s">
        <v>2954</v>
      </c>
      <c r="J10" s="520">
        <f>SUMIF(75:75,I10,76:76)-SUMIF(75:75,C10,76:76)+100</f>
        <v>100</v>
      </c>
      <c r="K10" s="524"/>
      <c r="L10" s="2135"/>
      <c r="M10" s="2132"/>
      <c r="N10" s="2132"/>
      <c r="O10" s="2136"/>
      <c r="P10" s="3392" t="s">
        <v>498</v>
      </c>
      <c r="Q10" s="3393"/>
      <c r="R10" s="1567" t="s">
        <v>8</v>
      </c>
      <c r="S10" s="1568">
        <f t="shared" si="0"/>
        <v>100</v>
      </c>
      <c r="T10" s="1567" t="s">
        <v>8</v>
      </c>
      <c r="U10" s="1568">
        <f t="shared" si="1"/>
        <v>100</v>
      </c>
      <c r="V10" s="1567" t="s">
        <v>8</v>
      </c>
      <c r="W10" s="1568">
        <f t="shared" si="2"/>
        <v>100</v>
      </c>
      <c r="X10" s="1569"/>
      <c r="Y10" s="3392" t="s">
        <v>498</v>
      </c>
      <c r="Z10" s="3393"/>
      <c r="AA10" s="1570">
        <f t="shared" ref="AA10:AA47" si="3">D10/F10</f>
        <v>1</v>
      </c>
      <c r="AB10" s="1570">
        <f t="shared" ref="AB10:AB47" si="4">D10/H10</f>
        <v>1</v>
      </c>
      <c r="AC10" s="1570">
        <f t="shared" ref="AC10:AC47" si="5">D10/J10</f>
        <v>1</v>
      </c>
    </row>
    <row r="11" spans="1:30" s="1219" customFormat="1" ht="20">
      <c r="A11" s="2914"/>
      <c r="B11" s="2921" t="s">
        <v>2715</v>
      </c>
      <c r="C11" s="2908" t="s">
        <v>2932</v>
      </c>
      <c r="D11" s="254">
        <v>100</v>
      </c>
      <c r="E11" s="2908" t="s">
        <v>2932</v>
      </c>
      <c r="F11" s="254">
        <f>SUMIF(77:77,E11,78:78)-SUMIF(77:77,C11,78:78)+100</f>
        <v>100</v>
      </c>
      <c r="G11" s="2908" t="s">
        <v>2932</v>
      </c>
      <c r="H11" s="254">
        <f>SUMIF(77:77,G11,78:78)-SUMIF(77:77,C11,78:78)+100</f>
        <v>100</v>
      </c>
      <c r="I11" s="2908" t="s">
        <v>2932</v>
      </c>
      <c r="J11" s="254">
        <f>SUMIF(77:77,I11,78:78)-SUMIF(77:77,C11,78:78)+100</f>
        <v>100</v>
      </c>
      <c r="K11" s="524"/>
      <c r="L11" s="2135"/>
      <c r="M11" s="2132"/>
      <c r="N11" s="2132"/>
      <c r="O11" s="2137"/>
      <c r="P11" s="3400" t="s">
        <v>500</v>
      </c>
      <c r="Q11" s="1150" t="str">
        <f t="shared" ref="Q11:Q17" si="6">B11</f>
        <v>用途</v>
      </c>
      <c r="R11" s="1567" t="s">
        <v>8</v>
      </c>
      <c r="S11" s="1568">
        <f t="shared" si="0"/>
        <v>100</v>
      </c>
      <c r="T11" s="1567" t="s">
        <v>8</v>
      </c>
      <c r="U11" s="1568">
        <f t="shared" si="1"/>
        <v>100</v>
      </c>
      <c r="V11" s="1567" t="s">
        <v>8</v>
      </c>
      <c r="W11" s="1568">
        <f t="shared" si="2"/>
        <v>100</v>
      </c>
      <c r="X11" s="1569"/>
      <c r="Y11" s="3357" t="s">
        <v>501</v>
      </c>
      <c r="Z11" s="1149" t="str">
        <f t="shared" ref="Z11:Z17" si="7">Q11</f>
        <v>用途</v>
      </c>
      <c r="AA11" s="1570">
        <f t="shared" si="3"/>
        <v>1</v>
      </c>
      <c r="AB11" s="1570">
        <f t="shared" si="4"/>
        <v>1</v>
      </c>
      <c r="AC11" s="1570">
        <f t="shared" si="5"/>
        <v>1</v>
      </c>
    </row>
    <row r="12" spans="1:30" s="1337" customFormat="1" ht="28">
      <c r="A12" s="2915"/>
      <c r="B12" s="2920" t="s">
        <v>2716</v>
      </c>
      <c r="C12" s="910">
        <f>项目基本情况!E19</f>
        <v>39.26</v>
      </c>
      <c r="D12" s="255">
        <v>100</v>
      </c>
      <c r="E12" s="529" t="s">
        <v>3090</v>
      </c>
      <c r="F12" s="255">
        <f>ROUND(100/'数据-取费表'!G16,0)</f>
        <v>101</v>
      </c>
      <c r="G12" s="530" t="s">
        <v>3090</v>
      </c>
      <c r="H12" s="255">
        <f>ROUND(100/'数据-取费表'!G16,0)</f>
        <v>101</v>
      </c>
      <c r="I12" s="530" t="s">
        <v>3090</v>
      </c>
      <c r="J12" s="255">
        <f>ROUND(100/'数据-取费表'!G16,0)</f>
        <v>101</v>
      </c>
      <c r="K12" s="531"/>
      <c r="L12" s="2138"/>
      <c r="M12" s="2132"/>
      <c r="N12" s="2132"/>
      <c r="O12" s="2139"/>
      <c r="P12" s="3400"/>
      <c r="Q12" s="1150" t="str">
        <f t="shared" si="6"/>
        <v>土地使用年限（年）</v>
      </c>
      <c r="R12" s="1567" t="s">
        <v>8</v>
      </c>
      <c r="S12" s="1568">
        <f t="shared" si="0"/>
        <v>101</v>
      </c>
      <c r="T12" s="1567" t="s">
        <v>8</v>
      </c>
      <c r="U12" s="1568">
        <f t="shared" si="1"/>
        <v>101</v>
      </c>
      <c r="V12" s="1567" t="s">
        <v>8</v>
      </c>
      <c r="W12" s="1568">
        <f t="shared" si="2"/>
        <v>101</v>
      </c>
      <c r="X12" s="1569"/>
      <c r="Y12" s="3357"/>
      <c r="Z12" s="1149" t="str">
        <f t="shared" si="7"/>
        <v>土地使用年限（年）</v>
      </c>
      <c r="AA12" s="1570">
        <f t="shared" si="3"/>
        <v>0.99009900990099009</v>
      </c>
      <c r="AB12" s="1570">
        <f t="shared" si="4"/>
        <v>0.99009900990099009</v>
      </c>
      <c r="AC12" s="1570">
        <f t="shared" si="5"/>
        <v>0.99009900990099009</v>
      </c>
    </row>
    <row r="13" spans="1:30" ht="20">
      <c r="A13" s="2916"/>
      <c r="B13" s="2920" t="s">
        <v>2717</v>
      </c>
      <c r="C13" s="534">
        <f>'数据-汇总表'!I4</f>
        <v>8.6199999999999992</v>
      </c>
      <c r="D13" s="255">
        <v>100</v>
      </c>
      <c r="E13" s="533">
        <v>5.17</v>
      </c>
      <c r="F13" s="255">
        <f>LOOKUP(E13,82:82,83:83)-LOOKUP(C13,82:82,83:83)+100</f>
        <v>106</v>
      </c>
      <c r="G13" s="534">
        <v>7.38</v>
      </c>
      <c r="H13" s="255">
        <f>LOOKUP(G13,82:82,83:83)-LOOKUP(C13,82:82,83:83)+100</f>
        <v>102</v>
      </c>
      <c r="I13" s="533">
        <v>9.8800000000000008</v>
      </c>
      <c r="J13" s="255">
        <f>LOOKUP(I13,82:82,83:83)-LOOKUP(C13,82:82,83:83)+100</f>
        <v>98</v>
      </c>
      <c r="K13" s="535">
        <v>2</v>
      </c>
      <c r="L13" s="2140"/>
      <c r="M13" s="2132"/>
      <c r="N13" s="2132"/>
      <c r="O13" s="2141"/>
      <c r="P13" s="3400"/>
      <c r="Q13" s="1150" t="str">
        <f t="shared" si="6"/>
        <v>容积率</v>
      </c>
      <c r="R13" s="1567" t="s">
        <v>8</v>
      </c>
      <c r="S13" s="1568">
        <f t="shared" si="0"/>
        <v>106</v>
      </c>
      <c r="T13" s="1567" t="s">
        <v>8</v>
      </c>
      <c r="U13" s="1568">
        <f t="shared" si="1"/>
        <v>102</v>
      </c>
      <c r="V13" s="1567" t="s">
        <v>8</v>
      </c>
      <c r="W13" s="1568">
        <f t="shared" si="2"/>
        <v>98</v>
      </c>
      <c r="X13" s="1569"/>
      <c r="Y13" s="3357"/>
      <c r="Z13" s="1149" t="str">
        <f t="shared" si="7"/>
        <v>容积率</v>
      </c>
      <c r="AA13" s="1570">
        <f t="shared" si="3"/>
        <v>0.94339622641509435</v>
      </c>
      <c r="AB13" s="1570">
        <f t="shared" si="4"/>
        <v>0.98039215686274506</v>
      </c>
      <c r="AC13" s="1570">
        <f t="shared" si="5"/>
        <v>1.0204081632653061</v>
      </c>
    </row>
    <row r="14" spans="1:30" s="1219" customFormat="1" ht="20">
      <c r="A14" s="2913"/>
      <c r="B14" s="2922" t="s">
        <v>2718</v>
      </c>
      <c r="C14" s="2909" t="s">
        <v>3082</v>
      </c>
      <c r="D14" s="538">
        <v>100</v>
      </c>
      <c r="E14" s="2909" t="s">
        <v>3082</v>
      </c>
      <c r="F14" s="255">
        <f>SUMIF(84:84,E14,85:85)-SUMIF(84:84,C14,85:85)+100</f>
        <v>100</v>
      </c>
      <c r="G14" s="2909" t="s">
        <v>3082</v>
      </c>
      <c r="H14" s="255">
        <f>SUMIF(84:84,G14,85:85)-SUMIF(84:84,C14,85:85)+100</f>
        <v>100</v>
      </c>
      <c r="I14" s="2909" t="s">
        <v>3082</v>
      </c>
      <c r="J14" s="255">
        <f>SUMIF(84:84,I14,85:85)-SUMIF(84:84,C14,85:85)+100</f>
        <v>100</v>
      </c>
      <c r="K14" s="531"/>
      <c r="L14" s="2135"/>
      <c r="M14" s="2132"/>
      <c r="N14" s="2132"/>
      <c r="O14" s="2137"/>
      <c r="P14" s="3400"/>
      <c r="Q14" s="1150" t="str">
        <f t="shared" si="6"/>
        <v>配建</v>
      </c>
      <c r="R14" s="1567" t="s">
        <v>8</v>
      </c>
      <c r="S14" s="1568">
        <f t="shared" si="0"/>
        <v>100</v>
      </c>
      <c r="T14" s="1567" t="s">
        <v>8</v>
      </c>
      <c r="U14" s="1568">
        <f t="shared" si="1"/>
        <v>100</v>
      </c>
      <c r="V14" s="1567" t="s">
        <v>8</v>
      </c>
      <c r="W14" s="1568">
        <f t="shared" si="2"/>
        <v>100</v>
      </c>
      <c r="X14" s="1569"/>
      <c r="Y14" s="3357"/>
      <c r="Z14" s="1149" t="str">
        <f t="shared" si="7"/>
        <v>配建</v>
      </c>
      <c r="AA14" s="1570">
        <f>D14/F14</f>
        <v>1</v>
      </c>
      <c r="AB14" s="1570">
        <f>D14/H14</f>
        <v>1</v>
      </c>
      <c r="AC14" s="1570">
        <f>D14/J14</f>
        <v>1</v>
      </c>
    </row>
    <row r="15" spans="1:30" ht="20">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0"/>
      <c r="Q15" s="1150">
        <f t="shared" si="6"/>
        <v>0</v>
      </c>
      <c r="R15" s="1567" t="s">
        <v>8</v>
      </c>
      <c r="S15" s="1568">
        <f t="shared" si="0"/>
        <v>100</v>
      </c>
      <c r="T15" s="1567" t="s">
        <v>8</v>
      </c>
      <c r="U15" s="1568">
        <f t="shared" si="1"/>
        <v>100</v>
      </c>
      <c r="V15" s="1567" t="s">
        <v>8</v>
      </c>
      <c r="W15" s="1568">
        <f t="shared" si="2"/>
        <v>100</v>
      </c>
      <c r="X15" s="1569"/>
      <c r="Y15" s="3357"/>
      <c r="Z15" s="1149">
        <f t="shared" si="7"/>
        <v>0</v>
      </c>
      <c r="AA15" s="1570">
        <f>D15/F15</f>
        <v>1</v>
      </c>
      <c r="AB15" s="1570">
        <f>D15/H15</f>
        <v>1</v>
      </c>
      <c r="AC15" s="1570">
        <f>D15/J15</f>
        <v>1</v>
      </c>
    </row>
    <row r="16" spans="1:30" ht="20.5"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0"/>
      <c r="Q16" s="1150">
        <f t="shared" si="6"/>
        <v>0</v>
      </c>
      <c r="R16" s="1567" t="s">
        <v>8</v>
      </c>
      <c r="S16" s="1568">
        <f t="shared" si="0"/>
        <v>100</v>
      </c>
      <c r="T16" s="1567" t="s">
        <v>8</v>
      </c>
      <c r="U16" s="1568">
        <f t="shared" si="1"/>
        <v>100</v>
      </c>
      <c r="V16" s="1567" t="s">
        <v>8</v>
      </c>
      <c r="W16" s="1568">
        <f t="shared" si="2"/>
        <v>100</v>
      </c>
      <c r="X16" s="1569"/>
      <c r="Y16" s="3357"/>
      <c r="Z16" s="1149">
        <f t="shared" si="7"/>
        <v>0</v>
      </c>
      <c r="AA16" s="1570">
        <f>D16/F16</f>
        <v>1</v>
      </c>
      <c r="AB16" s="1570">
        <f>D16/H16</f>
        <v>1</v>
      </c>
      <c r="AC16" s="1570">
        <f>D16/J16</f>
        <v>1</v>
      </c>
    </row>
    <row r="17" spans="1:29" ht="28">
      <c r="A17" s="2910" t="s">
        <v>2713</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402" t="s">
        <v>505</v>
      </c>
      <c r="Q17" s="1571" t="str">
        <f t="shared" si="6"/>
        <v>居住社区成熟度</v>
      </c>
      <c r="R17" s="1572" t="s">
        <v>8</v>
      </c>
      <c r="S17" s="1573">
        <f t="shared" si="0"/>
        <v>100</v>
      </c>
      <c r="T17" s="1572" t="s">
        <v>8</v>
      </c>
      <c r="U17" s="1573">
        <f t="shared" si="1"/>
        <v>100</v>
      </c>
      <c r="V17" s="1572" t="s">
        <v>8</v>
      </c>
      <c r="W17" s="1573">
        <f t="shared" si="2"/>
        <v>100</v>
      </c>
      <c r="X17" s="1566"/>
      <c r="Y17" s="3402" t="s">
        <v>505</v>
      </c>
      <c r="Z17" s="1574" t="str">
        <f t="shared" si="7"/>
        <v>居住社区成熟度</v>
      </c>
      <c r="AA17" s="1575">
        <f t="shared" si="3"/>
        <v>1</v>
      </c>
      <c r="AB17" s="1575">
        <f t="shared" si="4"/>
        <v>1</v>
      </c>
      <c r="AC17" s="1575">
        <f t="shared" si="5"/>
        <v>1</v>
      </c>
    </row>
    <row r="18" spans="1:29" ht="20">
      <c r="A18" s="532"/>
      <c r="B18" s="553"/>
      <c r="C18" s="554" t="s">
        <v>1618</v>
      </c>
      <c r="D18" s="557"/>
      <c r="E18" s="558" t="s">
        <v>1618</v>
      </c>
      <c r="F18" s="555"/>
      <c r="G18" s="558" t="s">
        <v>1618</v>
      </c>
      <c r="H18" s="559"/>
      <c r="I18" s="558" t="s">
        <v>1618</v>
      </c>
      <c r="J18" s="555"/>
      <c r="K18" s="531"/>
      <c r="L18" s="2142"/>
      <c r="M18" s="2132"/>
      <c r="N18" s="2132"/>
      <c r="O18" s="2141"/>
      <c r="P18" s="3403"/>
      <c r="Q18" s="1571"/>
      <c r="R18" s="1572"/>
      <c r="S18" s="1573"/>
      <c r="T18" s="1572"/>
      <c r="U18" s="1573"/>
      <c r="V18" s="1572"/>
      <c r="W18" s="1573"/>
      <c r="X18" s="1566"/>
      <c r="Y18" s="3403"/>
      <c r="Z18" s="1574"/>
      <c r="AA18" s="1575">
        <v>1</v>
      </c>
      <c r="AB18" s="1575">
        <v>1</v>
      </c>
      <c r="AC18" s="1575">
        <v>1</v>
      </c>
    </row>
    <row r="19" spans="1:29" ht="98">
      <c r="A19" s="532"/>
      <c r="B19" s="560" t="s">
        <v>506</v>
      </c>
      <c r="C19" s="561" t="str">
        <f>估价对象房地状况!C16</f>
        <v>估价对象位于华强北，周边有乐淘里地下商业街等，周边商业氛围成熟度高，人流量大，商业繁华度好</v>
      </c>
      <c r="D19" s="563">
        <v>100</v>
      </c>
      <c r="E19" s="3192" t="s">
        <v>3147</v>
      </c>
      <c r="F19" s="559">
        <f>SUMIF(92:92,E20,93:93)-SUMIF(92:92,C20,93:93)+100</f>
        <v>100</v>
      </c>
      <c r="G19" s="3192" t="s">
        <v>3147</v>
      </c>
      <c r="H19" s="565">
        <f>SUMIF(92:92,G20,93:93)-SUMIF(92:92,C20,93:93)+100</f>
        <v>100</v>
      </c>
      <c r="I19" s="3192" t="s">
        <v>3147</v>
      </c>
      <c r="J19" s="565">
        <f>SUMIF(92:92,I20,93:93)-SUMIF(92:92,C20,93:93)+100</f>
        <v>100</v>
      </c>
      <c r="K19" s="535">
        <v>2</v>
      </c>
      <c r="L19" s="2142"/>
      <c r="M19" s="2132"/>
      <c r="N19" s="2132"/>
      <c r="O19" s="2141"/>
      <c r="P19" s="3403"/>
      <c r="Q19" s="1571" t="str">
        <f>B19</f>
        <v>商业繁华度</v>
      </c>
      <c r="R19" s="1572" t="s">
        <v>8</v>
      </c>
      <c r="S19" s="1573">
        <f>F19</f>
        <v>100</v>
      </c>
      <c r="T19" s="1572" t="s">
        <v>8</v>
      </c>
      <c r="U19" s="1573">
        <f>H19</f>
        <v>100</v>
      </c>
      <c r="V19" s="1572" t="s">
        <v>8</v>
      </c>
      <c r="W19" s="1573">
        <f>J19</f>
        <v>100</v>
      </c>
      <c r="X19" s="1566"/>
      <c r="Y19" s="3403"/>
      <c r="Z19" s="1574" t="str">
        <f>Q19</f>
        <v>商业繁华度</v>
      </c>
      <c r="AA19" s="1575">
        <f t="shared" si="3"/>
        <v>1</v>
      </c>
      <c r="AB19" s="1575">
        <f t="shared" si="4"/>
        <v>1</v>
      </c>
      <c r="AC19" s="1575">
        <f t="shared" si="5"/>
        <v>1</v>
      </c>
    </row>
    <row r="20" spans="1:29" ht="20">
      <c r="A20" s="532"/>
      <c r="B20" s="566"/>
      <c r="C20" s="567" t="s">
        <v>3091</v>
      </c>
      <c r="D20" s="563"/>
      <c r="E20" s="567" t="s">
        <v>3091</v>
      </c>
      <c r="F20" s="559"/>
      <c r="G20" s="567" t="s">
        <v>3091</v>
      </c>
      <c r="H20" s="555"/>
      <c r="I20" s="567" t="s">
        <v>3091</v>
      </c>
      <c r="J20" s="555"/>
      <c r="K20" s="531"/>
      <c r="L20" s="2142"/>
      <c r="M20" s="2132"/>
      <c r="N20" s="2132"/>
      <c r="O20" s="2141"/>
      <c r="P20" s="3403"/>
      <c r="Q20" s="1571"/>
      <c r="R20" s="1572"/>
      <c r="S20" s="1573"/>
      <c r="T20" s="1572"/>
      <c r="U20" s="1573"/>
      <c r="V20" s="1572"/>
      <c r="W20" s="1573"/>
      <c r="X20" s="1566"/>
      <c r="Y20" s="3403"/>
      <c r="Z20" s="1574"/>
      <c r="AA20" s="1575">
        <v>1</v>
      </c>
      <c r="AB20" s="1575">
        <v>1</v>
      </c>
      <c r="AC20" s="1575">
        <v>1</v>
      </c>
    </row>
    <row r="21" spans="1:29" ht="84">
      <c r="A21" s="532"/>
      <c r="B21" s="560" t="s">
        <v>507</v>
      </c>
      <c r="C21" s="561" t="str">
        <f>估价对象房地状况!C17</f>
        <v>估价对象位于华强北，周边办公楼项目多，有华美大厦等，入驻率高，办公集聚程度好</v>
      </c>
      <c r="D21" s="571">
        <v>100</v>
      </c>
      <c r="E21" s="3193" t="s">
        <v>3148</v>
      </c>
      <c r="F21" s="565">
        <f>SUMIF(94:94,E22,95:95)-SUMIF(94:94,C22,95:95)+100</f>
        <v>100</v>
      </c>
      <c r="G21" s="3193" t="s">
        <v>3148</v>
      </c>
      <c r="H21" s="559">
        <f>SUMIF(94:94,G22,95:95)-SUMIF(94:94,C22,95:95)+100</f>
        <v>100</v>
      </c>
      <c r="I21" s="3193" t="s">
        <v>3148</v>
      </c>
      <c r="J21" s="559">
        <f>SUMIF(94:94,I22,95:95)-SUMIF(94:94,C22,95:95)+100</f>
        <v>100</v>
      </c>
      <c r="K21" s="535">
        <v>2</v>
      </c>
      <c r="L21" s="2142"/>
      <c r="M21" s="2132"/>
      <c r="N21" s="2132"/>
      <c r="O21" s="2141"/>
      <c r="P21" s="3403"/>
      <c r="Q21" s="1571" t="str">
        <f>B21</f>
        <v>办公集聚程度</v>
      </c>
      <c r="R21" s="1572" t="s">
        <v>8</v>
      </c>
      <c r="S21" s="1573">
        <f>F21</f>
        <v>100</v>
      </c>
      <c r="T21" s="1572" t="s">
        <v>8</v>
      </c>
      <c r="U21" s="1573">
        <f>H21</f>
        <v>100</v>
      </c>
      <c r="V21" s="1572" t="s">
        <v>8</v>
      </c>
      <c r="W21" s="1573">
        <f>J21</f>
        <v>100</v>
      </c>
      <c r="X21" s="1566"/>
      <c r="Y21" s="3403"/>
      <c r="Z21" s="1574" t="str">
        <f>Q21</f>
        <v>办公集聚程度</v>
      </c>
      <c r="AA21" s="1575">
        <f t="shared" si="3"/>
        <v>1</v>
      </c>
      <c r="AB21" s="1575">
        <f t="shared" si="4"/>
        <v>1</v>
      </c>
      <c r="AC21" s="1575">
        <f t="shared" si="5"/>
        <v>1</v>
      </c>
    </row>
    <row r="22" spans="1:29" ht="20">
      <c r="A22" s="532"/>
      <c r="B22" s="566"/>
      <c r="C22" s="554" t="s">
        <v>3091</v>
      </c>
      <c r="D22" s="557"/>
      <c r="E22" s="554" t="s">
        <v>3091</v>
      </c>
      <c r="F22" s="555"/>
      <c r="G22" s="554" t="s">
        <v>3091</v>
      </c>
      <c r="H22" s="555"/>
      <c r="I22" s="554" t="s">
        <v>3091</v>
      </c>
      <c r="J22" s="555"/>
      <c r="K22" s="531"/>
      <c r="L22" s="2142"/>
      <c r="M22" s="2132"/>
      <c r="N22" s="2132"/>
      <c r="O22" s="2141"/>
      <c r="P22" s="3403"/>
      <c r="Q22" s="1571"/>
      <c r="R22" s="1572"/>
      <c r="S22" s="1573"/>
      <c r="T22" s="1572"/>
      <c r="U22" s="1573"/>
      <c r="V22" s="1572"/>
      <c r="W22" s="1573"/>
      <c r="X22" s="1566"/>
      <c r="Y22" s="3403"/>
      <c r="Z22" s="1574"/>
      <c r="AA22" s="1575">
        <v>1</v>
      </c>
      <c r="AB22" s="1575">
        <v>1</v>
      </c>
      <c r="AC22" s="1575">
        <v>1</v>
      </c>
    </row>
    <row r="23" spans="1:29" ht="126">
      <c r="A23" s="532"/>
      <c r="B23" s="560" t="s">
        <v>508</v>
      </c>
      <c r="C23" s="573" t="str">
        <f>估价对象房地状况!C18</f>
        <v>估价对象周边道路状况好、公共交通通达情况好、停车便捷程度好，周边有2号线、7号线华强北站，综合评价交通便捷度好</v>
      </c>
      <c r="D23" s="563">
        <v>100</v>
      </c>
      <c r="E23" s="564" t="s">
        <v>3098</v>
      </c>
      <c r="F23" s="565">
        <f>SUMIF(96:96,E24,97:97)-SUMIF(96:96,C24,97:97)+100</f>
        <v>100</v>
      </c>
      <c r="G23" s="564" t="s">
        <v>3097</v>
      </c>
      <c r="H23" s="559">
        <f>SUMIF(96:96,G24,97:97)-SUMIF(96:96,C24,97:97)+100</f>
        <v>100</v>
      </c>
      <c r="I23" s="564" t="s">
        <v>3098</v>
      </c>
      <c r="J23" s="559">
        <f>SUMIF(96:96,I24,97:97)-SUMIF(96:96,C24,97:97)+100</f>
        <v>100</v>
      </c>
      <c r="K23" s="535">
        <v>1</v>
      </c>
      <c r="L23" s="2142"/>
      <c r="M23" s="2132"/>
      <c r="N23" s="2132"/>
      <c r="O23" s="2141"/>
      <c r="P23" s="3403"/>
      <c r="Q23" s="1571" t="str">
        <f>B23</f>
        <v>交通便捷度</v>
      </c>
      <c r="R23" s="1572" t="s">
        <v>8</v>
      </c>
      <c r="S23" s="1573">
        <f>F23</f>
        <v>100</v>
      </c>
      <c r="T23" s="1572" t="s">
        <v>8</v>
      </c>
      <c r="U23" s="1573">
        <f>H23</f>
        <v>100</v>
      </c>
      <c r="V23" s="1572" t="s">
        <v>8</v>
      </c>
      <c r="W23" s="1573">
        <f>J23</f>
        <v>100</v>
      </c>
      <c r="X23" s="1566"/>
      <c r="Y23" s="3403"/>
      <c r="Z23" s="1574" t="str">
        <f>Q23</f>
        <v>交通便捷度</v>
      </c>
      <c r="AA23" s="1575">
        <f t="shared" si="3"/>
        <v>1</v>
      </c>
      <c r="AB23" s="1575">
        <f t="shared" si="4"/>
        <v>1</v>
      </c>
      <c r="AC23" s="1575">
        <f t="shared" si="5"/>
        <v>1</v>
      </c>
    </row>
    <row r="24" spans="1:29" ht="20">
      <c r="A24" s="532"/>
      <c r="B24" s="578"/>
      <c r="C24" s="554" t="s">
        <v>3091</v>
      </c>
      <c r="D24" s="557"/>
      <c r="E24" s="558" t="s">
        <v>3091</v>
      </c>
      <c r="F24" s="555"/>
      <c r="G24" s="558" t="s">
        <v>3091</v>
      </c>
      <c r="H24" s="555"/>
      <c r="I24" s="558" t="s">
        <v>3091</v>
      </c>
      <c r="J24" s="555"/>
      <c r="K24" s="531"/>
      <c r="L24" s="2142"/>
      <c r="M24" s="2132"/>
      <c r="N24" s="2132"/>
      <c r="O24" s="2141"/>
      <c r="P24" s="3403"/>
      <c r="Q24" s="1571"/>
      <c r="R24" s="1572"/>
      <c r="S24" s="1573"/>
      <c r="T24" s="1572"/>
      <c r="U24" s="1573"/>
      <c r="V24" s="1572"/>
      <c r="W24" s="1573"/>
      <c r="X24" s="1566"/>
      <c r="Y24" s="3403"/>
      <c r="Z24" s="1574"/>
      <c r="AA24" s="1575">
        <v>1</v>
      </c>
      <c r="AB24" s="1575">
        <v>1</v>
      </c>
      <c r="AC24" s="1575">
        <v>1</v>
      </c>
    </row>
    <row r="25" spans="1:29" ht="28">
      <c r="A25" s="515"/>
      <c r="B25" s="259" t="s">
        <v>509</v>
      </c>
      <c r="C25" s="573" t="str">
        <f>估价对象房地状况!C19</f>
        <v>较一致</v>
      </c>
      <c r="D25" s="563">
        <v>100</v>
      </c>
      <c r="E25" s="564" t="s">
        <v>2994</v>
      </c>
      <c r="F25" s="565">
        <f>SUMIF(98:98,E26,99:99)-SUMIF(98:98,C26,99:99)+100</f>
        <v>100</v>
      </c>
      <c r="G25" s="564" t="s">
        <v>2994</v>
      </c>
      <c r="H25" s="559">
        <f>SUMIF(98:98,G26,99:99)-SUMIF(98:98,C26,99:99)+100</f>
        <v>100</v>
      </c>
      <c r="I25" s="564" t="s">
        <v>2994</v>
      </c>
      <c r="J25" s="559">
        <f>SUMIF(98:98,I26,99:99)-SUMIF(98:98,C26,99:99)+100</f>
        <v>100</v>
      </c>
      <c r="K25" s="535">
        <v>1</v>
      </c>
      <c r="L25" s="2142"/>
      <c r="M25" s="2132"/>
      <c r="N25" s="2132"/>
      <c r="O25" s="2141"/>
      <c r="P25" s="3403"/>
      <c r="Q25" s="1571" t="str">
        <f t="shared" ref="Q25:Q39" si="8">B25</f>
        <v>区域土地利用方向</v>
      </c>
      <c r="R25" s="1572" t="s">
        <v>8</v>
      </c>
      <c r="S25" s="1573">
        <f>F25</f>
        <v>100</v>
      </c>
      <c r="T25" s="1572" t="s">
        <v>8</v>
      </c>
      <c r="U25" s="1573">
        <f>H25</f>
        <v>100</v>
      </c>
      <c r="V25" s="1572" t="s">
        <v>8</v>
      </c>
      <c r="W25" s="1573">
        <f>J25</f>
        <v>100</v>
      </c>
      <c r="X25" s="1566"/>
      <c r="Y25" s="3403"/>
      <c r="Z25" s="1574" t="str">
        <f>Q25</f>
        <v>区域土地利用方向</v>
      </c>
      <c r="AA25" s="1575">
        <f t="shared" si="3"/>
        <v>1</v>
      </c>
      <c r="AB25" s="1575">
        <f t="shared" si="4"/>
        <v>1</v>
      </c>
      <c r="AC25" s="1575">
        <f t="shared" si="5"/>
        <v>1</v>
      </c>
    </row>
    <row r="26" spans="1:29" ht="20">
      <c r="A26" s="515"/>
      <c r="B26" s="1007"/>
      <c r="C26" s="554" t="s">
        <v>2935</v>
      </c>
      <c r="D26" s="557"/>
      <c r="E26" s="558" t="s">
        <v>2935</v>
      </c>
      <c r="F26" s="555"/>
      <c r="G26" s="558" t="s">
        <v>2935</v>
      </c>
      <c r="H26" s="555"/>
      <c r="I26" s="558" t="s">
        <v>2935</v>
      </c>
      <c r="J26" s="555"/>
      <c r="K26" s="531"/>
      <c r="L26" s="2142"/>
      <c r="M26" s="2132"/>
      <c r="N26" s="2132"/>
      <c r="O26" s="2141"/>
      <c r="P26" s="3403"/>
      <c r="Q26" s="1571"/>
      <c r="R26" s="1572"/>
      <c r="S26" s="1573"/>
      <c r="T26" s="1572"/>
      <c r="U26" s="1573"/>
      <c r="V26" s="1572"/>
      <c r="W26" s="1573"/>
      <c r="X26" s="1566"/>
      <c r="Y26" s="3403"/>
      <c r="Z26" s="1574"/>
      <c r="AA26" s="1575"/>
      <c r="AB26" s="1575"/>
      <c r="AC26" s="1575"/>
    </row>
    <row r="27" spans="1:29" ht="70">
      <c r="A27" s="515"/>
      <c r="B27" s="578" t="s">
        <v>510</v>
      </c>
      <c r="C27" s="561" t="str">
        <f>估价对象房地状况!C20</f>
        <v>区域自然环境及人文环境好，周边有深圳城市学院、深圳中心公园；综合评价环境状况好</v>
      </c>
      <c r="D27" s="563">
        <v>100</v>
      </c>
      <c r="E27" s="3192" t="s">
        <v>3100</v>
      </c>
      <c r="F27" s="559">
        <f>SUMIF(100:100,E28,101:101)-SUMIF(100:100,C28,101:101)+100</f>
        <v>100</v>
      </c>
      <c r="G27" s="564" t="s">
        <v>3099</v>
      </c>
      <c r="H27" s="559">
        <f>SUMIF(100:100,G28,101:101)-SUMIF(100:100,C28,101:101)+100</f>
        <v>100</v>
      </c>
      <c r="I27" s="564" t="s">
        <v>3099</v>
      </c>
      <c r="J27" s="559">
        <f>SUMIF(100:100,I28,101:101)-SUMIF(100:100,C28,101:101)+100</f>
        <v>100</v>
      </c>
      <c r="K27" s="535">
        <v>1</v>
      </c>
      <c r="L27" s="2142"/>
      <c r="M27" s="2132"/>
      <c r="N27" s="2132"/>
      <c r="O27" s="2141"/>
      <c r="P27" s="3403"/>
      <c r="Q27" s="1571" t="str">
        <f t="shared" si="8"/>
        <v>自然及人文环境状况</v>
      </c>
      <c r="R27" s="1572" t="s">
        <v>8</v>
      </c>
      <c r="S27" s="1573">
        <f>F27</f>
        <v>100</v>
      </c>
      <c r="T27" s="1572" t="s">
        <v>8</v>
      </c>
      <c r="U27" s="1573">
        <f>H27</f>
        <v>100</v>
      </c>
      <c r="V27" s="1572" t="s">
        <v>8</v>
      </c>
      <c r="W27" s="1573">
        <f>J27</f>
        <v>100</v>
      </c>
      <c r="X27" s="1566"/>
      <c r="Y27" s="3403"/>
      <c r="Z27" s="1574" t="str">
        <f>Q27</f>
        <v>自然及人文环境状况</v>
      </c>
      <c r="AA27" s="1575">
        <f t="shared" si="3"/>
        <v>1</v>
      </c>
      <c r="AB27" s="1575">
        <f t="shared" si="4"/>
        <v>1</v>
      </c>
      <c r="AC27" s="1575">
        <f t="shared" si="5"/>
        <v>1</v>
      </c>
    </row>
    <row r="28" spans="1:29" ht="20">
      <c r="A28" s="515"/>
      <c r="B28" s="566"/>
      <c r="C28" s="554" t="s">
        <v>3091</v>
      </c>
      <c r="D28" s="557"/>
      <c r="E28" s="576" t="s">
        <v>3091</v>
      </c>
      <c r="F28" s="555"/>
      <c r="G28" s="576" t="s">
        <v>3091</v>
      </c>
      <c r="H28" s="555"/>
      <c r="I28" s="576" t="s">
        <v>3091</v>
      </c>
      <c r="J28" s="555"/>
      <c r="K28" s="531"/>
      <c r="L28" s="2142"/>
      <c r="M28" s="2132"/>
      <c r="N28" s="2132"/>
      <c r="O28" s="2141"/>
      <c r="P28" s="3403"/>
      <c r="Q28" s="1571"/>
      <c r="R28" s="1572"/>
      <c r="S28" s="1573"/>
      <c r="T28" s="1572"/>
      <c r="U28" s="1573"/>
      <c r="V28" s="1572"/>
      <c r="W28" s="1573"/>
      <c r="X28" s="1566"/>
      <c r="Y28" s="3403"/>
      <c r="Z28" s="1574"/>
      <c r="AA28" s="1575">
        <v>1</v>
      </c>
      <c r="AB28" s="1575">
        <v>1</v>
      </c>
      <c r="AC28" s="1575">
        <v>1</v>
      </c>
    </row>
    <row r="29" spans="1:29" s="1219" customFormat="1" ht="42">
      <c r="A29" s="577"/>
      <c r="B29" s="2591" t="s">
        <v>2507</v>
      </c>
      <c r="C29" s="573" t="str">
        <f>估价对象房地状况!C21</f>
        <v>估价对象所在区域公共配套设施齐备情况好</v>
      </c>
      <c r="D29" s="563">
        <v>100</v>
      </c>
      <c r="E29" s="3192" t="s">
        <v>3149</v>
      </c>
      <c r="F29" s="559">
        <f>SUMIF(102:102,E30,103:103)-SUMIF(102:102,C30,103:103)+100</f>
        <v>99</v>
      </c>
      <c r="G29" s="3192" t="s">
        <v>3149</v>
      </c>
      <c r="H29" s="559">
        <f>SUMIF(102:102,G30,103:103)-SUMIF(102:102,C30,103:103)+100</f>
        <v>99</v>
      </c>
      <c r="I29" s="3192" t="s">
        <v>3149</v>
      </c>
      <c r="J29" s="559">
        <f>SUMIF(102:102,I30,103:103)-SUMIF(102:102,C30,103:103)+100</f>
        <v>99</v>
      </c>
      <c r="K29" s="535">
        <v>1</v>
      </c>
      <c r="L29" s="2135"/>
      <c r="M29" s="2132"/>
      <c r="N29" s="2132"/>
      <c r="O29" s="2137"/>
      <c r="P29" s="3403"/>
      <c r="Q29" s="1150" t="str">
        <f t="shared" si="8"/>
        <v>公共配套设施</v>
      </c>
      <c r="R29" s="1567" t="s">
        <v>8</v>
      </c>
      <c r="S29" s="1568">
        <f>F29</f>
        <v>99</v>
      </c>
      <c r="T29" s="1567" t="s">
        <v>8</v>
      </c>
      <c r="U29" s="1568">
        <f>H29</f>
        <v>99</v>
      </c>
      <c r="V29" s="1567" t="s">
        <v>8</v>
      </c>
      <c r="W29" s="1568">
        <f>J29</f>
        <v>99</v>
      </c>
      <c r="X29" s="1569"/>
      <c r="Y29" s="3403"/>
      <c r="Z29" s="1149" t="str">
        <f>Q29</f>
        <v>公共配套设施</v>
      </c>
      <c r="AA29" s="1575">
        <f>D29/F29</f>
        <v>1.0101010101010102</v>
      </c>
      <c r="AB29" s="1575">
        <f>D29/H29</f>
        <v>1.0101010101010102</v>
      </c>
      <c r="AC29" s="1575">
        <f>D29/J29</f>
        <v>1.0101010101010102</v>
      </c>
    </row>
    <row r="30" spans="1:29" s="1219" customFormat="1" ht="20">
      <c r="A30" s="577"/>
      <c r="B30" s="566"/>
      <c r="C30" s="579" t="s">
        <v>3091</v>
      </c>
      <c r="D30" s="557"/>
      <c r="E30" s="576" t="s">
        <v>2935</v>
      </c>
      <c r="F30" s="555"/>
      <c r="G30" s="576" t="s">
        <v>2935</v>
      </c>
      <c r="H30" s="555"/>
      <c r="I30" s="576" t="s">
        <v>2935</v>
      </c>
      <c r="J30" s="555"/>
      <c r="K30" s="531"/>
      <c r="L30" s="2135"/>
      <c r="M30" s="2132"/>
      <c r="N30" s="2132"/>
      <c r="O30" s="2137"/>
      <c r="P30" s="3403"/>
      <c r="Q30" s="1150"/>
      <c r="R30" s="1567"/>
      <c r="S30" s="1568"/>
      <c r="T30" s="1567"/>
      <c r="U30" s="1568"/>
      <c r="V30" s="1567"/>
      <c r="W30" s="1568"/>
      <c r="X30" s="1569"/>
      <c r="Y30" s="3403"/>
      <c r="Z30" s="1149"/>
      <c r="AA30" s="1575">
        <v>1</v>
      </c>
      <c r="AB30" s="1575">
        <v>1</v>
      </c>
      <c r="AC30" s="1575">
        <v>1</v>
      </c>
    </row>
    <row r="31" spans="1:29" s="1219" customFormat="1" ht="42">
      <c r="A31" s="577"/>
      <c r="B31" s="2591" t="s">
        <v>2508</v>
      </c>
      <c r="C31" s="573" t="str">
        <f>估价对象房地状况!C22</f>
        <v>估价对象所在区域基础设施水平高</v>
      </c>
      <c r="D31" s="563">
        <v>100</v>
      </c>
      <c r="E31" s="564" t="s">
        <v>2991</v>
      </c>
      <c r="F31" s="559">
        <f>SUMIF(104:104,E32,105:105)-SUMIF(104:104,C32,105:105)+100</f>
        <v>100</v>
      </c>
      <c r="G31" s="564" t="s">
        <v>2991</v>
      </c>
      <c r="H31" s="559">
        <f>SUMIF(104:104,G32,105:105)-SUMIF(104:104,C32,105:105)+100</f>
        <v>100</v>
      </c>
      <c r="I31" s="564" t="s">
        <v>2991</v>
      </c>
      <c r="J31" s="559">
        <f>SUMIF(104:104,I32,105:105)-SUMIF(104:104,C32,105:105)+100</f>
        <v>100</v>
      </c>
      <c r="K31" s="535">
        <v>1</v>
      </c>
      <c r="L31" s="2135"/>
      <c r="M31" s="2132"/>
      <c r="N31" s="2132"/>
      <c r="O31" s="2137"/>
      <c r="P31" s="3403"/>
      <c r="Q31" s="2578" t="str">
        <f t="shared" ref="Q31" si="9">B31</f>
        <v>基础设施水平</v>
      </c>
      <c r="R31" s="1567" t="s">
        <v>8</v>
      </c>
      <c r="S31" s="1568">
        <f>F31</f>
        <v>100</v>
      </c>
      <c r="T31" s="1567" t="s">
        <v>8</v>
      </c>
      <c r="U31" s="1568">
        <f>H31</f>
        <v>100</v>
      </c>
      <c r="V31" s="1567" t="s">
        <v>8</v>
      </c>
      <c r="W31" s="1568">
        <f>J31</f>
        <v>100</v>
      </c>
      <c r="X31" s="1569"/>
      <c r="Y31" s="3403"/>
      <c r="Z31" s="2575" t="str">
        <f>Q31</f>
        <v>基础设施水平</v>
      </c>
      <c r="AA31" s="1575">
        <f>D31/F31</f>
        <v>1</v>
      </c>
      <c r="AB31" s="1575">
        <f>D31/H31</f>
        <v>1</v>
      </c>
      <c r="AC31" s="1575">
        <f>D31/J31</f>
        <v>1</v>
      </c>
    </row>
    <row r="32" spans="1:29" s="1219" customFormat="1" ht="20">
      <c r="A32" s="577"/>
      <c r="B32" s="566"/>
      <c r="C32" s="579" t="s">
        <v>2936</v>
      </c>
      <c r="D32" s="557"/>
      <c r="E32" s="2592" t="s">
        <v>2936</v>
      </c>
      <c r="F32" s="555"/>
      <c r="G32" s="2592" t="s">
        <v>2936</v>
      </c>
      <c r="H32" s="555"/>
      <c r="I32" s="2592" t="s">
        <v>2936</v>
      </c>
      <c r="J32" s="555"/>
      <c r="K32" s="531"/>
      <c r="L32" s="2135"/>
      <c r="M32" s="2132"/>
      <c r="N32" s="2132"/>
      <c r="O32" s="2137"/>
      <c r="P32" s="3403"/>
      <c r="Q32" s="2578"/>
      <c r="R32" s="1567"/>
      <c r="S32" s="1568"/>
      <c r="T32" s="1567"/>
      <c r="U32" s="1568"/>
      <c r="V32" s="1567"/>
      <c r="W32" s="1568"/>
      <c r="X32" s="1569"/>
      <c r="Y32" s="3403"/>
      <c r="Z32" s="2575"/>
      <c r="AA32" s="1575">
        <v>1</v>
      </c>
      <c r="AB32" s="1575">
        <v>1</v>
      </c>
      <c r="AC32" s="1575">
        <v>1</v>
      </c>
    </row>
    <row r="33" spans="1:29" ht="20">
      <c r="A33" s="532"/>
      <c r="B33" s="566" t="s">
        <v>512</v>
      </c>
      <c r="C33" s="580" t="s">
        <v>2996</v>
      </c>
      <c r="D33" s="575">
        <v>100</v>
      </c>
      <c r="E33" s="583" t="s">
        <v>2996</v>
      </c>
      <c r="F33" s="540">
        <f>SUMIF(106:106,E33,107:107)-SUMIF(106:106,C33,107:107)+100</f>
        <v>100</v>
      </c>
      <c r="G33" s="583" t="s">
        <v>2996</v>
      </c>
      <c r="H33" s="540">
        <f>SUMIF(106:106,G33,107:107)-SUMIF(106:106,C33,107:107)+100</f>
        <v>100</v>
      </c>
      <c r="I33" s="583" t="s">
        <v>2996</v>
      </c>
      <c r="J33" s="540">
        <f>SUMIF(106:106,I33,107:107)-SUMIF(106:106,C33,107:107)+100</f>
        <v>100</v>
      </c>
      <c r="K33" s="535">
        <v>1</v>
      </c>
      <c r="L33" s="2142"/>
      <c r="M33" s="2132"/>
      <c r="N33" s="2132"/>
      <c r="O33" s="2141"/>
      <c r="P33" s="340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3"/>
      <c r="Z33" s="1574" t="str">
        <f t="shared" ref="Z33:Z47" si="13">Q33</f>
        <v>临街状况</v>
      </c>
      <c r="AA33" s="1575">
        <f t="shared" si="3"/>
        <v>1</v>
      </c>
      <c r="AB33" s="1575">
        <f t="shared" si="4"/>
        <v>1</v>
      </c>
      <c r="AC33" s="1575">
        <f t="shared" si="5"/>
        <v>1</v>
      </c>
    </row>
    <row r="34" spans="1:29" ht="28.5">
      <c r="A34" s="532"/>
      <c r="B34" s="578" t="s">
        <v>513</v>
      </c>
      <c r="C34" s="3191" t="str">
        <f>估价对象房地状况!C10</f>
        <v>城市主干道-振华路</v>
      </c>
      <c r="D34" s="563">
        <v>100</v>
      </c>
      <c r="E34" s="564" t="s">
        <v>3095</v>
      </c>
      <c r="F34" s="559">
        <f>SUMIF(108:108,E35,109:109)-SUMIF(108:108,C35,109:109)+100</f>
        <v>102</v>
      </c>
      <c r="G34" s="564" t="s">
        <v>3095</v>
      </c>
      <c r="H34" s="559">
        <f>SUMIF(108:108,G35,109:109)-SUMIF(108:108,C35,109:109)+100</f>
        <v>102</v>
      </c>
      <c r="I34" s="564" t="s">
        <v>3096</v>
      </c>
      <c r="J34" s="559">
        <f>SUMIF(108:108,I35,109:109)-SUMIF(108:108,C35,109:109)+100</f>
        <v>102</v>
      </c>
      <c r="K34" s="535">
        <v>1</v>
      </c>
      <c r="L34" s="2142"/>
      <c r="M34" s="2132"/>
      <c r="N34" s="2132"/>
      <c r="O34" s="2141"/>
      <c r="P34" s="3403"/>
      <c r="Q34" s="1571" t="str">
        <f t="shared" si="8"/>
        <v>毗邻道路的类型与等级</v>
      </c>
      <c r="R34" s="1572" t="s">
        <v>8</v>
      </c>
      <c r="S34" s="1573">
        <f t="shared" si="10"/>
        <v>102</v>
      </c>
      <c r="T34" s="1572" t="s">
        <v>8</v>
      </c>
      <c r="U34" s="1573">
        <f t="shared" si="11"/>
        <v>102</v>
      </c>
      <c r="V34" s="1572" t="s">
        <v>8</v>
      </c>
      <c r="W34" s="1573">
        <f t="shared" si="12"/>
        <v>102</v>
      </c>
      <c r="X34" s="1566"/>
      <c r="Y34" s="3403"/>
      <c r="Z34" s="1574" t="str">
        <f t="shared" si="13"/>
        <v>毗邻道路的类型与等级</v>
      </c>
      <c r="AA34" s="1575">
        <f t="shared" si="3"/>
        <v>0.98039215686274506</v>
      </c>
      <c r="AB34" s="1575">
        <f t="shared" si="4"/>
        <v>0.98039215686274506</v>
      </c>
      <c r="AC34" s="1575">
        <f t="shared" si="5"/>
        <v>0.98039215686274506</v>
      </c>
    </row>
    <row r="35" spans="1:29" ht="20">
      <c r="A35" s="532"/>
      <c r="B35" s="566"/>
      <c r="C35" s="554" t="s">
        <v>3078</v>
      </c>
      <c r="D35" s="557"/>
      <c r="E35" s="576" t="s">
        <v>3092</v>
      </c>
      <c r="F35" s="555"/>
      <c r="G35" s="576" t="s">
        <v>3092</v>
      </c>
      <c r="H35" s="555"/>
      <c r="I35" s="576" t="s">
        <v>3092</v>
      </c>
      <c r="J35" s="555"/>
      <c r="K35" s="581"/>
      <c r="L35" s="2142"/>
      <c r="M35" s="2132"/>
      <c r="N35" s="2132"/>
      <c r="O35" s="2141"/>
      <c r="P35" s="3403"/>
      <c r="Q35" s="1571"/>
      <c r="R35" s="1572"/>
      <c r="S35" s="1573"/>
      <c r="T35" s="1572"/>
      <c r="U35" s="1573"/>
      <c r="V35" s="1572"/>
      <c r="W35" s="1573"/>
      <c r="X35" s="1566"/>
      <c r="Y35" s="3403"/>
      <c r="Z35" s="1574"/>
      <c r="AA35" s="1575">
        <v>1</v>
      </c>
      <c r="AB35" s="1575">
        <v>1</v>
      </c>
      <c r="AC35" s="1575">
        <v>1</v>
      </c>
    </row>
    <row r="36" spans="1:29" ht="20">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403"/>
      <c r="Q36" s="1571" t="str">
        <f t="shared" si="8"/>
        <v>土地级别</v>
      </c>
      <c r="R36" s="1572" t="s">
        <v>8</v>
      </c>
      <c r="S36" s="1573">
        <f t="shared" si="10"/>
        <v>100</v>
      </c>
      <c r="T36" s="1572" t="s">
        <v>8</v>
      </c>
      <c r="U36" s="1573">
        <f t="shared" si="11"/>
        <v>100</v>
      </c>
      <c r="V36" s="1572" t="s">
        <v>8</v>
      </c>
      <c r="W36" s="1573">
        <f t="shared" si="12"/>
        <v>100</v>
      </c>
      <c r="X36" s="1566"/>
      <c r="Y36" s="3403"/>
      <c r="Z36" s="1574" t="str">
        <f t="shared" si="13"/>
        <v>土地级别</v>
      </c>
      <c r="AA36" s="1575">
        <f t="shared" si="3"/>
        <v>1</v>
      </c>
      <c r="AB36" s="1575">
        <f t="shared" si="4"/>
        <v>1</v>
      </c>
      <c r="AC36" s="1575">
        <f t="shared" si="5"/>
        <v>1</v>
      </c>
    </row>
    <row r="37" spans="1:29" ht="20">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3"/>
      <c r="Q37" s="1571">
        <f t="shared" si="8"/>
        <v>0</v>
      </c>
      <c r="R37" s="1572" t="s">
        <v>8</v>
      </c>
      <c r="S37" s="1573">
        <f t="shared" si="10"/>
        <v>100</v>
      </c>
      <c r="T37" s="1572" t="s">
        <v>8</v>
      </c>
      <c r="U37" s="1573">
        <f t="shared" si="11"/>
        <v>100</v>
      </c>
      <c r="V37" s="1572" t="s">
        <v>8</v>
      </c>
      <c r="W37" s="1573">
        <f t="shared" si="12"/>
        <v>100</v>
      </c>
      <c r="X37" s="1566"/>
      <c r="Y37" s="3403"/>
      <c r="Z37" s="1574">
        <f t="shared" si="13"/>
        <v>0</v>
      </c>
      <c r="AA37" s="1575">
        <f t="shared" si="3"/>
        <v>1</v>
      </c>
      <c r="AB37" s="1575">
        <f t="shared" si="4"/>
        <v>1</v>
      </c>
      <c r="AC37" s="1575">
        <f t="shared" si="5"/>
        <v>1</v>
      </c>
    </row>
    <row r="38" spans="1:29" ht="20">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4" t="s">
        <v>515</v>
      </c>
      <c r="Q38" s="1571">
        <f t="shared" si="8"/>
        <v>0</v>
      </c>
      <c r="R38" s="1572" t="s">
        <v>8</v>
      </c>
      <c r="S38" s="1573">
        <f t="shared" si="10"/>
        <v>100</v>
      </c>
      <c r="T38" s="1572" t="s">
        <v>8</v>
      </c>
      <c r="U38" s="1573">
        <f t="shared" si="11"/>
        <v>100</v>
      </c>
      <c r="V38" s="1572" t="s">
        <v>8</v>
      </c>
      <c r="W38" s="1573">
        <f t="shared" si="12"/>
        <v>100</v>
      </c>
      <c r="X38" s="1566"/>
      <c r="Y38" s="3405" t="s">
        <v>515</v>
      </c>
      <c r="Z38" s="1574">
        <f t="shared" si="13"/>
        <v>0</v>
      </c>
      <c r="AA38" s="1575">
        <f t="shared" si="3"/>
        <v>1</v>
      </c>
      <c r="AB38" s="1575">
        <f t="shared" si="4"/>
        <v>1</v>
      </c>
      <c r="AC38" s="1575">
        <f t="shared" si="5"/>
        <v>1</v>
      </c>
    </row>
    <row r="39" spans="1:29" s="1338" customFormat="1" ht="20.5"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5"/>
      <c r="Q39" s="1571">
        <f t="shared" si="8"/>
        <v>0</v>
      </c>
      <c r="R39" s="1576" t="s">
        <v>8</v>
      </c>
      <c r="S39" s="1577">
        <f t="shared" si="10"/>
        <v>100</v>
      </c>
      <c r="T39" s="1576" t="s">
        <v>8</v>
      </c>
      <c r="U39" s="1577">
        <f t="shared" si="11"/>
        <v>100</v>
      </c>
      <c r="V39" s="1576" t="s">
        <v>8</v>
      </c>
      <c r="W39" s="1577">
        <f t="shared" si="12"/>
        <v>100</v>
      </c>
      <c r="X39" s="1578"/>
      <c r="Y39" s="3405"/>
      <c r="Z39" s="1579">
        <f t="shared" si="13"/>
        <v>0</v>
      </c>
      <c r="AA39" s="1575">
        <f t="shared" si="3"/>
        <v>1</v>
      </c>
      <c r="AB39" s="1575">
        <f t="shared" si="4"/>
        <v>1</v>
      </c>
      <c r="AC39" s="1575">
        <f t="shared" si="5"/>
        <v>1</v>
      </c>
    </row>
    <row r="40" spans="1:29" ht="20">
      <c r="A40" s="2907" t="s">
        <v>2714</v>
      </c>
      <c r="B40" s="595" t="s">
        <v>517</v>
      </c>
      <c r="C40" s="596">
        <f>'数据-基础表'!A3</f>
        <v>10423.25</v>
      </c>
      <c r="D40" s="597">
        <v>100</v>
      </c>
      <c r="E40" s="596">
        <f>土地案例!G7</f>
        <v>15487.41</v>
      </c>
      <c r="F40" s="597">
        <f>LOOKUP(E40,119:119,120:120)-LOOKUP(C40,119:119,120:120)+100</f>
        <v>100</v>
      </c>
      <c r="G40" s="596">
        <f>土地案例!G8</f>
        <v>7353.48</v>
      </c>
      <c r="H40" s="597">
        <f>LOOKUP(G40,119:119,120:120)-LOOKUP(C40,119:119,120:120)+100</f>
        <v>99</v>
      </c>
      <c r="I40" s="598">
        <f>土地案例!G13</f>
        <v>6616.94</v>
      </c>
      <c r="J40" s="597">
        <f>LOOKUP(I40,119:119,120:120)-LOOKUP(C40,119:119,120:120)+100</f>
        <v>99</v>
      </c>
      <c r="K40" s="581"/>
      <c r="L40" s="2142"/>
      <c r="M40" s="2132"/>
      <c r="N40" s="2132"/>
      <c r="O40" s="2141"/>
      <c r="P40" s="3405"/>
      <c r="Q40" s="1571" t="str">
        <f>B40</f>
        <v>宗地面积</v>
      </c>
      <c r="R40" s="1572" t="s">
        <v>8</v>
      </c>
      <c r="S40" s="1573">
        <f t="shared" si="10"/>
        <v>100</v>
      </c>
      <c r="T40" s="1572" t="s">
        <v>8</v>
      </c>
      <c r="U40" s="1573">
        <f t="shared" si="11"/>
        <v>99</v>
      </c>
      <c r="V40" s="1572" t="s">
        <v>8</v>
      </c>
      <c r="W40" s="1573">
        <f t="shared" si="12"/>
        <v>99</v>
      </c>
      <c r="X40" s="1566"/>
      <c r="Y40" s="3405"/>
      <c r="Z40" s="1574" t="str">
        <f t="shared" si="13"/>
        <v>宗地面积</v>
      </c>
      <c r="AA40" s="1575">
        <f t="shared" si="3"/>
        <v>1</v>
      </c>
      <c r="AB40" s="1575">
        <f t="shared" si="4"/>
        <v>1.0101010101010102</v>
      </c>
      <c r="AC40" s="1575">
        <f t="shared" si="5"/>
        <v>1.0101010101010102</v>
      </c>
    </row>
    <row r="41" spans="1:29" ht="20">
      <c r="A41" s="594"/>
      <c r="B41" s="527" t="s">
        <v>518</v>
      </c>
      <c r="C41" s="599" t="s">
        <v>3083</v>
      </c>
      <c r="D41" s="540">
        <v>100</v>
      </c>
      <c r="E41" s="599" t="s">
        <v>3083</v>
      </c>
      <c r="F41" s="540">
        <f>SUMIF(121:121,E41,122:122)-SUMIF(121:121,C41,122:122)+100</f>
        <v>100</v>
      </c>
      <c r="G41" s="599" t="s">
        <v>3083</v>
      </c>
      <c r="H41" s="540">
        <f>SUMIF(121:121,G41,122:122)-SUMIF(121:121,C41,122:122)+100</f>
        <v>100</v>
      </c>
      <c r="I41" s="599" t="s">
        <v>3083</v>
      </c>
      <c r="J41" s="540">
        <f>SUMIF(121:121,I41,122:122)-SUMIF(121:121,C41,122:122)+100</f>
        <v>100</v>
      </c>
      <c r="K41" s="584">
        <v>1</v>
      </c>
      <c r="L41" s="2142"/>
      <c r="M41" s="2132"/>
      <c r="N41" s="2132"/>
      <c r="O41" s="2141"/>
      <c r="P41" s="3405"/>
      <c r="Q41" s="1571" t="str">
        <f t="shared" ref="Q41:Q47" si="14">B41</f>
        <v>宗地形状</v>
      </c>
      <c r="R41" s="1572" t="s">
        <v>8</v>
      </c>
      <c r="S41" s="1573">
        <f t="shared" si="10"/>
        <v>100</v>
      </c>
      <c r="T41" s="1572" t="s">
        <v>8</v>
      </c>
      <c r="U41" s="1573">
        <f t="shared" si="11"/>
        <v>100</v>
      </c>
      <c r="V41" s="1572" t="s">
        <v>8</v>
      </c>
      <c r="W41" s="1573">
        <f t="shared" si="12"/>
        <v>100</v>
      </c>
      <c r="X41" s="1566"/>
      <c r="Y41" s="3405"/>
      <c r="Z41" s="1574" t="str">
        <f t="shared" si="13"/>
        <v>宗地形状</v>
      </c>
      <c r="AA41" s="1575">
        <f t="shared" si="3"/>
        <v>1</v>
      </c>
      <c r="AB41" s="1575">
        <f t="shared" si="4"/>
        <v>1</v>
      </c>
      <c r="AC41" s="1575">
        <f t="shared" si="5"/>
        <v>1</v>
      </c>
    </row>
    <row r="42" spans="1:29" ht="20">
      <c r="A42" s="594"/>
      <c r="B42" s="527" t="s">
        <v>519</v>
      </c>
      <c r="C42" s="599" t="s">
        <v>2935</v>
      </c>
      <c r="D42" s="540">
        <v>100</v>
      </c>
      <c r="E42" s="599" t="s">
        <v>2935</v>
      </c>
      <c r="F42" s="540">
        <f>SUMIF(123:123,E42,124:124)-SUMIF(123:123,C42,124:124)+100</f>
        <v>100</v>
      </c>
      <c r="G42" s="599" t="s">
        <v>2935</v>
      </c>
      <c r="H42" s="540">
        <f>SUMIF(123:123,G42,124:124)-SUMIF(123:123,C42,124:124)+100</f>
        <v>100</v>
      </c>
      <c r="I42" s="599" t="s">
        <v>2935</v>
      </c>
      <c r="J42" s="540">
        <f>SUMIF(123:123,I42,124:124)-SUMIF(123:123,C42,124:124)+100</f>
        <v>100</v>
      </c>
      <c r="K42" s="584">
        <v>1</v>
      </c>
      <c r="L42" s="2142"/>
      <c r="M42" s="2132"/>
      <c r="N42" s="2132"/>
      <c r="O42" s="2141"/>
      <c r="P42" s="3405"/>
      <c r="Q42" s="1571" t="str">
        <f t="shared" si="14"/>
        <v>临街宽度及深度</v>
      </c>
      <c r="R42" s="1572" t="s">
        <v>8</v>
      </c>
      <c r="S42" s="1573">
        <f t="shared" si="10"/>
        <v>100</v>
      </c>
      <c r="T42" s="1572" t="s">
        <v>8</v>
      </c>
      <c r="U42" s="1573">
        <f t="shared" si="11"/>
        <v>100</v>
      </c>
      <c r="V42" s="1572" t="s">
        <v>8</v>
      </c>
      <c r="W42" s="1573">
        <f t="shared" si="12"/>
        <v>100</v>
      </c>
      <c r="X42" s="1566"/>
      <c r="Y42" s="3405"/>
      <c r="Z42" s="1574" t="str">
        <f t="shared" si="13"/>
        <v>临街宽度及深度</v>
      </c>
      <c r="AA42" s="1575">
        <f t="shared" si="3"/>
        <v>1</v>
      </c>
      <c r="AB42" s="1575">
        <f t="shared" si="4"/>
        <v>1</v>
      </c>
      <c r="AC42" s="1575">
        <f t="shared" si="5"/>
        <v>1</v>
      </c>
    </row>
    <row r="43" spans="1:29" s="1219" customFormat="1" ht="20">
      <c r="A43" s="600"/>
      <c r="B43" s="1895" t="s">
        <v>2385</v>
      </c>
      <c r="C43" s="601" t="s">
        <v>3089</v>
      </c>
      <c r="D43" s="255">
        <v>100</v>
      </c>
      <c r="E43" s="601" t="s">
        <v>3089</v>
      </c>
      <c r="F43" s="540">
        <f>SUMIF(125:125,E43,126:126)-SUMIF(125:125,C43,126:126)+100</f>
        <v>100</v>
      </c>
      <c r="G43" s="601" t="s">
        <v>3089</v>
      </c>
      <c r="H43" s="540">
        <f>SUMIF(125:125,G43,126:126)-SUMIF(125:125,C43,126:126)+100</f>
        <v>100</v>
      </c>
      <c r="I43" s="601" t="s">
        <v>3089</v>
      </c>
      <c r="J43" s="540">
        <f>SUMIF(125:125,I43,126:126)-SUMIF(125:125,C43,126:126)+100</f>
        <v>100</v>
      </c>
      <c r="K43" s="584">
        <v>1</v>
      </c>
      <c r="L43" s="2135"/>
      <c r="M43" s="2132"/>
      <c r="N43" s="2132"/>
      <c r="O43" s="2137"/>
      <c r="P43" s="3405"/>
      <c r="Q43" s="1571" t="str">
        <f t="shared" si="14"/>
        <v>宗地开发程度</v>
      </c>
      <c r="R43" s="1567" t="s">
        <v>8</v>
      </c>
      <c r="S43" s="1568">
        <f t="shared" si="10"/>
        <v>100</v>
      </c>
      <c r="T43" s="1567" t="s">
        <v>8</v>
      </c>
      <c r="U43" s="1568">
        <f t="shared" si="11"/>
        <v>100</v>
      </c>
      <c r="V43" s="1567" t="s">
        <v>8</v>
      </c>
      <c r="W43" s="1568">
        <f t="shared" si="12"/>
        <v>100</v>
      </c>
      <c r="X43" s="1569"/>
      <c r="Y43" s="3405"/>
      <c r="Z43" s="1149" t="str">
        <f t="shared" si="13"/>
        <v>宗地开发程度</v>
      </c>
      <c r="AA43" s="1570">
        <f t="shared" si="3"/>
        <v>1</v>
      </c>
      <c r="AB43" s="1570">
        <f t="shared" si="4"/>
        <v>1</v>
      </c>
      <c r="AC43" s="1570">
        <f t="shared" si="5"/>
        <v>1</v>
      </c>
    </row>
    <row r="44" spans="1:29" ht="20">
      <c r="A44" s="594"/>
      <c r="B44" s="527" t="s">
        <v>520</v>
      </c>
      <c r="C44" s="599" t="s">
        <v>2935</v>
      </c>
      <c r="D44" s="540">
        <v>100</v>
      </c>
      <c r="E44" s="599" t="s">
        <v>2935</v>
      </c>
      <c r="F44" s="540">
        <f>SUMIF(127:127,E44,128:128)-SUMIF(127:127,C44,128:128)+100</f>
        <v>100</v>
      </c>
      <c r="G44" s="599" t="s">
        <v>2935</v>
      </c>
      <c r="H44" s="540">
        <f>SUMIF(127:127,G44,128:128)-SUMIF(127:127,C44,128:128)+100</f>
        <v>100</v>
      </c>
      <c r="I44" s="599" t="s">
        <v>2935</v>
      </c>
      <c r="J44" s="540">
        <f>SUMIF(127:127,I44,128:128)-SUMIF(127:127,C44,128:128)+100</f>
        <v>100</v>
      </c>
      <c r="K44" s="584">
        <v>1</v>
      </c>
      <c r="L44" s="2142"/>
      <c r="M44" s="2132"/>
      <c r="N44" s="2132"/>
      <c r="O44" s="2141"/>
      <c r="P44" s="3405" t="s">
        <v>515</v>
      </c>
      <c r="Q44" s="1571" t="str">
        <f t="shared" si="14"/>
        <v>工程地质条件</v>
      </c>
      <c r="R44" s="1572" t="s">
        <v>8</v>
      </c>
      <c r="S44" s="1573">
        <f t="shared" si="10"/>
        <v>100</v>
      </c>
      <c r="T44" s="1572" t="s">
        <v>8</v>
      </c>
      <c r="U44" s="1573">
        <f t="shared" si="11"/>
        <v>100</v>
      </c>
      <c r="V44" s="1572" t="s">
        <v>8</v>
      </c>
      <c r="W44" s="1573">
        <f t="shared" si="12"/>
        <v>100</v>
      </c>
      <c r="X44" s="1566"/>
      <c r="Y44" s="3405" t="s">
        <v>515</v>
      </c>
      <c r="Z44" s="1574" t="str">
        <f t="shared" si="13"/>
        <v>工程地质条件</v>
      </c>
      <c r="AA44" s="1575">
        <f t="shared" si="3"/>
        <v>1</v>
      </c>
      <c r="AB44" s="1575">
        <f t="shared" si="4"/>
        <v>1</v>
      </c>
      <c r="AC44" s="1575">
        <f t="shared" si="5"/>
        <v>1</v>
      </c>
    </row>
    <row r="45" spans="1:29" ht="20">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5"/>
      <c r="Q45" s="1571">
        <f t="shared" si="14"/>
        <v>0</v>
      </c>
      <c r="R45" s="1572" t="s">
        <v>8</v>
      </c>
      <c r="S45" s="1573">
        <f t="shared" si="10"/>
        <v>100</v>
      </c>
      <c r="T45" s="1572" t="s">
        <v>8</v>
      </c>
      <c r="U45" s="1573">
        <f t="shared" si="11"/>
        <v>100</v>
      </c>
      <c r="V45" s="1572" t="s">
        <v>8</v>
      </c>
      <c r="W45" s="1573">
        <f t="shared" si="12"/>
        <v>100</v>
      </c>
      <c r="X45" s="1566"/>
      <c r="Y45" s="3405"/>
      <c r="Z45" s="1574">
        <f t="shared" si="13"/>
        <v>0</v>
      </c>
      <c r="AA45" s="1575">
        <f t="shared" si="3"/>
        <v>1</v>
      </c>
      <c r="AB45" s="1575">
        <f t="shared" si="4"/>
        <v>1</v>
      </c>
      <c r="AC45" s="1575">
        <f t="shared" si="5"/>
        <v>1</v>
      </c>
    </row>
    <row r="46" spans="1:29" ht="20">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5"/>
      <c r="Q46" s="1571">
        <f t="shared" si="14"/>
        <v>0</v>
      </c>
      <c r="R46" s="1572" t="s">
        <v>8</v>
      </c>
      <c r="S46" s="1573">
        <f t="shared" si="10"/>
        <v>100</v>
      </c>
      <c r="T46" s="1572" t="s">
        <v>8</v>
      </c>
      <c r="U46" s="1573">
        <f t="shared" si="11"/>
        <v>100</v>
      </c>
      <c r="V46" s="1572" t="s">
        <v>8</v>
      </c>
      <c r="W46" s="1573">
        <f t="shared" si="12"/>
        <v>100</v>
      </c>
      <c r="X46" s="1566"/>
      <c r="Y46" s="3405"/>
      <c r="Z46" s="1574">
        <f t="shared" si="13"/>
        <v>0</v>
      </c>
      <c r="AA46" s="1575">
        <f t="shared" si="3"/>
        <v>1</v>
      </c>
      <c r="AB46" s="1575">
        <f t="shared" si="4"/>
        <v>1</v>
      </c>
      <c r="AC46" s="1575">
        <f t="shared" si="5"/>
        <v>1</v>
      </c>
    </row>
    <row r="47" spans="1:29" s="1338" customFormat="1" ht="20.5"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5"/>
      <c r="Q47" s="1571">
        <f t="shared" si="14"/>
        <v>0</v>
      </c>
      <c r="R47" s="1576" t="s">
        <v>8</v>
      </c>
      <c r="S47" s="1577">
        <f t="shared" si="10"/>
        <v>100</v>
      </c>
      <c r="T47" s="1576" t="s">
        <v>8</v>
      </c>
      <c r="U47" s="1577">
        <f t="shared" si="11"/>
        <v>100</v>
      </c>
      <c r="V47" s="1576" t="s">
        <v>8</v>
      </c>
      <c r="W47" s="1577">
        <f t="shared" si="12"/>
        <v>100</v>
      </c>
      <c r="X47" s="1578"/>
      <c r="Y47" s="3405"/>
      <c r="Z47" s="1579">
        <f t="shared" si="13"/>
        <v>0</v>
      </c>
      <c r="AA47" s="1575">
        <f t="shared" si="3"/>
        <v>1</v>
      </c>
      <c r="AB47" s="1575">
        <f t="shared" si="4"/>
        <v>1</v>
      </c>
      <c r="AC47" s="1575">
        <f t="shared" si="5"/>
        <v>1</v>
      </c>
    </row>
    <row r="48" spans="1:29" ht="20">
      <c r="A48" s="607" t="s">
        <v>521</v>
      </c>
      <c r="B48" s="608" t="s">
        <v>2934</v>
      </c>
      <c r="C48" s="609" t="s">
        <v>1</v>
      </c>
      <c r="D48" s="610"/>
      <c r="E48" s="611">
        <f>ROUND(土地案例!M7,0)</f>
        <v>30569</v>
      </c>
      <c r="F48" s="612"/>
      <c r="G48" s="613">
        <f>ROUND(土地案例!M8,0)</f>
        <v>25208</v>
      </c>
      <c r="H48" s="614"/>
      <c r="I48" s="611">
        <f>ROUND(土地案例!M13,0)</f>
        <v>25687</v>
      </c>
      <c r="J48" s="614"/>
      <c r="K48" s="1339"/>
      <c r="L48" s="2144"/>
      <c r="M48" s="2132"/>
      <c r="N48" s="2132"/>
      <c r="O48" s="2145"/>
      <c r="P48" s="3400" t="str">
        <f>A48</f>
        <v>成交单价</v>
      </c>
      <c r="Q48" s="3400"/>
      <c r="R48" s="3414">
        <f>E48</f>
        <v>30569</v>
      </c>
      <c r="S48" s="3414"/>
      <c r="T48" s="3414">
        <f>G48</f>
        <v>25208</v>
      </c>
      <c r="U48" s="3414"/>
      <c r="V48" s="3414">
        <f>I48</f>
        <v>25687</v>
      </c>
      <c r="W48" s="3414"/>
      <c r="X48" s="1558"/>
      <c r="Y48" s="1580"/>
      <c r="Z48" s="1558"/>
      <c r="AA48" s="1558"/>
      <c r="AB48" s="1558"/>
      <c r="AC48" s="1558"/>
    </row>
    <row r="49" spans="1:29" ht="20.5" thickBot="1">
      <c r="A49" s="615" t="s">
        <v>2652</v>
      </c>
      <c r="B49" s="616"/>
      <c r="C49" s="617">
        <f>R50</f>
        <v>27618</v>
      </c>
      <c r="D49" s="618"/>
      <c r="E49" s="617">
        <f>R49</f>
        <v>29764</v>
      </c>
      <c r="F49" s="619"/>
      <c r="G49" s="620">
        <f>T49</f>
        <v>25765</v>
      </c>
      <c r="H49" s="618"/>
      <c r="I49" s="617">
        <f>V49</f>
        <v>27326</v>
      </c>
      <c r="J49" s="618"/>
      <c r="K49" s="1340"/>
      <c r="L49" s="2144"/>
      <c r="M49" s="2132"/>
      <c r="N49" s="2132"/>
      <c r="O49" s="2145"/>
      <c r="P49" s="3400" t="str">
        <f>A49</f>
        <v>比较价格（元/平方米）</v>
      </c>
      <c r="Q49" s="3400"/>
      <c r="R49" s="3426">
        <f>ROUND(PRODUCT(R48,AA9:AA47),0)</f>
        <v>29764</v>
      </c>
      <c r="S49" s="3426"/>
      <c r="T49" s="3426">
        <f>ROUND(PRODUCT(T48,AB9:AB47),0)</f>
        <v>25765</v>
      </c>
      <c r="U49" s="3426"/>
      <c r="V49" s="3426">
        <f>ROUND(PRODUCT(V48,AC9:AC47),0)</f>
        <v>27326</v>
      </c>
      <c r="W49" s="3426"/>
      <c r="X49" s="1558"/>
      <c r="Y49" s="1558"/>
      <c r="Z49" s="1558"/>
      <c r="AA49" s="1558"/>
      <c r="AB49" s="1558"/>
      <c r="AC49" s="1558"/>
    </row>
    <row r="50" spans="1:29" ht="20.5" thickBot="1">
      <c r="A50" s="621" t="s">
        <v>3250</v>
      </c>
      <c r="B50" s="622"/>
      <c r="C50" s="623">
        <f>R50</f>
        <v>27618</v>
      </c>
      <c r="D50" s="623"/>
      <c r="E50" s="623"/>
      <c r="F50" s="623"/>
      <c r="G50" s="623"/>
      <c r="H50" s="623"/>
      <c r="I50" s="623"/>
      <c r="J50" s="623"/>
      <c r="K50" s="1341"/>
      <c r="L50" s="2144"/>
      <c r="M50" s="2132"/>
      <c r="N50" s="2132"/>
      <c r="O50" s="2145"/>
      <c r="P50" s="3423" t="str">
        <f>A50</f>
        <v>估价对象商业用房的比较价格（楼面单价，元/平方米）</v>
      </c>
      <c r="Q50" s="3424"/>
      <c r="R50" s="3425">
        <f>ROUND(AVERAGE(R49:V49),0)</f>
        <v>27618</v>
      </c>
      <c r="S50" s="3425"/>
      <c r="T50" s="3425"/>
      <c r="U50" s="3425"/>
      <c r="V50" s="3425"/>
      <c r="W50" s="3425"/>
      <c r="X50" s="1558"/>
      <c r="Y50" s="1558"/>
      <c r="Z50" s="1558"/>
      <c r="AA50" s="1558"/>
      <c r="AB50" s="1558"/>
      <c r="AC50" s="1558"/>
    </row>
    <row r="51" spans="1:29" ht="20">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2.7046095954844862E-2</v>
      </c>
      <c r="F53" s="627" t="str">
        <f>IF(OR(E53&gt;=0.3,E53&lt;=-0.3),"超过30%","")</f>
        <v/>
      </c>
      <c r="G53" s="626">
        <f>IF(G48&lt;G49,G49/G48-1,G48/G49-1)</f>
        <v>2.2096159949222427E-2</v>
      </c>
      <c r="H53" s="627" t="str">
        <f>IF(OR(G53&gt;=0.3,G53&lt;=-0.3),"超过30%","")</f>
        <v/>
      </c>
      <c r="I53" s="626">
        <f>IF(I48&lt;I49,I49/I48-1,I48/I49-1)</f>
        <v>6.3806594775567493E-2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0.15521055695711228</v>
      </c>
      <c r="F54" s="627" t="str">
        <f>IF(OR(E54&gt;=0.2,E54&lt;=-0.2),"超过20%","")</f>
        <v/>
      </c>
      <c r="G54" s="626">
        <f>IF(G49&lt;I49,I49/G49-1,G49/I49-1)</f>
        <v>6.0586066369105351E-2</v>
      </c>
      <c r="H54" s="627" t="str">
        <f>IF(OR(G54&gt;=0.2,G54&lt;=-0.2),"超过20%","")</f>
        <v/>
      </c>
      <c r="I54" s="626">
        <f>IF(I49&lt;E49,E49/I49-1,I49/E49-1)</f>
        <v>8.9219058771865534E-2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0.21267058076801026</v>
      </c>
      <c r="F55" s="627" t="str">
        <f>IF(OR(E55&gt;=0.3,E55&lt;=-0.3),"超过30%","")</f>
        <v/>
      </c>
      <c r="G55" s="626">
        <f>IF(G48&lt;I48,I48/G48-1,G48/I48-1)</f>
        <v>1.9001904157410321E-2</v>
      </c>
      <c r="H55" s="627" t="str">
        <f>IF(OR(G55&gt;=0.3,G55&lt;=-0.3),"超过30%","")</f>
        <v/>
      </c>
      <c r="I55" s="626">
        <f>IF(I48&lt;E48,E48/I48-1,I48/E48-1)</f>
        <v>0.1900572273912875</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0.5"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384" t="s">
        <v>2243</v>
      </c>
      <c r="H57" s="3385"/>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3">
      <c r="A58" s="633" t="s">
        <v>529</v>
      </c>
      <c r="B58" s="634">
        <f>C50</f>
        <v>27618</v>
      </c>
      <c r="C58" s="635">
        <v>1</v>
      </c>
      <c r="D58" s="2228">
        <v>1</v>
      </c>
      <c r="E58" s="635">
        <f>'数据-汇总表'!E8+'数据-汇总表'!E9</f>
        <v>75630</v>
      </c>
      <c r="F58" s="636">
        <f t="shared" ref="F58:F67" si="15">ROUND(B58*E58/10000,0)</f>
        <v>208875</v>
      </c>
      <c r="G58" s="3386"/>
      <c r="H58" s="338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
      <c r="A59" s="637" t="s">
        <v>530</v>
      </c>
      <c r="B59" s="638">
        <f>ROUND($C$50*C59*D59,0)</f>
        <v>0</v>
      </c>
      <c r="C59" s="378">
        <f t="shared" ref="C59:C67" si="16">IF($C$57="北京市系数",I59,J59)</f>
        <v>0</v>
      </c>
      <c r="D59" s="2229">
        <v>0.25</v>
      </c>
      <c r="E59" s="639">
        <v>0</v>
      </c>
      <c r="F59" s="636">
        <f t="shared" si="15"/>
        <v>0</v>
      </c>
      <c r="G59" s="3388"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
      <c r="A60" s="637" t="s">
        <v>531</v>
      </c>
      <c r="B60" s="638">
        <f t="shared" ref="B60:B67" si="17">ROUND($C$50*C60*D60,0)</f>
        <v>0</v>
      </c>
      <c r="C60" s="378">
        <f t="shared" si="16"/>
        <v>0</v>
      </c>
      <c r="D60" s="2229">
        <v>0.25</v>
      </c>
      <c r="E60" s="639">
        <v>0</v>
      </c>
      <c r="F60" s="636">
        <f t="shared" si="15"/>
        <v>0</v>
      </c>
      <c r="G60" s="338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
      <c r="A61" s="637" t="s">
        <v>532</v>
      </c>
      <c r="B61" s="638">
        <f t="shared" si="17"/>
        <v>0</v>
      </c>
      <c r="C61" s="378">
        <f t="shared" si="16"/>
        <v>0</v>
      </c>
      <c r="D61" s="2229">
        <v>0.25</v>
      </c>
      <c r="E61" s="639">
        <v>0</v>
      </c>
      <c r="F61" s="636">
        <f t="shared" si="15"/>
        <v>0</v>
      </c>
      <c r="G61" s="338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
      <c r="A62" s="637" t="s">
        <v>533</v>
      </c>
      <c r="B62" s="638">
        <f t="shared" si="17"/>
        <v>0</v>
      </c>
      <c r="C62" s="378">
        <f t="shared" si="16"/>
        <v>0</v>
      </c>
      <c r="D62" s="2229">
        <v>0.25</v>
      </c>
      <c r="E62" s="639">
        <v>0</v>
      </c>
      <c r="F62" s="636">
        <f t="shared" si="15"/>
        <v>0</v>
      </c>
      <c r="G62" s="338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3">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3">
      <c r="A65" s="637" t="s">
        <v>535</v>
      </c>
      <c r="B65" s="638">
        <f t="shared" si="17"/>
        <v>0</v>
      </c>
      <c r="C65" s="378">
        <f t="shared" si="16"/>
        <v>0</v>
      </c>
      <c r="D65" s="2229">
        <v>0.25</v>
      </c>
      <c r="E65" s="641">
        <f>'数据-汇总表'!E13</f>
        <v>19802.580000000002</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3">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thickBot="1">
      <c r="A68" s="642" t="s">
        <v>538</v>
      </c>
      <c r="B68" s="643" t="s">
        <v>16</v>
      </c>
      <c r="C68" s="643" t="s">
        <v>17</v>
      </c>
      <c r="D68" s="643" t="s">
        <v>2256</v>
      </c>
      <c r="E68" s="643">
        <f>IF(B48="楼面地价",SUM(E58:E67),'数据-汇总表'!D3)</f>
        <v>95432.58</v>
      </c>
      <c r="F68" s="644">
        <f>IF(B48="楼面地价",SUM(F58:F67),ROUND(C50*E68/10000,0))</f>
        <v>208875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2020-3-1</v>
      </c>
      <c r="D70" s="2799">
        <f>EDATE(C70,-3)</f>
        <v>43800</v>
      </c>
      <c r="E70" s="2799">
        <f t="shared" ref="E70:N70" si="18">EDATE(D70,-3)</f>
        <v>43709</v>
      </c>
      <c r="F70" s="2799">
        <f t="shared" si="18"/>
        <v>43617</v>
      </c>
      <c r="G70" s="2799">
        <f t="shared" si="18"/>
        <v>43525</v>
      </c>
      <c r="H70" s="2799">
        <f t="shared" si="18"/>
        <v>43435</v>
      </c>
      <c r="I70" s="2799">
        <f t="shared" si="18"/>
        <v>43344</v>
      </c>
      <c r="J70" s="2799">
        <f t="shared" si="18"/>
        <v>43252</v>
      </c>
      <c r="K70" s="2799">
        <f t="shared" si="18"/>
        <v>43160</v>
      </c>
      <c r="L70" s="2799">
        <f t="shared" si="18"/>
        <v>43070</v>
      </c>
      <c r="M70" s="2799">
        <f t="shared" si="18"/>
        <v>42979</v>
      </c>
      <c r="N70" s="2799">
        <f t="shared" si="18"/>
        <v>42887</v>
      </c>
      <c r="O70" s="2145"/>
      <c r="P70" s="2145"/>
      <c r="Q70" s="2145"/>
      <c r="R70" s="2145"/>
      <c r="S70" s="2145"/>
      <c r="T70" s="2145"/>
      <c r="U70" s="2145"/>
      <c r="V70" s="2145"/>
      <c r="W70" s="2145"/>
      <c r="X70" s="2145"/>
      <c r="Y70" s="2145"/>
      <c r="Z70" s="2145"/>
      <c r="AA70" s="2145"/>
      <c r="AB70" s="2145"/>
      <c r="AC70" s="2145"/>
    </row>
    <row r="71" spans="1:29" ht="21.5"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c r="A72" s="2568" t="s">
        <v>2491</v>
      </c>
      <c r="B72" s="2569"/>
      <c r="C72" s="2794" t="str">
        <f>YEAR(C70)&amp;"-"&amp;ROUNDUP(MONTH(C70)/3,0)</f>
        <v>2020-1</v>
      </c>
      <c r="D72" s="2801" t="str">
        <f>YEAR(D70)&amp;"-"&amp;ROUNDUP(MONTH(D70)/3,0)</f>
        <v>2019-4</v>
      </c>
      <c r="E72" s="2801" t="str">
        <f t="shared" ref="E72:N72" si="19">YEAR(E70)&amp;"-"&amp;ROUNDUP(MONTH(E70)/3,0)</f>
        <v>2019-3</v>
      </c>
      <c r="F72" s="2801" t="str">
        <f t="shared" si="19"/>
        <v>2019-2</v>
      </c>
      <c r="G72" s="2801" t="str">
        <f t="shared" si="19"/>
        <v>2019-1</v>
      </c>
      <c r="H72" s="2801" t="str">
        <f t="shared" si="19"/>
        <v>2018-4</v>
      </c>
      <c r="I72" s="2801" t="str">
        <f t="shared" si="19"/>
        <v>2018-3</v>
      </c>
      <c r="J72" s="2801" t="str">
        <f t="shared" si="19"/>
        <v>2018-2</v>
      </c>
      <c r="K72" s="2801" t="str">
        <f t="shared" si="19"/>
        <v>2018-1</v>
      </c>
      <c r="L72" s="2801" t="str">
        <f t="shared" si="19"/>
        <v>2017-4</v>
      </c>
      <c r="M72" s="2801" t="str">
        <f t="shared" si="19"/>
        <v>2017-3</v>
      </c>
      <c r="N72" s="2801"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2606</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2605</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4.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182" t="s">
        <v>2986</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8.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4.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4.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4.5" thickTop="1">
      <c r="A84" s="687"/>
      <c r="B84" s="673" t="str">
        <f>B14</f>
        <v>配建</v>
      </c>
      <c r="C84" s="3189" t="s">
        <v>3082</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4.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4.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4.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4.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4.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4.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4.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4.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8.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4.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8.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4.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4.5" thickTop="1">
      <c r="A102" s="687"/>
      <c r="B102" s="1896" t="s">
        <v>2507</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4.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4.5" thickTop="1">
      <c r="A104" s="687"/>
      <c r="B104" s="2597" t="s">
        <v>2509</v>
      </c>
      <c r="C104" s="2598" t="s">
        <v>2510</v>
      </c>
      <c r="D104" s="2598" t="s">
        <v>2511</v>
      </c>
      <c r="E104" s="2598" t="s">
        <v>2512</v>
      </c>
      <c r="F104" s="2598" t="s">
        <v>2513</v>
      </c>
      <c r="G104" s="2598" t="s">
        <v>2514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4.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4.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8.5" thickTop="1">
      <c r="A108" s="669"/>
      <c r="B108" s="673" t="s">
        <v>513</v>
      </c>
      <c r="C108" s="3189" t="s">
        <v>3093</v>
      </c>
      <c r="D108" s="3189" t="s">
        <v>3094</v>
      </c>
      <c r="E108" s="3189" t="s">
        <v>3078</v>
      </c>
      <c r="F108" s="688" t="s">
        <v>3079</v>
      </c>
      <c r="G108" s="688" t="s">
        <v>3080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4.5" thickTop="1">
      <c r="A110" s="669"/>
      <c r="B110" s="673" t="s">
        <v>514</v>
      </c>
      <c r="C110" s="718" t="s">
        <v>3081</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4.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4.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4.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0" t="str">
        <f t="shared" si="25"/>
        <v>(含)-</v>
      </c>
      <c r="K118" s="3090" t="str">
        <f t="shared" si="25"/>
        <v>(含)-</v>
      </c>
      <c r="L118" s="3091" t="str">
        <f t="shared" si="25"/>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5"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4.5" thickTop="1">
      <c r="A121" s="735"/>
      <c r="B121" s="673" t="s">
        <v>559</v>
      </c>
      <c r="C121" s="3190" t="s">
        <v>3084</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4.5" thickTop="1">
      <c r="A123" s="735"/>
      <c r="B123" s="673" t="s">
        <v>560</v>
      </c>
      <c r="C123" s="3189" t="s">
        <v>3085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4.5" thickTop="1">
      <c r="A125" s="728"/>
      <c r="B125" s="1896" t="s">
        <v>2386</v>
      </c>
      <c r="C125" s="1374" t="s">
        <v>3086</v>
      </c>
      <c r="D125" s="1374" t="s">
        <v>2936</v>
      </c>
      <c r="E125" s="1374" t="s">
        <v>3087</v>
      </c>
      <c r="F125" s="1374" t="s">
        <v>3088</v>
      </c>
      <c r="G125" s="1374" t="s">
        <v>3089</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4.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4.5" thickTop="1">
      <c r="A127" s="735"/>
      <c r="B127" s="673" t="s">
        <v>561</v>
      </c>
      <c r="C127" s="3189" t="s">
        <v>3085</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4.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4.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4.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90" zoomScaleNormal="90" workbookViewId="0">
      <selection activeCell="N3" sqref="N3"/>
    </sheetView>
  </sheetViews>
  <sheetFormatPr defaultColWidth="6.6328125" defaultRowHeight="12.5"/>
  <cols>
    <col min="1" max="1" width="9.81640625" style="2124" customWidth="1"/>
    <col min="2" max="2" width="25.81640625" style="2114" customWidth="1"/>
    <col min="3" max="3" width="11.90625" style="2125" customWidth="1"/>
    <col min="4" max="4" width="12" style="2114" customWidth="1"/>
    <col min="5" max="5" width="12.453125" style="2124" customWidth="1"/>
    <col min="6" max="6" width="12" style="2114" customWidth="1"/>
    <col min="7" max="7" width="11.6328125" style="2114" customWidth="1"/>
    <col min="8" max="8" width="11.81640625" style="2114" customWidth="1"/>
    <col min="9" max="11" width="9.453125" style="2114" customWidth="1"/>
    <col min="12" max="12" width="9" style="2114" customWidth="1"/>
    <col min="13" max="13" width="10.453125" style="2114" bestFit="1" customWidth="1"/>
    <col min="14" max="17" width="10.36328125" style="2114" customWidth="1"/>
    <col min="18" max="18" width="11.453125" style="2114" customWidth="1"/>
    <col min="19" max="19" width="10.36328125" style="2114" customWidth="1"/>
    <col min="20" max="254" width="9" style="2114" customWidth="1"/>
    <col min="255" max="16384" width="6.6328125" style="2114"/>
  </cols>
  <sheetData>
    <row r="1" spans="1:31" s="2041" customFormat="1" ht="21">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470657</v>
      </c>
      <c r="C2" s="2104"/>
      <c r="D2" s="2104"/>
      <c r="E2" s="2104"/>
      <c r="F2" s="2104"/>
      <c r="G2" s="2104"/>
      <c r="H2" s="2104"/>
      <c r="I2" s="2104"/>
      <c r="J2" s="2104"/>
      <c r="K2" s="2104"/>
    </row>
    <row r="3" spans="1:31" s="2041" customFormat="1" ht="18" customHeight="1">
      <c r="A3" s="2106" t="s">
        <v>1646</v>
      </c>
      <c r="B3" s="2107">
        <f ca="1">ROUND(B2*10000/IF(B1="",'数据-汇总表'!E3,INDIRECT("'数据-取费表'!K"&amp;$K$1)),0)</f>
        <v>37845</v>
      </c>
      <c r="C3" s="2104"/>
      <c r="D3" s="2104"/>
      <c r="E3" s="2104"/>
      <c r="F3" s="2104"/>
      <c r="G3" s="2104"/>
      <c r="H3" s="2104"/>
      <c r="I3" s="2104"/>
      <c r="J3" s="2104"/>
      <c r="K3" s="2104"/>
    </row>
    <row r="4" spans="1:31" s="2041" customFormat="1" ht="18" customHeight="1">
      <c r="A4" s="426" t="s">
        <v>433</v>
      </c>
      <c r="B4" s="427">
        <f ca="1">ROUND(B2*10000/IF(B1="",'数据-汇总表'!D3,INDIRECT("'数据-取费表'!R"&amp;$K$1)),0)</f>
        <v>451545</v>
      </c>
      <c r="C4" s="428"/>
      <c r="D4" s="422"/>
      <c r="E4" s="422"/>
      <c r="F4" s="422"/>
      <c r="G4" s="422"/>
      <c r="H4" s="422"/>
      <c r="I4" s="422"/>
      <c r="J4" s="422"/>
      <c r="K4" s="422"/>
    </row>
    <row r="5" spans="1:31" s="2041" customFormat="1" ht="18" customHeight="1" thickBot="1">
      <c r="A5" s="429"/>
      <c r="B5" s="430">
        <f ca="1">ROUND(B2/(IF(B1="",'数据-汇总表'!D3,INDIRECT("'数据-取费表'!R"&amp;$K$1))/666.67),0)</f>
        <v>30103</v>
      </c>
      <c r="C5" s="431" t="s">
        <v>434</v>
      </c>
      <c r="D5" s="422"/>
      <c r="E5" s="422"/>
      <c r="F5" s="422"/>
      <c r="G5" s="422"/>
      <c r="H5" s="422"/>
      <c r="I5" s="422"/>
      <c r="J5" s="422"/>
      <c r="K5" s="422"/>
    </row>
    <row r="6" spans="1:31" s="2111" customFormat="1" ht="16.5" customHeight="1">
      <c r="A6" s="2828" t="s">
        <v>1804</v>
      </c>
      <c r="B6" s="2829"/>
      <c r="C6" s="2830">
        <f ca="1">SUM(C10:K10)</f>
        <v>742843</v>
      </c>
      <c r="D6" s="2829"/>
      <c r="E6" s="2829"/>
      <c r="F6" s="2829"/>
      <c r="G6" s="2829"/>
      <c r="H6" s="2829"/>
      <c r="I6" s="2829"/>
      <c r="J6" s="2829"/>
      <c r="K6" s="2831"/>
    </row>
    <row r="7" spans="1:31" s="2113" customFormat="1" ht="27" customHeight="1">
      <c r="A7" s="2832" t="s">
        <v>435</v>
      </c>
      <c r="B7" s="2833" t="s">
        <v>436</v>
      </c>
      <c r="C7" s="436" t="s">
        <v>2959</v>
      </c>
      <c r="D7" s="436" t="s">
        <v>2961</v>
      </c>
      <c r="E7" s="436" t="s">
        <v>2963</v>
      </c>
      <c r="F7" s="436" t="s">
        <v>2965</v>
      </c>
      <c r="G7" s="436" t="s">
        <v>2967</v>
      </c>
      <c r="H7" s="436" t="s">
        <v>2929</v>
      </c>
      <c r="I7" s="436"/>
      <c r="J7" s="436"/>
      <c r="K7" s="437"/>
      <c r="L7" s="2112"/>
      <c r="M7" s="2112"/>
      <c r="N7" s="3204" t="s">
        <v>3160</v>
      </c>
      <c r="O7" s="3204" t="s">
        <v>3162</v>
      </c>
      <c r="P7" s="3204" t="s">
        <v>3163</v>
      </c>
      <c r="Q7" s="3204" t="s">
        <v>3164</v>
      </c>
      <c r="R7" s="3204" t="s">
        <v>3165</v>
      </c>
      <c r="S7" s="3205"/>
      <c r="T7" s="2112"/>
      <c r="U7" s="2112"/>
      <c r="V7" s="2112"/>
      <c r="W7" s="2112"/>
      <c r="X7" s="2112"/>
      <c r="Y7" s="2112"/>
      <c r="Z7" s="2112"/>
      <c r="AA7" s="2112"/>
      <c r="AB7" s="2112"/>
      <c r="AC7" s="2112"/>
      <c r="AD7" s="2112"/>
      <c r="AE7" s="2112"/>
    </row>
    <row r="8" spans="1:31" s="2115" customFormat="1" ht="13.5" customHeight="1">
      <c r="A8" s="803" t="s">
        <v>1807</v>
      </c>
      <c r="B8" s="261" t="s">
        <v>437</v>
      </c>
      <c r="C8" s="3203">
        <f ca="1">'收益法-地上商业'!B3</f>
        <v>94407</v>
      </c>
      <c r="D8" s="2834">
        <f ca="1">'收益法-办公'!B3</f>
        <v>62445</v>
      </c>
      <c r="E8" s="2834">
        <f>'不动产比较法-住宅'!B3</f>
        <v>108465</v>
      </c>
      <c r="F8" s="2834">
        <v>4500</v>
      </c>
      <c r="G8" s="3203">
        <f ca="1">'收益法-地下商业'!B3</f>
        <v>87223</v>
      </c>
      <c r="H8" s="2834">
        <f ca="1">'收益法-地下车库'!B3</f>
        <v>6292</v>
      </c>
      <c r="I8" s="2834"/>
      <c r="J8" s="2834"/>
      <c r="K8" s="2835"/>
      <c r="L8" s="2114"/>
      <c r="M8" s="2114"/>
      <c r="N8" s="3206">
        <v>1</v>
      </c>
      <c r="O8" s="3206">
        <v>1</v>
      </c>
      <c r="P8" s="3207">
        <f>C9/5</f>
        <v>7086</v>
      </c>
      <c r="Q8" s="3206">
        <f>370000*10000/((O8+O9+O10+O11+O12)*P8)</f>
        <v>149187.53276077576</v>
      </c>
      <c r="R8" s="3206">
        <v>130000</v>
      </c>
      <c r="S8" s="3206"/>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35430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19802.580000000002</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3206">
        <v>2</v>
      </c>
      <c r="O9" s="3206">
        <v>0.7</v>
      </c>
      <c r="P9" s="3206">
        <f>P8</f>
        <v>7086</v>
      </c>
      <c r="Q9" s="3206">
        <f>Q8*O9</f>
        <v>104431.27293254303</v>
      </c>
      <c r="R9" s="3206">
        <f>R8*O9</f>
        <v>91000</v>
      </c>
      <c r="S9" s="3206"/>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8">
        <f ca="1">'收益法-地上商业'!B2</f>
        <v>334485</v>
      </c>
      <c r="D10" s="3028">
        <f ca="1">'收益法-办公'!B2</f>
        <v>82428</v>
      </c>
      <c r="E10" s="3028">
        <f>'不动产比较法-住宅'!B2</f>
        <v>234284</v>
      </c>
      <c r="F10" s="2837">
        <f>ROUND(F8*F9/10000,0)</f>
        <v>2430</v>
      </c>
      <c r="G10" s="3028">
        <f ca="1">'收益法-地下商业'!B2</f>
        <v>76756</v>
      </c>
      <c r="H10" s="2837">
        <f ca="1">'收益法-地下车库'!B2</f>
        <v>12460</v>
      </c>
      <c r="I10" s="2837"/>
      <c r="J10" s="2837"/>
      <c r="K10" s="2838"/>
      <c r="L10" s="2114"/>
      <c r="M10" s="2114"/>
      <c r="N10" s="3206">
        <v>3</v>
      </c>
      <c r="O10" s="3206">
        <v>0.6</v>
      </c>
      <c r="P10" s="3206">
        <f>P9</f>
        <v>7086</v>
      </c>
      <c r="Q10" s="3206">
        <f>Q8*O10</f>
        <v>89512.519656465462</v>
      </c>
      <c r="R10" s="3206">
        <f>R8*O10</f>
        <v>78000</v>
      </c>
      <c r="S10" s="3206"/>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c r="N11" s="3208">
        <v>4</v>
      </c>
      <c r="O11" s="3208">
        <v>0.6</v>
      </c>
      <c r="P11" s="3208">
        <f>P10</f>
        <v>7086</v>
      </c>
      <c r="Q11" s="3208">
        <f>Q8*O11</f>
        <v>89512.519656465462</v>
      </c>
      <c r="R11" s="3208">
        <f>R10</f>
        <v>78000</v>
      </c>
      <c r="S11" s="3208"/>
    </row>
    <row r="12" spans="1:31" s="2085" customFormat="1" ht="13.5" customHeight="1">
      <c r="A12" s="2840" t="s">
        <v>435</v>
      </c>
      <c r="B12" s="2812" t="s">
        <v>436</v>
      </c>
      <c r="C12" s="2841" t="s">
        <v>440</v>
      </c>
      <c r="D12" s="2808" t="s">
        <v>441</v>
      </c>
      <c r="E12" s="2808" t="s">
        <v>442</v>
      </c>
      <c r="F12" s="2808" t="s">
        <v>443</v>
      </c>
      <c r="G12" s="2812"/>
      <c r="H12" s="2813"/>
      <c r="I12" s="2813"/>
      <c r="J12" s="2813"/>
      <c r="K12" s="2814"/>
      <c r="N12" s="3209">
        <v>5</v>
      </c>
      <c r="O12" s="3209">
        <v>0.6</v>
      </c>
      <c r="P12" s="3209">
        <f>P11</f>
        <v>7086</v>
      </c>
      <c r="Q12" s="3209">
        <f>Q8*O12</f>
        <v>89512.519656465462</v>
      </c>
      <c r="R12" s="3209">
        <f>R10</f>
        <v>78000</v>
      </c>
      <c r="S12" s="3209"/>
    </row>
    <row r="13" spans="1:31" s="2116" customFormat="1" ht="13.5" customHeight="1">
      <c r="A13" s="2842" t="s">
        <v>1810</v>
      </c>
      <c r="B13" s="2843" t="s">
        <v>444</v>
      </c>
      <c r="C13" s="450">
        <f ca="1">IF(B1="",'数据-取费表'!P16,INDIRECT("'数据-取费表'!p"&amp;$K$1)+INDIRECT("'数据-取费表'!t"&amp;$K$1))</f>
        <v>44952</v>
      </c>
      <c r="D13" s="2844"/>
      <c r="E13" s="2845"/>
      <c r="F13" s="2846"/>
      <c r="G13" s="2812"/>
      <c r="H13" s="2813"/>
      <c r="I13" s="2813"/>
      <c r="J13" s="2813"/>
      <c r="K13" s="2814"/>
      <c r="N13" s="3210"/>
      <c r="O13" s="3210"/>
      <c r="P13" s="3210"/>
      <c r="Q13" s="3211">
        <f ca="1">C8</f>
        <v>94407</v>
      </c>
      <c r="R13" s="3210">
        <f>S13*10000/C9</f>
        <v>91000</v>
      </c>
      <c r="S13" s="3210">
        <f>(R8*P8+R9*P9+R10*P10*3)/10000</f>
        <v>322413</v>
      </c>
    </row>
    <row r="14" spans="1:31" s="2116" customFormat="1" ht="13.5" customHeight="1">
      <c r="A14" s="2842" t="s">
        <v>1811</v>
      </c>
      <c r="B14" s="2843" t="s">
        <v>445</v>
      </c>
      <c r="C14" s="53">
        <f ca="1">ROUND(C13*F14,0)</f>
        <v>2248</v>
      </c>
      <c r="D14" s="2844"/>
      <c r="E14" s="2845"/>
      <c r="F14" s="2847">
        <f>'数据-取费表'!B33</f>
        <v>0.05</v>
      </c>
      <c r="G14" s="2812" t="s">
        <v>446</v>
      </c>
      <c r="H14" s="2813"/>
      <c r="I14" s="2813"/>
      <c r="J14" s="2813"/>
      <c r="K14" s="2814"/>
      <c r="N14" s="3212" t="s">
        <v>3161</v>
      </c>
      <c r="O14" s="3210">
        <v>0.7</v>
      </c>
      <c r="P14" s="3210"/>
      <c r="Q14" s="3210">
        <f>Q8*O14</f>
        <v>104431.27293254303</v>
      </c>
      <c r="R14" s="3210">
        <f>R8*O14</f>
        <v>91000</v>
      </c>
      <c r="S14" s="3210"/>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c r="N15" s="3210"/>
      <c r="O15" s="3210"/>
      <c r="P15" s="3210"/>
      <c r="Q15" s="3210"/>
      <c r="R15" s="3210"/>
      <c r="S15" s="3210"/>
    </row>
    <row r="16" spans="1:31" s="2117" customFormat="1" ht="13.5" customHeight="1">
      <c r="A16" s="2842" t="s">
        <v>1813</v>
      </c>
      <c r="B16" s="2843" t="s">
        <v>449</v>
      </c>
      <c r="C16" s="53">
        <f ca="1">ROUND(D16*E16/10000,0)</f>
        <v>2487</v>
      </c>
      <c r="D16" s="2844">
        <f ca="1">IF(B1="",'数据-汇总表'!E3,INDIRECT("'数据-取费表'!K"&amp;$K$1)+INDIRECT("'数据-取费表'!S"&amp;$K$1))</f>
        <v>124364.83</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674</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50361</v>
      </c>
      <c r="D18" s="2853"/>
      <c r="E18" s="468"/>
      <c r="F18" s="468"/>
      <c r="G18" s="2816" t="s">
        <v>2391</v>
      </c>
      <c r="H18" s="2817"/>
      <c r="I18" s="2817"/>
      <c r="J18" s="2817"/>
      <c r="K18" s="2818"/>
    </row>
    <row r="19" spans="1:14" s="2116" customFormat="1" ht="13.5" customHeight="1">
      <c r="A19" s="2850" t="s">
        <v>1816</v>
      </c>
      <c r="B19" s="2851" t="s">
        <v>453</v>
      </c>
      <c r="C19" s="2808">
        <f ca="1">ROUND(D19*E19/10000,0)</f>
        <v>0</v>
      </c>
      <c r="D19" s="2854">
        <f ca="1">D16</f>
        <v>124364.83</v>
      </c>
      <c r="E19" s="2808">
        <f>'数据-取费表'!B32</f>
        <v>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2674</v>
      </c>
      <c r="D20" s="2854"/>
      <c r="E20" s="2808"/>
      <c r="F20" s="2855"/>
      <c r="G20" s="3086" t="s">
        <v>3107</v>
      </c>
      <c r="H20" s="2810"/>
      <c r="I20" s="2811" t="s">
        <v>2610</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2674</v>
      </c>
      <c r="D22" s="2844">
        <f ca="1">IF(B1="",'数据-汇总表'!E6,IF(INDIRECT("'数据-取费表'!c"&amp;$K$1)="住宅",INDIRECT("'数据-取费表'!s"&amp;$K$1),INDIRECT("'数据-取费表'!k"&amp;$K$1)+INDIRECT("'数据-取费表'!s"&amp;$K$1)))</f>
        <v>124364.83</v>
      </c>
      <c r="E22" s="53">
        <f>'数据-取费表'!B28</f>
        <v>215</v>
      </c>
      <c r="F22" s="2847"/>
      <c r="G22" s="26"/>
      <c r="H22" s="51"/>
      <c r="I22" s="51"/>
      <c r="J22" s="51"/>
      <c r="K22" s="2819"/>
    </row>
    <row r="23" spans="1:14" s="2116" customFormat="1" ht="13.5" customHeight="1">
      <c r="A23" s="2850" t="s">
        <v>1820</v>
      </c>
      <c r="B23" s="3034" t="s">
        <v>2793</v>
      </c>
      <c r="C23" s="2852">
        <f ca="1">ROUND((C18+C19+C20)*F23,0)</f>
        <v>1061</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4" t="s">
        <v>2796</v>
      </c>
      <c r="C24" s="2852">
        <f ca="1">ROUND(C6*F24,0)</f>
        <v>14857</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4" t="s">
        <v>2794</v>
      </c>
      <c r="C25" s="467">
        <f>ROUND(F25/(1+'数据-取费表'!C42),4)</f>
        <v>2.9000000000000001E-2</v>
      </c>
      <c r="D25" s="462" t="s">
        <v>2788</v>
      </c>
      <c r="E25" s="469"/>
      <c r="F25" s="2856">
        <f>'数据-取费表'!B48+'数据-取费表'!B49</f>
        <v>3.0499999999999999E-2</v>
      </c>
      <c r="G25" s="2820" t="s">
        <v>2251</v>
      </c>
      <c r="H25" s="2813"/>
      <c r="I25" s="2813"/>
      <c r="J25" s="2813"/>
      <c r="K25" s="2814"/>
    </row>
    <row r="26" spans="1:14" s="2118" customFormat="1" ht="13.5" customHeight="1">
      <c r="A26" s="2850" t="s">
        <v>1823</v>
      </c>
      <c r="B26" s="3035" t="s">
        <v>2795</v>
      </c>
      <c r="C26" s="2857">
        <f ca="1">C28</f>
        <v>3275</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2797</v>
      </c>
      <c r="C28" s="2860">
        <f ca="1">ROUND(IF('数据-取费表'!B22&lt;=1,(C18+C19+C20+C23+C24)*F26*'数据-取费表'!B24/2,(C18+C19+C20+C23+C24)*(POWER((1+F26),'数据-取费表'!B24/2)-1)),0)</f>
        <v>3275</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39618</v>
      </c>
      <c r="D29" s="468"/>
      <c r="E29" s="468"/>
      <c r="F29" s="3036">
        <f>'数据-取费表'!B41</f>
        <v>5.6000000000000001E-2</v>
      </c>
      <c r="G29" s="2821" t="s">
        <v>463</v>
      </c>
      <c r="H29" s="2813"/>
      <c r="I29" s="2813"/>
      <c r="J29" s="2813"/>
      <c r="K29" s="2814"/>
    </row>
    <row r="30" spans="1:14" s="2121" customFormat="1" ht="13.5" customHeight="1">
      <c r="A30" s="1634" t="s">
        <v>1825</v>
      </c>
      <c r="B30" s="2862" t="s">
        <v>465</v>
      </c>
      <c r="C30" s="2857">
        <f ca="1">C31</f>
        <v>111846</v>
      </c>
      <c r="D30" s="477">
        <f ca="1">C32</f>
        <v>0.12909999999999999</v>
      </c>
      <c r="E30" s="469" t="s">
        <v>460</v>
      </c>
      <c r="F30" s="471"/>
      <c r="G30" s="2820" t="s">
        <v>2919</v>
      </c>
      <c r="H30" s="2813"/>
      <c r="I30" s="2813"/>
      <c r="J30" s="2813"/>
      <c r="K30" s="2814"/>
    </row>
    <row r="31" spans="1:14" s="2120" customFormat="1" ht="13.5" customHeight="1">
      <c r="A31" s="803" t="s">
        <v>1818</v>
      </c>
      <c r="B31" s="2858"/>
      <c r="C31" s="450">
        <f ca="1">C18+C19+C20+C23+C24+C26+C29</f>
        <v>111846</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3" t="s">
        <v>2792</v>
      </c>
      <c r="B33" s="3031" t="s">
        <v>2790</v>
      </c>
      <c r="C33" s="478">
        <f ca="1">C35</f>
        <v>12412</v>
      </c>
      <c r="D33" s="467">
        <f ca="1">C34</f>
        <v>0.1852</v>
      </c>
      <c r="E33" s="469" t="s">
        <v>460</v>
      </c>
      <c r="F33" s="479">
        <f ca="1">IF(B1="",'数据-取费表'!Q16,INDIRECT("'数据-取费表'!q"&amp;$K$1))</f>
        <v>0.18</v>
      </c>
      <c r="G33" s="2816"/>
      <c r="H33" s="2817"/>
      <c r="I33" s="2817"/>
      <c r="J33" s="2817"/>
      <c r="K33" s="2818"/>
    </row>
    <row r="34" spans="1:11" s="2123" customFormat="1" ht="13.5" customHeight="1">
      <c r="A34" s="375" t="s">
        <v>1818</v>
      </c>
      <c r="B34" s="2863" t="s">
        <v>466</v>
      </c>
      <c r="C34" s="472">
        <f ca="1">ROUND((1+C25)*F33,4)</f>
        <v>0.1852</v>
      </c>
      <c r="D34" s="472"/>
      <c r="E34" s="473"/>
      <c r="F34" s="480"/>
      <c r="G34" s="261" t="s">
        <v>2252</v>
      </c>
      <c r="H34" s="2815"/>
      <c r="I34" s="2815"/>
      <c r="J34" s="2815"/>
      <c r="K34" s="279"/>
    </row>
    <row r="35" spans="1:11" s="2123" customFormat="1" ht="13.5" customHeight="1" thickBot="1">
      <c r="A35" s="1635" t="s">
        <v>1819</v>
      </c>
      <c r="B35" s="3032" t="s">
        <v>2798</v>
      </c>
      <c r="C35" s="1627">
        <f ca="1">ROUND((C18+C19+C20+C23+C24)*F33,0)</f>
        <v>12412</v>
      </c>
      <c r="D35" s="1628"/>
      <c r="E35" s="2864"/>
      <c r="F35" s="1629"/>
      <c r="G35" s="2822"/>
      <c r="H35" s="2823"/>
      <c r="I35" s="2823"/>
      <c r="J35" s="2823"/>
      <c r="K35" s="2824"/>
    </row>
    <row r="36" spans="1:11" s="2085" customFormat="1" ht="13.5" customHeight="1" thickBot="1">
      <c r="A36" s="284" t="s">
        <v>1806</v>
      </c>
      <c r="B36" s="2826"/>
      <c r="C36" s="2865">
        <f ca="1">ROUND((C6-C30-C33)/(1+D30+D33),0)</f>
        <v>470657</v>
      </c>
      <c r="D36" s="2826"/>
      <c r="E36" s="2826"/>
      <c r="F36" s="2826"/>
      <c r="G36" s="2825" t="s">
        <v>2799</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
  <cols>
    <col min="1" max="1" width="3.453125" style="1654" customWidth="1"/>
    <col min="2" max="2" width="10.81640625" style="1654" customWidth="1"/>
    <col min="3" max="4" width="11.6328125" style="1654" customWidth="1"/>
    <col min="5" max="5" width="6.6328125" style="1654" customWidth="1"/>
    <col min="6" max="16384" width="9" style="1654"/>
  </cols>
  <sheetData>
    <row r="36" spans="1:9">
      <c r="A36" s="1653" t="s">
        <v>1863</v>
      </c>
      <c r="B36" s="1653" t="s">
        <v>1864</v>
      </c>
    </row>
    <row r="37" spans="1:9" ht="28.5" customHeight="1">
      <c r="A37" s="1653"/>
      <c r="B37" s="3219" t="str">
        <f>项目基本情况!B1</f>
        <v>深圳市莱茵达路以北、嘉华路以西出让国有建设用地使用权抵押价格预评估</v>
      </c>
      <c r="C37" s="3219"/>
      <c r="D37" s="3219"/>
      <c r="E37" s="3219"/>
      <c r="F37" s="3219"/>
      <c r="G37" s="3219"/>
      <c r="H37" s="3219"/>
      <c r="I37" s="3219"/>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ht="13.5">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328125" defaultRowHeight="12.5"/>
  <cols>
    <col min="1" max="1" width="10.08984375" style="2124" customWidth="1"/>
    <col min="2" max="2" width="25.81640625" style="2114" customWidth="1"/>
    <col min="3" max="3" width="10.36328125" style="2125" customWidth="1"/>
    <col min="4" max="4" width="12" style="2114" customWidth="1"/>
    <col min="5" max="5" width="9.453125" style="2124" customWidth="1"/>
    <col min="6" max="6" width="10.08984375" style="2114" customWidth="1"/>
    <col min="7" max="7" width="9.453125" style="2114" customWidth="1"/>
    <col min="8" max="8" width="10" style="2114" customWidth="1"/>
    <col min="9" max="11" width="9.453125" style="2114" customWidth="1"/>
    <col min="12" max="12" width="9" style="2114" customWidth="1"/>
    <col min="13" max="13" width="10.453125" style="2114" bestFit="1" customWidth="1"/>
    <col min="14" max="254" width="9" style="2114" customWidth="1"/>
    <col min="255" max="16384" width="6.6328125" style="2114"/>
  </cols>
  <sheetData>
    <row r="1" spans="1:41" s="2041" customFormat="1" ht="21">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2611</v>
      </c>
      <c r="B6" s="433"/>
      <c r="C6" s="1622">
        <f>SUM(C10:K10)</f>
        <v>0</v>
      </c>
      <c r="D6" s="2109"/>
      <c r="E6" s="2109"/>
      <c r="F6" s="2109"/>
      <c r="G6" s="2109"/>
      <c r="H6" s="2109"/>
      <c r="I6" s="2109"/>
      <c r="J6" s="2109"/>
      <c r="K6" s="2110"/>
    </row>
    <row r="7" spans="1:41" s="2113" customFormat="1" ht="14.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44952</v>
      </c>
      <c r="D13" s="451"/>
      <c r="E13" s="365"/>
      <c r="F13" s="452"/>
      <c r="G13" s="444"/>
      <c r="H13" s="447"/>
      <c r="I13" s="447"/>
      <c r="J13" s="447"/>
      <c r="K13" s="448"/>
    </row>
    <row r="14" spans="1:41" s="2116" customFormat="1" ht="13.5" customHeight="1">
      <c r="A14" s="1632" t="s">
        <v>1811</v>
      </c>
      <c r="B14" s="449" t="s">
        <v>445</v>
      </c>
      <c r="C14" s="53">
        <f ca="1">ROUND(C13*F14,0)</f>
        <v>2248</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2487</v>
      </c>
      <c r="D16" s="451">
        <f ca="1">IF(B1="",'数据-汇总表'!E3,INDIRECT("'数据-取费表'!K"&amp;$K$1)+INDIRECT("'数据-取费表'!S"&amp;$K$1))</f>
        <v>124364.83</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674</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50361</v>
      </c>
      <c r="D18" s="461"/>
      <c r="E18" s="462"/>
      <c r="F18" s="462"/>
      <c r="G18" s="1326" t="s">
        <v>2393</v>
      </c>
      <c r="H18" s="447"/>
      <c r="I18" s="447"/>
      <c r="J18" s="447"/>
      <c r="K18" s="448"/>
    </row>
    <row r="19" spans="1:14" s="2119" customFormat="1" ht="13.5" customHeight="1">
      <c r="A19" s="1633" t="s">
        <v>1816</v>
      </c>
      <c r="B19" s="459" t="s">
        <v>458</v>
      </c>
      <c r="C19" s="460">
        <f ca="1">ROUND(C18*F19,0)</f>
        <v>1007</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29">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2440</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2440</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1" t="s">
        <v>2791</v>
      </c>
      <c r="C24" s="478">
        <f ca="1">C25</f>
        <v>9246</v>
      </c>
      <c r="D24" s="489">
        <f ca="1">C26</f>
        <v>3.5999999999999999E-3</v>
      </c>
      <c r="E24" s="469" t="s">
        <v>472</v>
      </c>
      <c r="F24" s="479">
        <f ca="1">IF(B1="",'数据-取费表'!Q16,INDIRECT("'数据-取费表'!q"&amp;$K$1))</f>
        <v>0.18</v>
      </c>
      <c r="G24" s="444"/>
      <c r="H24" s="447"/>
      <c r="I24" s="447"/>
      <c r="J24" s="447"/>
      <c r="K24" s="448"/>
    </row>
    <row r="25" spans="1:14" s="2120" customFormat="1" ht="13.5" customHeight="1">
      <c r="A25" s="1632" t="s">
        <v>1810</v>
      </c>
      <c r="B25" s="1327" t="s">
        <v>2397</v>
      </c>
      <c r="C25" s="490">
        <f ca="1">ROUND((C18+C19)*F24,0)</f>
        <v>9246</v>
      </c>
      <c r="D25" s="472"/>
      <c r="E25" s="473"/>
      <c r="F25" s="480"/>
      <c r="G25" s="1325" t="s">
        <v>2394</v>
      </c>
      <c r="H25" s="457"/>
      <c r="I25" s="457"/>
      <c r="J25" s="457"/>
      <c r="K25" s="458"/>
    </row>
    <row r="26" spans="1:14" s="2120" customFormat="1" ht="13.5" customHeight="1">
      <c r="A26" s="1632" t="s">
        <v>1811</v>
      </c>
      <c r="B26" s="1327" t="s">
        <v>474</v>
      </c>
      <c r="C26" s="491">
        <f ca="1">ROUND(F20*F24,4)</f>
        <v>3.5999999999999999E-3</v>
      </c>
      <c r="D26" s="472"/>
      <c r="E26" s="481"/>
      <c r="F26" s="480"/>
      <c r="G26" s="1325" t="s">
        <v>475</v>
      </c>
      <c r="H26" s="457"/>
      <c r="I26" s="457"/>
      <c r="J26" s="457"/>
      <c r="K26" s="458"/>
    </row>
    <row r="27" spans="1:14" s="2120" customFormat="1" ht="13.5" customHeight="1">
      <c r="A27" s="1636" t="s">
        <v>1829</v>
      </c>
      <c r="B27" s="459" t="s">
        <v>476</v>
      </c>
      <c r="C27" s="3030">
        <f>ROUND(F27/(1+'数据-取费表'!C42),4)</f>
        <v>5.33E-2</v>
      </c>
      <c r="D27" s="462" t="s">
        <v>2789</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68381</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
  <cols>
    <col min="1" max="1" width="13.36328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c r="A6" s="512" t="s">
        <v>486</v>
      </c>
      <c r="B6" s="513"/>
      <c r="C6" s="3406" t="s">
        <v>487</v>
      </c>
      <c r="D6" s="3407"/>
      <c r="E6" s="3432" t="s">
        <v>488</v>
      </c>
      <c r="F6" s="3433"/>
      <c r="G6" s="3406" t="s">
        <v>489</v>
      </c>
      <c r="H6" s="3407"/>
      <c r="I6" s="3406" t="s">
        <v>490</v>
      </c>
      <c r="J6" s="3407"/>
      <c r="K6" s="514" t="s">
        <v>491</v>
      </c>
      <c r="L6" s="2133"/>
      <c r="M6" s="2134"/>
      <c r="N6" s="2134"/>
      <c r="O6" s="2134"/>
      <c r="P6" s="3408" t="s">
        <v>492</v>
      </c>
      <c r="Q6" s="3409"/>
      <c r="R6" s="3394" t="s">
        <v>488</v>
      </c>
      <c r="S6" s="3395"/>
      <c r="T6" s="3394" t="s">
        <v>489</v>
      </c>
      <c r="U6" s="3395"/>
      <c r="V6" s="3414" t="s">
        <v>490</v>
      </c>
      <c r="W6" s="3414"/>
      <c r="X6" s="1566"/>
      <c r="Y6" s="3394" t="s">
        <v>492</v>
      </c>
      <c r="Z6" s="3395"/>
      <c r="AA6" s="3389" t="s">
        <v>488</v>
      </c>
      <c r="AB6" s="3390" t="s">
        <v>489</v>
      </c>
      <c r="AC6" s="3389" t="s">
        <v>490</v>
      </c>
    </row>
    <row r="7" spans="1:29">
      <c r="A7" s="515"/>
      <c r="B7" s="516"/>
      <c r="C7" s="3436" t="s">
        <v>2876</v>
      </c>
      <c r="D7" s="3418"/>
      <c r="E7" s="3434" t="s">
        <v>2877</v>
      </c>
      <c r="F7" s="3435"/>
      <c r="G7" s="3436" t="s">
        <v>2878</v>
      </c>
      <c r="H7" s="3418"/>
      <c r="I7" s="3436" t="s">
        <v>2879</v>
      </c>
      <c r="J7" s="3418"/>
      <c r="K7" s="514"/>
      <c r="L7" s="2133"/>
      <c r="M7" s="2134"/>
      <c r="N7" s="2134"/>
      <c r="O7" s="2134"/>
      <c r="P7" s="3410"/>
      <c r="Q7" s="3411"/>
      <c r="R7" s="3396"/>
      <c r="S7" s="3397"/>
      <c r="T7" s="3396"/>
      <c r="U7" s="3397"/>
      <c r="V7" s="3414"/>
      <c r="W7" s="3414"/>
      <c r="X7" s="1566"/>
      <c r="Y7" s="3396"/>
      <c r="Z7" s="3397"/>
      <c r="AA7" s="3390"/>
      <c r="AB7" s="3390"/>
      <c r="AC7" s="3390"/>
    </row>
    <row r="8" spans="1:29" ht="15" thickBot="1">
      <c r="A8" s="517"/>
      <c r="B8" s="518"/>
      <c r="C8" s="3415" t="s">
        <v>2880</v>
      </c>
      <c r="D8" s="3416"/>
      <c r="E8" s="3437" t="s">
        <v>2880</v>
      </c>
      <c r="F8" s="3438"/>
      <c r="G8" s="3415" t="s">
        <v>2880</v>
      </c>
      <c r="H8" s="3416"/>
      <c r="I8" s="3415" t="s">
        <v>2880</v>
      </c>
      <c r="J8" s="3416"/>
      <c r="K8" s="514" t="s">
        <v>493</v>
      </c>
      <c r="L8" s="2133"/>
      <c r="M8" s="2134"/>
      <c r="N8" s="2134"/>
      <c r="O8" s="2134"/>
      <c r="P8" s="3412"/>
      <c r="Q8" s="3413"/>
      <c r="R8" s="3396"/>
      <c r="S8" s="3397"/>
      <c r="T8" s="3398"/>
      <c r="U8" s="3399"/>
      <c r="V8" s="3414"/>
      <c r="W8" s="3414"/>
      <c r="X8" s="1566"/>
      <c r="Y8" s="3398"/>
      <c r="Z8" s="3399"/>
      <c r="AA8" s="3391"/>
      <c r="AB8" s="3391"/>
      <c r="AC8" s="3391"/>
    </row>
    <row r="9" spans="1:29" s="1219" customFormat="1" ht="14.5" thickBot="1">
      <c r="A9" s="2912"/>
      <c r="B9" s="2919" t="s">
        <v>494</v>
      </c>
      <c r="C9" s="519">
        <f>'数据-取费表'!B2</f>
        <v>43899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2" t="s">
        <v>495</v>
      </c>
      <c r="Q9" s="3401"/>
      <c r="R9" s="1567" t="s">
        <v>8</v>
      </c>
      <c r="S9" s="1568">
        <f t="shared" ref="S9:S17" si="0">F9</f>
        <v>0</v>
      </c>
      <c r="T9" s="1567" t="s">
        <v>8</v>
      </c>
      <c r="U9" s="1568">
        <f t="shared" ref="U9:U17" si="1">H9</f>
        <v>0</v>
      </c>
      <c r="V9" s="1567" t="s">
        <v>8</v>
      </c>
      <c r="W9" s="1568">
        <f t="shared" ref="W9:W17" si="2">J9</f>
        <v>0</v>
      </c>
      <c r="X9" s="1569"/>
      <c r="Y9" s="3392" t="s">
        <v>495</v>
      </c>
      <c r="Z9" s="3393"/>
      <c r="AA9" s="1570" t="e">
        <f>D9/F9</f>
        <v>#DIV/0!</v>
      </c>
      <c r="AB9" s="1570" t="e">
        <f>D9/H9</f>
        <v>#DIV/0!</v>
      </c>
      <c r="AC9" s="1570" t="e">
        <f>D9/J9</f>
        <v>#DIV/0!</v>
      </c>
    </row>
    <row r="10" spans="1:29" s="1219" customFormat="1" ht="14.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2" t="s">
        <v>498</v>
      </c>
      <c r="Q10" s="3393"/>
      <c r="R10" s="1567" t="s">
        <v>8</v>
      </c>
      <c r="S10" s="1568">
        <f t="shared" si="0"/>
        <v>0</v>
      </c>
      <c r="T10" s="1567" t="s">
        <v>8</v>
      </c>
      <c r="U10" s="1568">
        <f t="shared" si="1"/>
        <v>0</v>
      </c>
      <c r="V10" s="1567" t="s">
        <v>8</v>
      </c>
      <c r="W10" s="1568">
        <f t="shared" si="2"/>
        <v>0</v>
      </c>
      <c r="X10" s="1569"/>
      <c r="Y10" s="3392" t="s">
        <v>498</v>
      </c>
      <c r="Z10" s="3393"/>
      <c r="AA10" s="1570" t="e">
        <f t="shared" ref="AA10:AA42" si="3">D10/F10</f>
        <v>#DIV/0!</v>
      </c>
      <c r="AB10" s="1570" t="e">
        <f t="shared" ref="AB10:AB42" si="4">D10/H10</f>
        <v>#DIV/0!</v>
      </c>
      <c r="AC10" s="1570" t="e">
        <f t="shared" ref="AC10:AC42" si="5">D10/J10</f>
        <v>#DIV/0!</v>
      </c>
    </row>
    <row r="11" spans="1:29" s="1219" customFormat="1">
      <c r="A11" s="2914"/>
      <c r="B11" s="2921" t="s">
        <v>2715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0" t="s">
        <v>500</v>
      </c>
      <c r="Q11" s="1150" t="str">
        <f t="shared" ref="Q11:Q17" si="6">B11</f>
        <v>用途</v>
      </c>
      <c r="R11" s="1567" t="s">
        <v>8</v>
      </c>
      <c r="S11" s="1568">
        <f t="shared" si="0"/>
        <v>100</v>
      </c>
      <c r="T11" s="1567" t="s">
        <v>8</v>
      </c>
      <c r="U11" s="1568">
        <f t="shared" si="1"/>
        <v>100</v>
      </c>
      <c r="V11" s="1567" t="s">
        <v>8</v>
      </c>
      <c r="W11" s="1568">
        <f t="shared" si="2"/>
        <v>100</v>
      </c>
      <c r="X11" s="1569"/>
      <c r="Y11" s="3357" t="s">
        <v>501</v>
      </c>
      <c r="Z11" s="1149" t="str">
        <f t="shared" ref="Z11:Z17" si="7">Q11</f>
        <v>用途</v>
      </c>
      <c r="AA11" s="1570">
        <f t="shared" si="3"/>
        <v>1</v>
      </c>
      <c r="AB11" s="1570">
        <f t="shared" si="4"/>
        <v>1</v>
      </c>
      <c r="AC11" s="1570">
        <f t="shared" si="5"/>
        <v>1</v>
      </c>
    </row>
    <row r="12" spans="1:29" s="1337" customFormat="1" ht="28">
      <c r="A12" s="2915"/>
      <c r="B12" s="2920" t="s">
        <v>2716</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400"/>
      <c r="Q12" s="1150" t="str">
        <f t="shared" si="6"/>
        <v>土地使用年限（年）</v>
      </c>
      <c r="R12" s="1567" t="s">
        <v>8</v>
      </c>
      <c r="S12" s="1568">
        <f t="shared" si="0"/>
        <v>101</v>
      </c>
      <c r="T12" s="1567" t="s">
        <v>8</v>
      </c>
      <c r="U12" s="1568">
        <f t="shared" si="1"/>
        <v>101</v>
      </c>
      <c r="V12" s="1567" t="s">
        <v>8</v>
      </c>
      <c r="W12" s="1568">
        <f t="shared" si="2"/>
        <v>101</v>
      </c>
      <c r="X12" s="1569"/>
      <c r="Y12" s="3357"/>
      <c r="Z12" s="1149" t="str">
        <f t="shared" si="7"/>
        <v>土地使用年限（年）</v>
      </c>
      <c r="AA12" s="1570">
        <f t="shared" si="3"/>
        <v>0.99009900990099009</v>
      </c>
      <c r="AB12" s="1570">
        <f t="shared" si="4"/>
        <v>0.99009900990099009</v>
      </c>
      <c r="AC12" s="1570">
        <f t="shared" si="5"/>
        <v>0.99009900990099009</v>
      </c>
    </row>
    <row r="13" spans="1:29" ht="15.5">
      <c r="A13" s="2916"/>
      <c r="B13" s="2920" t="s">
        <v>2717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0"/>
      <c r="Q13" s="1150" t="str">
        <f t="shared" si="6"/>
        <v>容积率</v>
      </c>
      <c r="R13" s="1567" t="s">
        <v>8</v>
      </c>
      <c r="S13" s="1568" t="e">
        <f t="shared" si="0"/>
        <v>#N/A</v>
      </c>
      <c r="T13" s="1567" t="s">
        <v>8</v>
      </c>
      <c r="U13" s="1568" t="e">
        <f t="shared" si="1"/>
        <v>#N/A</v>
      </c>
      <c r="V13" s="1567" t="s">
        <v>8</v>
      </c>
      <c r="W13" s="1568" t="e">
        <f t="shared" si="2"/>
        <v>#N/A</v>
      </c>
      <c r="X13" s="1569"/>
      <c r="Y13" s="3357"/>
      <c r="Z13" s="1149" t="str">
        <f t="shared" si="7"/>
        <v>容积率</v>
      </c>
      <c r="AA13" s="1570" t="e">
        <f t="shared" si="3"/>
        <v>#N/A</v>
      </c>
      <c r="AB13" s="1570" t="e">
        <f t="shared" si="4"/>
        <v>#N/A</v>
      </c>
      <c r="AC13" s="1570" t="e">
        <f t="shared" si="5"/>
        <v>#N/A</v>
      </c>
    </row>
    <row r="14" spans="1:29" s="1219" customFormat="1" ht="15.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D14/F14</f>
        <v>1</v>
      </c>
      <c r="AB14" s="1570">
        <f>D14/H14</f>
        <v>1</v>
      </c>
      <c r="AC14" s="1570">
        <f>D14/J14</f>
        <v>1</v>
      </c>
    </row>
    <row r="15" spans="1:29" ht="15.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0"/>
      <c r="Q15" s="1150">
        <f t="shared" si="6"/>
        <v>111</v>
      </c>
      <c r="R15" s="1567" t="s">
        <v>8</v>
      </c>
      <c r="S15" s="1568">
        <f t="shared" si="0"/>
        <v>100</v>
      </c>
      <c r="T15" s="1567" t="s">
        <v>8</v>
      </c>
      <c r="U15" s="1568">
        <f t="shared" si="1"/>
        <v>100</v>
      </c>
      <c r="V15" s="1567" t="s">
        <v>8</v>
      </c>
      <c r="W15" s="1568">
        <f t="shared" si="2"/>
        <v>100</v>
      </c>
      <c r="X15" s="1569"/>
      <c r="Y15" s="3357"/>
      <c r="Z15" s="1149">
        <f t="shared" si="7"/>
        <v>111</v>
      </c>
      <c r="AA15" s="1570">
        <f t="shared" si="3"/>
        <v>1</v>
      </c>
      <c r="AB15" s="1570">
        <f t="shared" si="4"/>
        <v>1</v>
      </c>
      <c r="AC15" s="1570">
        <f t="shared" si="5"/>
        <v>1</v>
      </c>
    </row>
    <row r="16" spans="1:29" ht="1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0"/>
      <c r="Q16" s="1150">
        <f t="shared" si="6"/>
        <v>111</v>
      </c>
      <c r="R16" s="1567" t="s">
        <v>8</v>
      </c>
      <c r="S16" s="1568">
        <f t="shared" si="0"/>
        <v>100</v>
      </c>
      <c r="T16" s="1567" t="s">
        <v>8</v>
      </c>
      <c r="U16" s="1568">
        <f t="shared" si="1"/>
        <v>100</v>
      </c>
      <c r="V16" s="1567" t="s">
        <v>8</v>
      </c>
      <c r="W16" s="1568">
        <f t="shared" si="2"/>
        <v>100</v>
      </c>
      <c r="X16" s="1569"/>
      <c r="Y16" s="3357"/>
      <c r="Z16" s="1149">
        <f t="shared" si="7"/>
        <v>111</v>
      </c>
      <c r="AA16" s="1570">
        <f t="shared" si="3"/>
        <v>1</v>
      </c>
      <c r="AB16" s="1570">
        <f t="shared" si="4"/>
        <v>1</v>
      </c>
      <c r="AC16" s="1570">
        <f t="shared" si="5"/>
        <v>1</v>
      </c>
    </row>
    <row r="17" spans="1:29" ht="15.5">
      <c r="A17" s="2910" t="s">
        <v>2713</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2" t="s">
        <v>505</v>
      </c>
      <c r="Q17" s="1571" t="str">
        <f t="shared" si="6"/>
        <v>产业集聚程度</v>
      </c>
      <c r="R17" s="1572" t="s">
        <v>8</v>
      </c>
      <c r="S17" s="1573">
        <f t="shared" si="0"/>
        <v>100</v>
      </c>
      <c r="T17" s="1572" t="s">
        <v>8</v>
      </c>
      <c r="U17" s="1573">
        <f t="shared" si="1"/>
        <v>100</v>
      </c>
      <c r="V17" s="1572" t="s">
        <v>8</v>
      </c>
      <c r="W17" s="1573">
        <f t="shared" si="2"/>
        <v>100</v>
      </c>
      <c r="X17" s="1566"/>
      <c r="Y17" s="3402" t="s">
        <v>505</v>
      </c>
      <c r="Z17" s="1574" t="str">
        <f t="shared" si="7"/>
        <v>产业集聚程度</v>
      </c>
      <c r="AA17" s="1575">
        <f t="shared" si="3"/>
        <v>1</v>
      </c>
      <c r="AB17" s="1575">
        <f t="shared" si="4"/>
        <v>1</v>
      </c>
      <c r="AC17" s="1575">
        <f t="shared" si="5"/>
        <v>1</v>
      </c>
    </row>
    <row r="18" spans="1:29" ht="15.5">
      <c r="A18" s="532"/>
      <c r="B18" s="869"/>
      <c r="C18" s="576"/>
      <c r="D18" s="555"/>
      <c r="E18" s="554"/>
      <c r="F18" s="555"/>
      <c r="G18" s="554"/>
      <c r="H18" s="559"/>
      <c r="I18" s="554"/>
      <c r="J18" s="555"/>
      <c r="K18" s="531"/>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3"/>
      <c r="Q19" s="1571" t="str">
        <f>B19</f>
        <v>交通便捷度</v>
      </c>
      <c r="R19" s="1572" t="s">
        <v>8</v>
      </c>
      <c r="S19" s="1573">
        <f>F19</f>
        <v>100</v>
      </c>
      <c r="T19" s="1572" t="s">
        <v>8</v>
      </c>
      <c r="U19" s="1573">
        <f>H19</f>
        <v>100</v>
      </c>
      <c r="V19" s="1572" t="s">
        <v>8</v>
      </c>
      <c r="W19" s="1573">
        <f>J19</f>
        <v>100</v>
      </c>
      <c r="X19" s="1566"/>
      <c r="Y19" s="3403"/>
      <c r="Z19" s="1574" t="str">
        <f>Q19</f>
        <v>交通便捷度</v>
      </c>
      <c r="AA19" s="1575">
        <f t="shared" si="3"/>
        <v>1</v>
      </c>
      <c r="AB19" s="1575">
        <f t="shared" si="4"/>
        <v>1</v>
      </c>
      <c r="AC19" s="1575">
        <f t="shared" si="5"/>
        <v>1</v>
      </c>
    </row>
    <row r="20" spans="1:29" ht="15.5">
      <c r="A20" s="532"/>
      <c r="B20" s="922"/>
      <c r="C20" s="576"/>
      <c r="D20" s="555"/>
      <c r="E20" s="556"/>
      <c r="F20" s="555"/>
      <c r="G20" s="556"/>
      <c r="H20" s="555"/>
      <c r="I20" s="558"/>
      <c r="J20" s="555"/>
      <c r="K20" s="531"/>
      <c r="L20" s="2142"/>
      <c r="M20" s="2134"/>
      <c r="N20" s="2134"/>
      <c r="O20" s="2141"/>
      <c r="P20" s="3403"/>
      <c r="Q20" s="1571"/>
      <c r="R20" s="1572"/>
      <c r="S20" s="1573"/>
      <c r="T20" s="1572"/>
      <c r="U20" s="1573"/>
      <c r="V20" s="1572"/>
      <c r="W20" s="1573"/>
      <c r="X20" s="1566"/>
      <c r="Y20" s="3403"/>
      <c r="Z20" s="1574"/>
      <c r="AA20" s="1575">
        <v>1</v>
      </c>
      <c r="AB20" s="1575">
        <v>1</v>
      </c>
      <c r="AC20" s="1575">
        <v>1</v>
      </c>
    </row>
    <row r="21" spans="1:29" ht="28">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3"/>
      <c r="Q21" s="1571" t="str">
        <f t="shared" ref="Q21:Q35" si="8">B21</f>
        <v>区域土地利用方向</v>
      </c>
      <c r="R21" s="1572" t="s">
        <v>8</v>
      </c>
      <c r="S21" s="1573">
        <f>F21</f>
        <v>100</v>
      </c>
      <c r="T21" s="1572" t="s">
        <v>8</v>
      </c>
      <c r="U21" s="1573">
        <f>H21</f>
        <v>100</v>
      </c>
      <c r="V21" s="1572" t="s">
        <v>8</v>
      </c>
      <c r="W21" s="1573">
        <f>J21</f>
        <v>100</v>
      </c>
      <c r="X21" s="1566"/>
      <c r="Y21" s="3403"/>
      <c r="Z21" s="1574" t="str">
        <f>Q21</f>
        <v>区域土地利用方向</v>
      </c>
      <c r="AA21" s="1575">
        <f t="shared" si="3"/>
        <v>1</v>
      </c>
      <c r="AB21" s="1575">
        <f t="shared" si="4"/>
        <v>1</v>
      </c>
      <c r="AC21" s="1575">
        <f t="shared" si="5"/>
        <v>1</v>
      </c>
    </row>
    <row r="22" spans="1:29" ht="15.5">
      <c r="A22" s="515"/>
      <c r="B22" s="595"/>
      <c r="C22" s="576"/>
      <c r="D22" s="555"/>
      <c r="E22" s="556"/>
      <c r="F22" s="557"/>
      <c r="G22" s="558"/>
      <c r="H22" s="557"/>
      <c r="I22" s="558"/>
      <c r="J22" s="557"/>
      <c r="K22" s="1347"/>
      <c r="L22" s="2142"/>
      <c r="M22" s="2134"/>
      <c r="N22" s="2134"/>
      <c r="O22" s="2141"/>
      <c r="P22" s="3403"/>
      <c r="Q22" s="1571"/>
      <c r="R22" s="1572"/>
      <c r="S22" s="1573"/>
      <c r="T22" s="1572"/>
      <c r="U22" s="1573"/>
      <c r="V22" s="1572"/>
      <c r="W22" s="1573"/>
      <c r="X22" s="1566"/>
      <c r="Y22" s="3403"/>
      <c r="Z22" s="1574"/>
      <c r="AA22" s="1575"/>
      <c r="AB22" s="1575"/>
      <c r="AC22" s="1575"/>
    </row>
    <row r="23" spans="1:29" ht="15.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3"/>
      <c r="Q23" s="1571" t="str">
        <f t="shared" si="8"/>
        <v>环境状况</v>
      </c>
      <c r="R23" s="1572" t="s">
        <v>8</v>
      </c>
      <c r="S23" s="1573">
        <f>F23</f>
        <v>100</v>
      </c>
      <c r="T23" s="1572" t="s">
        <v>8</v>
      </c>
      <c r="U23" s="1573">
        <f>H23</f>
        <v>100</v>
      </c>
      <c r="V23" s="1572" t="s">
        <v>8</v>
      </c>
      <c r="W23" s="1573">
        <f>J23</f>
        <v>100</v>
      </c>
      <c r="X23" s="1566"/>
      <c r="Y23" s="3403"/>
      <c r="Z23" s="1574" t="str">
        <f>Q23</f>
        <v>环境状况</v>
      </c>
      <c r="AA23" s="1575">
        <f t="shared" si="3"/>
        <v>1</v>
      </c>
      <c r="AB23" s="1575">
        <f t="shared" si="4"/>
        <v>1</v>
      </c>
      <c r="AC23" s="1575">
        <f t="shared" si="5"/>
        <v>1</v>
      </c>
    </row>
    <row r="24" spans="1:29" ht="15.5">
      <c r="A24" s="515"/>
      <c r="B24" s="595"/>
      <c r="C24" s="576"/>
      <c r="D24" s="555"/>
      <c r="E24" s="554"/>
      <c r="F24" s="555"/>
      <c r="G24" s="554"/>
      <c r="H24" s="555"/>
      <c r="I24" s="576"/>
      <c r="J24" s="555"/>
      <c r="K24" s="531"/>
      <c r="L24" s="2142"/>
      <c r="M24" s="2134"/>
      <c r="N24" s="2134"/>
      <c r="O24" s="2141"/>
      <c r="P24" s="3403"/>
      <c r="Q24" s="1571"/>
      <c r="R24" s="1572"/>
      <c r="S24" s="1573"/>
      <c r="T24" s="1572"/>
      <c r="U24" s="1573"/>
      <c r="V24" s="1572"/>
      <c r="W24" s="1573"/>
      <c r="X24" s="1566"/>
      <c r="Y24" s="3403"/>
      <c r="Z24" s="1574"/>
      <c r="AA24" s="1575">
        <v>1</v>
      </c>
      <c r="AB24" s="1575">
        <v>1</v>
      </c>
      <c r="AC24" s="1575">
        <v>1</v>
      </c>
    </row>
    <row r="25" spans="1:29" s="1219" customFormat="1" ht="15.5">
      <c r="A25" s="577"/>
      <c r="B25" s="2593" t="s">
        <v>2507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3"/>
      <c r="Q25" s="1150" t="str">
        <f t="shared" si="8"/>
        <v>公共配套设施</v>
      </c>
      <c r="R25" s="1567" t="s">
        <v>8</v>
      </c>
      <c r="S25" s="1568">
        <f>F25</f>
        <v>100</v>
      </c>
      <c r="T25" s="1567" t="s">
        <v>8</v>
      </c>
      <c r="U25" s="1568">
        <f>H25</f>
        <v>100</v>
      </c>
      <c r="V25" s="1567" t="s">
        <v>8</v>
      </c>
      <c r="W25" s="1568">
        <f>J25</f>
        <v>100</v>
      </c>
      <c r="X25" s="1569"/>
      <c r="Y25" s="3403"/>
      <c r="Z25" s="1149" t="str">
        <f>Q25</f>
        <v>公共配套设施</v>
      </c>
      <c r="AA25" s="1575">
        <f>D25/F25</f>
        <v>1</v>
      </c>
      <c r="AB25" s="1575">
        <f>D25/H25</f>
        <v>1</v>
      </c>
      <c r="AC25" s="1575">
        <f>D25/J25</f>
        <v>1</v>
      </c>
    </row>
    <row r="26" spans="1:29" s="1219" customFormat="1" ht="15.5">
      <c r="A26" s="577"/>
      <c r="B26" s="595"/>
      <c r="C26" s="2592"/>
      <c r="D26" s="555"/>
      <c r="E26" s="554"/>
      <c r="F26" s="555"/>
      <c r="G26" s="554"/>
      <c r="H26" s="555"/>
      <c r="I26" s="576"/>
      <c r="J26" s="555"/>
      <c r="K26" s="531"/>
      <c r="L26" s="2135"/>
      <c r="M26" s="2136"/>
      <c r="N26" s="2136"/>
      <c r="O26" s="2137"/>
      <c r="P26" s="3403"/>
      <c r="Q26" s="1150"/>
      <c r="R26" s="1567"/>
      <c r="S26" s="1568"/>
      <c r="T26" s="1567"/>
      <c r="U26" s="1568"/>
      <c r="V26" s="1567"/>
      <c r="W26" s="1568"/>
      <c r="X26" s="1569"/>
      <c r="Y26" s="3403"/>
      <c r="Z26" s="1149"/>
      <c r="AA26" s="1570">
        <v>1</v>
      </c>
      <c r="AB26" s="1570">
        <v>1</v>
      </c>
      <c r="AC26" s="1570">
        <v>1</v>
      </c>
    </row>
    <row r="27" spans="1:29" s="1219" customFormat="1" ht="15.5">
      <c r="A27" s="577"/>
      <c r="B27" s="2593" t="s">
        <v>2508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3"/>
      <c r="Q27" s="2578" t="str">
        <f t="shared" ref="Q27" si="9">B27</f>
        <v>基础设施水平</v>
      </c>
      <c r="R27" s="1567" t="s">
        <v>8</v>
      </c>
      <c r="S27" s="1568">
        <f>F27</f>
        <v>100</v>
      </c>
      <c r="T27" s="1567" t="s">
        <v>8</v>
      </c>
      <c r="U27" s="1568">
        <f>H27</f>
        <v>100</v>
      </c>
      <c r="V27" s="1567" t="s">
        <v>8</v>
      </c>
      <c r="W27" s="1568">
        <f>J27</f>
        <v>100</v>
      </c>
      <c r="X27" s="1569"/>
      <c r="Y27" s="3403"/>
      <c r="Z27" s="2575" t="str">
        <f>Q27</f>
        <v>基础设施水平</v>
      </c>
      <c r="AA27" s="1575">
        <f>D27/F27</f>
        <v>1</v>
      </c>
      <c r="AB27" s="1575">
        <f>D27/H27</f>
        <v>1</v>
      </c>
      <c r="AC27" s="1575">
        <f>D27/J27</f>
        <v>1</v>
      </c>
    </row>
    <row r="28" spans="1:29" s="1219" customFormat="1" ht="15.5">
      <c r="A28" s="577"/>
      <c r="B28" s="595"/>
      <c r="C28" s="2592"/>
      <c r="D28" s="555"/>
      <c r="E28" s="579"/>
      <c r="F28" s="555"/>
      <c r="G28" s="579"/>
      <c r="H28" s="555"/>
      <c r="I28" s="579"/>
      <c r="J28" s="555"/>
      <c r="K28" s="531"/>
      <c r="L28" s="2135"/>
      <c r="M28" s="2136"/>
      <c r="N28" s="2136"/>
      <c r="O28" s="2137"/>
      <c r="P28" s="3403"/>
      <c r="Q28" s="2578"/>
      <c r="R28" s="1567"/>
      <c r="S28" s="1568"/>
      <c r="T28" s="1567"/>
      <c r="U28" s="1568"/>
      <c r="V28" s="1567"/>
      <c r="W28" s="1568"/>
      <c r="X28" s="1569"/>
      <c r="Y28" s="3403"/>
      <c r="Z28" s="2575"/>
      <c r="AA28" s="1570">
        <v>1</v>
      </c>
      <c r="AB28" s="1570">
        <v>1</v>
      </c>
      <c r="AC28" s="1570">
        <v>1</v>
      </c>
    </row>
    <row r="29" spans="1:29" ht="15.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3"/>
      <c r="Z29" s="1574" t="str">
        <f t="shared" ref="Z29:Z42" si="13">Q29</f>
        <v>临街状况</v>
      </c>
      <c r="AA29" s="1575">
        <f t="shared" si="3"/>
        <v>1</v>
      </c>
      <c r="AB29" s="1575">
        <f t="shared" si="4"/>
        <v>1</v>
      </c>
      <c r="AC29" s="1575">
        <f t="shared" si="5"/>
        <v>1</v>
      </c>
    </row>
    <row r="30" spans="1:29" ht="28">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3"/>
      <c r="Q30" s="1571" t="str">
        <f t="shared" si="8"/>
        <v>毗邻道路的类型与等级</v>
      </c>
      <c r="R30" s="1572" t="s">
        <v>8</v>
      </c>
      <c r="S30" s="1573">
        <f t="shared" si="10"/>
        <v>100</v>
      </c>
      <c r="T30" s="1572" t="s">
        <v>8</v>
      </c>
      <c r="U30" s="1573">
        <f t="shared" si="11"/>
        <v>100</v>
      </c>
      <c r="V30" s="1572" t="s">
        <v>8</v>
      </c>
      <c r="W30" s="1573">
        <f t="shared" si="12"/>
        <v>100</v>
      </c>
      <c r="X30" s="1566"/>
      <c r="Y30" s="3403"/>
      <c r="Z30" s="1574" t="str">
        <f t="shared" si="13"/>
        <v>毗邻道路的类型与等级</v>
      </c>
      <c r="AA30" s="1575">
        <f t="shared" si="3"/>
        <v>1</v>
      </c>
      <c r="AB30" s="1575">
        <f t="shared" si="4"/>
        <v>1</v>
      </c>
      <c r="AC30" s="1575">
        <f t="shared" si="5"/>
        <v>1</v>
      </c>
    </row>
    <row r="31" spans="1:29" ht="15.5">
      <c r="A31" s="532"/>
      <c r="B31" s="595"/>
      <c r="C31" s="576"/>
      <c r="D31" s="555"/>
      <c r="E31" s="576"/>
      <c r="F31" s="555"/>
      <c r="G31" s="576"/>
      <c r="H31" s="555"/>
      <c r="I31" s="576"/>
      <c r="J31" s="555"/>
      <c r="K31" s="581"/>
      <c r="L31" s="2142"/>
      <c r="M31" s="2134"/>
      <c r="N31" s="2134"/>
      <c r="O31" s="2141"/>
      <c r="P31" s="3403"/>
      <c r="Q31" s="1571"/>
      <c r="R31" s="1572"/>
      <c r="S31" s="1573"/>
      <c r="T31" s="1572"/>
      <c r="U31" s="1573"/>
      <c r="V31" s="1572"/>
      <c r="W31" s="1573"/>
      <c r="X31" s="1566"/>
      <c r="Y31" s="3403"/>
      <c r="Z31" s="1574"/>
      <c r="AA31" s="1575">
        <v>1</v>
      </c>
      <c r="AB31" s="1575">
        <v>1</v>
      </c>
      <c r="AC31" s="1575">
        <v>1</v>
      </c>
    </row>
    <row r="32" spans="1:29" ht="15.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3"/>
      <c r="Q32" s="1571" t="str">
        <f t="shared" si="8"/>
        <v>土地级别</v>
      </c>
      <c r="R32" s="1572" t="s">
        <v>8</v>
      </c>
      <c r="S32" s="1573">
        <f t="shared" si="10"/>
        <v>100</v>
      </c>
      <c r="T32" s="1572" t="s">
        <v>8</v>
      </c>
      <c r="U32" s="1573">
        <f t="shared" si="11"/>
        <v>100</v>
      </c>
      <c r="V32" s="1572" t="s">
        <v>8</v>
      </c>
      <c r="W32" s="1573">
        <f t="shared" si="12"/>
        <v>100</v>
      </c>
      <c r="X32" s="1566"/>
      <c r="Y32" s="3403"/>
      <c r="Z32" s="1574" t="str">
        <f t="shared" si="13"/>
        <v>土地级别</v>
      </c>
      <c r="AA32" s="1575">
        <f t="shared" si="3"/>
        <v>1</v>
      </c>
      <c r="AB32" s="1575">
        <f t="shared" si="4"/>
        <v>1</v>
      </c>
      <c r="AC32" s="1575">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3"/>
      <c r="Q33" s="1571">
        <f t="shared" si="8"/>
        <v>111</v>
      </c>
      <c r="R33" s="1572" t="s">
        <v>8</v>
      </c>
      <c r="S33" s="1573">
        <f t="shared" si="10"/>
        <v>100</v>
      </c>
      <c r="T33" s="1572" t="s">
        <v>8</v>
      </c>
      <c r="U33" s="1573">
        <f t="shared" si="11"/>
        <v>100</v>
      </c>
      <c r="V33" s="1572" t="s">
        <v>8</v>
      </c>
      <c r="W33" s="1573">
        <f t="shared" si="12"/>
        <v>100</v>
      </c>
      <c r="X33" s="1566"/>
      <c r="Y33" s="3403"/>
      <c r="Z33" s="1574">
        <f t="shared" si="13"/>
        <v>111</v>
      </c>
      <c r="AA33" s="1575">
        <f t="shared" si="3"/>
        <v>1</v>
      </c>
      <c r="AB33" s="1575">
        <f t="shared" si="4"/>
        <v>1</v>
      </c>
      <c r="AC33" s="1575">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4" t="s">
        <v>515</v>
      </c>
      <c r="Q34" s="1571">
        <f t="shared" si="8"/>
        <v>111</v>
      </c>
      <c r="R34" s="1572" t="s">
        <v>8</v>
      </c>
      <c r="S34" s="1573">
        <f t="shared" si="10"/>
        <v>100</v>
      </c>
      <c r="T34" s="1572" t="s">
        <v>8</v>
      </c>
      <c r="U34" s="1573">
        <f t="shared" si="11"/>
        <v>100</v>
      </c>
      <c r="V34" s="1572" t="s">
        <v>8</v>
      </c>
      <c r="W34" s="1573">
        <f t="shared" si="12"/>
        <v>100</v>
      </c>
      <c r="X34" s="1566"/>
      <c r="Y34" s="3405" t="s">
        <v>515</v>
      </c>
      <c r="Z34" s="1574">
        <f t="shared" si="13"/>
        <v>111</v>
      </c>
      <c r="AA34" s="1575">
        <f t="shared" si="3"/>
        <v>1</v>
      </c>
      <c r="AB34" s="1575">
        <f t="shared" si="4"/>
        <v>1</v>
      </c>
      <c r="AC34" s="1575">
        <f t="shared" si="5"/>
        <v>1</v>
      </c>
    </row>
    <row r="35" spans="1:29" s="1338" customFormat="1" ht="1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5"/>
      <c r="Q35" s="1571">
        <f t="shared" si="8"/>
        <v>111</v>
      </c>
      <c r="R35" s="1576" t="s">
        <v>8</v>
      </c>
      <c r="S35" s="1577">
        <f t="shared" si="10"/>
        <v>100</v>
      </c>
      <c r="T35" s="1576" t="s">
        <v>8</v>
      </c>
      <c r="U35" s="1577">
        <f t="shared" si="11"/>
        <v>100</v>
      </c>
      <c r="V35" s="1576" t="s">
        <v>8</v>
      </c>
      <c r="W35" s="1577">
        <f t="shared" si="12"/>
        <v>100</v>
      </c>
      <c r="X35" s="1578"/>
      <c r="Y35" s="3405"/>
      <c r="Z35" s="1579">
        <f t="shared" si="13"/>
        <v>111</v>
      </c>
      <c r="AA35" s="1575">
        <f t="shared" si="3"/>
        <v>1</v>
      </c>
      <c r="AB35" s="1575">
        <f t="shared" si="4"/>
        <v>1</v>
      </c>
      <c r="AC35" s="1575">
        <f t="shared" si="5"/>
        <v>1</v>
      </c>
    </row>
    <row r="36" spans="1:29" ht="15.5">
      <c r="A36" s="2907" t="s">
        <v>2714</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5"/>
      <c r="Q36" s="1571" t="str">
        <f>B36</f>
        <v>宗地面积</v>
      </c>
      <c r="R36" s="1572" t="s">
        <v>8</v>
      </c>
      <c r="S36" s="1573" t="e">
        <f t="shared" si="10"/>
        <v>#N/A</v>
      </c>
      <c r="T36" s="1572" t="s">
        <v>8</v>
      </c>
      <c r="U36" s="1573" t="e">
        <f t="shared" si="11"/>
        <v>#N/A</v>
      </c>
      <c r="V36" s="1572" t="s">
        <v>8</v>
      </c>
      <c r="W36" s="1573" t="e">
        <f t="shared" si="12"/>
        <v>#N/A</v>
      </c>
      <c r="X36" s="1566"/>
      <c r="Y36" s="3405"/>
      <c r="Z36" s="1574" t="str">
        <f t="shared" si="13"/>
        <v>宗地面积</v>
      </c>
      <c r="AA36" s="1575" t="e">
        <f t="shared" si="3"/>
        <v>#N/A</v>
      </c>
      <c r="AB36" s="1575" t="e">
        <f t="shared" si="4"/>
        <v>#N/A</v>
      </c>
      <c r="AC36" s="1575" t="e">
        <f t="shared" si="5"/>
        <v>#N/A</v>
      </c>
    </row>
    <row r="37" spans="1:29" ht="15.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5"/>
      <c r="Q37" s="1571" t="str">
        <f t="shared" ref="Q37:Q42" si="14">B37</f>
        <v>宗地形状</v>
      </c>
      <c r="R37" s="1572" t="s">
        <v>8</v>
      </c>
      <c r="S37" s="1573">
        <f t="shared" si="10"/>
        <v>100</v>
      </c>
      <c r="T37" s="1572" t="s">
        <v>8</v>
      </c>
      <c r="U37" s="1573">
        <f t="shared" si="11"/>
        <v>100</v>
      </c>
      <c r="V37" s="1572" t="s">
        <v>8</v>
      </c>
      <c r="W37" s="1573">
        <f t="shared" si="12"/>
        <v>100</v>
      </c>
      <c r="X37" s="1566"/>
      <c r="Y37" s="3405"/>
      <c r="Z37" s="1574" t="str">
        <f t="shared" si="13"/>
        <v>宗地形状</v>
      </c>
      <c r="AA37" s="1575">
        <f t="shared" si="3"/>
        <v>1</v>
      </c>
      <c r="AB37" s="1575">
        <f t="shared" si="4"/>
        <v>1</v>
      </c>
      <c r="AC37" s="1575">
        <f t="shared" si="5"/>
        <v>1</v>
      </c>
    </row>
    <row r="38" spans="1:29" s="1219" customFormat="1" ht="15.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5"/>
      <c r="Q38" s="1571" t="str">
        <f t="shared" si="14"/>
        <v>宗地开发程度</v>
      </c>
      <c r="R38" s="1567" t="s">
        <v>8</v>
      </c>
      <c r="S38" s="1568">
        <f t="shared" si="10"/>
        <v>100</v>
      </c>
      <c r="T38" s="1567" t="s">
        <v>8</v>
      </c>
      <c r="U38" s="1568">
        <f t="shared" si="11"/>
        <v>100</v>
      </c>
      <c r="V38" s="1567" t="s">
        <v>8</v>
      </c>
      <c r="W38" s="1568">
        <f t="shared" si="12"/>
        <v>100</v>
      </c>
      <c r="X38" s="1569"/>
      <c r="Y38" s="3405"/>
      <c r="Z38" s="1149" t="str">
        <f t="shared" si="13"/>
        <v>宗地开发程度</v>
      </c>
      <c r="AA38" s="1570">
        <f t="shared" si="3"/>
        <v>1</v>
      </c>
      <c r="AB38" s="1570">
        <f t="shared" si="4"/>
        <v>1</v>
      </c>
      <c r="AC38" s="1570">
        <f t="shared" si="5"/>
        <v>1</v>
      </c>
    </row>
    <row r="39" spans="1:29" ht="15.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5" t="s">
        <v>566</v>
      </c>
      <c r="Q39" s="1571" t="str">
        <f t="shared" si="14"/>
        <v>工程地质条件</v>
      </c>
      <c r="R39" s="1572" t="s">
        <v>8</v>
      </c>
      <c r="S39" s="1573">
        <f t="shared" si="10"/>
        <v>100</v>
      </c>
      <c r="T39" s="1572" t="s">
        <v>8</v>
      </c>
      <c r="U39" s="1573">
        <f t="shared" si="11"/>
        <v>100</v>
      </c>
      <c r="V39" s="1572" t="s">
        <v>8</v>
      </c>
      <c r="W39" s="1573">
        <f t="shared" si="12"/>
        <v>100</v>
      </c>
      <c r="X39" s="1566"/>
      <c r="Y39" s="3405" t="s">
        <v>566</v>
      </c>
      <c r="Z39" s="1574" t="str">
        <f t="shared" si="13"/>
        <v>工程地质条件</v>
      </c>
      <c r="AA39" s="1575">
        <f t="shared" si="3"/>
        <v>1</v>
      </c>
      <c r="AB39" s="1575">
        <f t="shared" si="4"/>
        <v>1</v>
      </c>
      <c r="AC39" s="1575">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5"/>
      <c r="Q40" s="1571">
        <f t="shared" si="14"/>
        <v>111</v>
      </c>
      <c r="R40" s="1572" t="s">
        <v>8</v>
      </c>
      <c r="S40" s="1573">
        <f t="shared" si="10"/>
        <v>100</v>
      </c>
      <c r="T40" s="1572" t="s">
        <v>8</v>
      </c>
      <c r="U40" s="1573">
        <f t="shared" si="11"/>
        <v>100</v>
      </c>
      <c r="V40" s="1572" t="s">
        <v>8</v>
      </c>
      <c r="W40" s="1573">
        <f t="shared" si="12"/>
        <v>100</v>
      </c>
      <c r="X40" s="1566"/>
      <c r="Y40" s="3405"/>
      <c r="Z40" s="1574">
        <f t="shared" si="13"/>
        <v>111</v>
      </c>
      <c r="AA40" s="1575">
        <f t="shared" si="3"/>
        <v>1</v>
      </c>
      <c r="AB40" s="1575">
        <f t="shared" si="4"/>
        <v>1</v>
      </c>
      <c r="AC40" s="1575">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5"/>
      <c r="Q41" s="1571">
        <f t="shared" si="14"/>
        <v>111</v>
      </c>
      <c r="R41" s="1572" t="s">
        <v>8</v>
      </c>
      <c r="S41" s="1573">
        <f t="shared" si="10"/>
        <v>100</v>
      </c>
      <c r="T41" s="1572" t="s">
        <v>8</v>
      </c>
      <c r="U41" s="1573">
        <f t="shared" si="11"/>
        <v>100</v>
      </c>
      <c r="V41" s="1572" t="s">
        <v>8</v>
      </c>
      <c r="W41" s="1573">
        <f t="shared" si="12"/>
        <v>100</v>
      </c>
      <c r="X41" s="1566"/>
      <c r="Y41" s="3405"/>
      <c r="Z41" s="1574">
        <f t="shared" si="13"/>
        <v>111</v>
      </c>
      <c r="AA41" s="1575">
        <f t="shared" si="3"/>
        <v>1</v>
      </c>
      <c r="AB41" s="1575">
        <f t="shared" si="4"/>
        <v>1</v>
      </c>
      <c r="AC41" s="1575">
        <f t="shared" si="5"/>
        <v>1</v>
      </c>
    </row>
    <row r="42" spans="1:29" s="1338"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5"/>
      <c r="Q42" s="1571">
        <f t="shared" si="14"/>
        <v>111</v>
      </c>
      <c r="R42" s="1576" t="s">
        <v>8</v>
      </c>
      <c r="S42" s="1577">
        <f t="shared" si="10"/>
        <v>100</v>
      </c>
      <c r="T42" s="1576" t="s">
        <v>8</v>
      </c>
      <c r="U42" s="1577">
        <f t="shared" si="11"/>
        <v>100</v>
      </c>
      <c r="V42" s="1576" t="s">
        <v>8</v>
      </c>
      <c r="W42" s="1577">
        <f t="shared" si="12"/>
        <v>100</v>
      </c>
      <c r="X42" s="1578"/>
      <c r="Y42" s="3405"/>
      <c r="Z42" s="1579">
        <f t="shared" si="13"/>
        <v>111</v>
      </c>
      <c r="AA42" s="1575">
        <f t="shared" si="3"/>
        <v>1</v>
      </c>
      <c r="AB42" s="1575">
        <f t="shared" si="4"/>
        <v>1</v>
      </c>
      <c r="AC42" s="1575">
        <f t="shared" si="5"/>
        <v>1</v>
      </c>
    </row>
    <row r="43" spans="1:29">
      <c r="A43" s="607" t="s">
        <v>521</v>
      </c>
      <c r="B43" s="608" t="s">
        <v>2881</v>
      </c>
      <c r="C43" s="609" t="s">
        <v>1</v>
      </c>
      <c r="D43" s="610"/>
      <c r="E43" s="611"/>
      <c r="F43" s="612"/>
      <c r="G43" s="613"/>
      <c r="H43" s="614"/>
      <c r="I43" s="611"/>
      <c r="J43" s="614"/>
      <c r="K43" s="1339"/>
      <c r="L43" s="2144"/>
      <c r="M43" s="2134"/>
      <c r="N43" s="2134"/>
      <c r="O43" s="2145"/>
      <c r="P43" s="3400" t="str">
        <f>A43</f>
        <v>成交单价</v>
      </c>
      <c r="Q43" s="3400"/>
      <c r="R43" s="3414">
        <f>E43</f>
        <v>0</v>
      </c>
      <c r="S43" s="3414"/>
      <c r="T43" s="3414">
        <f>G43</f>
        <v>0</v>
      </c>
      <c r="U43" s="3414"/>
      <c r="V43" s="3414">
        <f>I43</f>
        <v>0</v>
      </c>
      <c r="W43" s="3414"/>
      <c r="X43" s="1558"/>
      <c r="Y43" s="1580"/>
      <c r="Z43" s="1558"/>
      <c r="AA43" s="1558"/>
      <c r="AB43" s="1558"/>
      <c r="AC43" s="1558"/>
    </row>
    <row r="44" spans="1:29" ht="14.5" thickBot="1">
      <c r="A44" s="615" t="s">
        <v>2652</v>
      </c>
      <c r="B44" s="616"/>
      <c r="C44" s="617" t="e">
        <f>R45</f>
        <v>#DIV/0!</v>
      </c>
      <c r="D44" s="618"/>
      <c r="E44" s="617" t="e">
        <f>R44</f>
        <v>#DIV/0!</v>
      </c>
      <c r="F44" s="619"/>
      <c r="G44" s="620" t="e">
        <f>T44</f>
        <v>#DIV/0!</v>
      </c>
      <c r="H44" s="618"/>
      <c r="I44" s="617" t="e">
        <f>V44</f>
        <v>#DIV/0!</v>
      </c>
      <c r="J44" s="618"/>
      <c r="K44" s="1340"/>
      <c r="L44" s="2144"/>
      <c r="M44" s="2134"/>
      <c r="N44" s="2134"/>
      <c r="O44" s="2145"/>
      <c r="P44" s="3400" t="str">
        <f>A44</f>
        <v>比较价格（元/平方米）</v>
      </c>
      <c r="Q44" s="3400"/>
      <c r="R44" s="3426" t="e">
        <f>ROUND(PRODUCT(R43,AA9:AA42),0)</f>
        <v>#DIV/0!</v>
      </c>
      <c r="S44" s="3426"/>
      <c r="T44" s="3426" t="e">
        <f>ROUND(PRODUCT(T43,AB9:AB42),0)</f>
        <v>#DIV/0!</v>
      </c>
      <c r="U44" s="3426"/>
      <c r="V44" s="3426" t="e">
        <f>ROUND(PRODUCT(V43,AC9:AC42),0)</f>
        <v>#DIV/0!</v>
      </c>
      <c r="W44" s="3426"/>
      <c r="X44" s="1558"/>
      <c r="Y44" s="1558"/>
      <c r="Z44" s="1558"/>
      <c r="AA44" s="1558"/>
      <c r="AB44" s="1558"/>
      <c r="AC44" s="1558"/>
    </row>
    <row r="45" spans="1:29" ht="14.5" thickBot="1">
      <c r="A45" s="621" t="s">
        <v>2882</v>
      </c>
      <c r="B45" s="622"/>
      <c r="C45" s="623" t="e">
        <f>R45</f>
        <v>#DIV/0!</v>
      </c>
      <c r="D45" s="623"/>
      <c r="E45" s="623"/>
      <c r="F45" s="623"/>
      <c r="G45" s="623"/>
      <c r="H45" s="623"/>
      <c r="I45" s="623"/>
      <c r="J45" s="623"/>
      <c r="K45" s="1341"/>
      <c r="L45" s="2144"/>
      <c r="M45" s="2134"/>
      <c r="N45" s="2134"/>
      <c r="O45" s="2145"/>
      <c r="P45" s="3423" t="str">
        <f>A45</f>
        <v>估价对象XX用房的比较价格（楼面单价，元/平方米）</v>
      </c>
      <c r="Q45" s="3424"/>
      <c r="R45" s="3425" t="e">
        <f>ROUND(AVERAGE(R44:V44),0)</f>
        <v>#DIV/0!</v>
      </c>
      <c r="S45" s="3425"/>
      <c r="T45" s="3425"/>
      <c r="U45" s="3425"/>
      <c r="V45" s="3425"/>
      <c r="W45" s="342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4.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
      <c r="A52" s="629" t="s">
        <v>525</v>
      </c>
      <c r="B52" s="630" t="s">
        <v>526</v>
      </c>
      <c r="C52" s="1559" t="s">
        <v>1686</v>
      </c>
      <c r="D52" s="2227" t="s">
        <v>2255</v>
      </c>
      <c r="E52" s="631" t="s">
        <v>527</v>
      </c>
      <c r="F52" s="1951" t="s">
        <v>528</v>
      </c>
      <c r="G52" s="3427" t="s">
        <v>2246</v>
      </c>
      <c r="H52" s="3428"/>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3">
      <c r="A53" s="633" t="s">
        <v>529</v>
      </c>
      <c r="B53" s="634" t="e">
        <f>C45</f>
        <v>#DIV/0!</v>
      </c>
      <c r="C53" s="635">
        <v>1</v>
      </c>
      <c r="D53" s="2228">
        <v>1</v>
      </c>
      <c r="E53" s="635">
        <f>'数据-汇总表'!E8+'数据-汇总表'!E9</f>
        <v>75630</v>
      </c>
      <c r="F53" s="1950" t="e">
        <f t="shared" ref="F53:F62" si="15">ROUND(B53*E53/10000,0)</f>
        <v>#DIV/0!</v>
      </c>
      <c r="G53" s="3429"/>
      <c r="H53" s="343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3">
      <c r="A54" s="637" t="s">
        <v>530</v>
      </c>
      <c r="B54" s="638" t="e">
        <f>ROUND($C$45*C54*D54,0)</f>
        <v>#DIV/0!</v>
      </c>
      <c r="C54" s="378">
        <f t="shared" ref="C54:C62" si="16">IF($C$52="北京市系数",I54,J54)</f>
        <v>0</v>
      </c>
      <c r="D54" s="2229">
        <v>0.25</v>
      </c>
      <c r="E54" s="639"/>
      <c r="F54" s="1950" t="e">
        <f t="shared" si="15"/>
        <v>#DIV/0!</v>
      </c>
      <c r="G54" s="3431"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3">
      <c r="A55" s="637" t="s">
        <v>531</v>
      </c>
      <c r="B55" s="638" t="e">
        <f t="shared" ref="B55:B62" si="17">ROUND($C$45*C55*D55,0)</f>
        <v>#DIV/0!</v>
      </c>
      <c r="C55" s="378">
        <f t="shared" si="16"/>
        <v>0</v>
      </c>
      <c r="D55" s="2229">
        <v>0.25</v>
      </c>
      <c r="E55" s="639"/>
      <c r="F55" s="1950" t="e">
        <f t="shared" si="15"/>
        <v>#DIV/0!</v>
      </c>
      <c r="G55" s="343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3">
      <c r="A56" s="637" t="s">
        <v>532</v>
      </c>
      <c r="B56" s="638" t="e">
        <f t="shared" si="17"/>
        <v>#DIV/0!</v>
      </c>
      <c r="C56" s="378">
        <f t="shared" si="16"/>
        <v>0</v>
      </c>
      <c r="D56" s="2229">
        <v>0.25</v>
      </c>
      <c r="E56" s="639"/>
      <c r="F56" s="1950" t="e">
        <f t="shared" si="15"/>
        <v>#DIV/0!</v>
      </c>
      <c r="G56" s="343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3">
      <c r="A57" s="637" t="s">
        <v>533</v>
      </c>
      <c r="B57" s="638" t="e">
        <f t="shared" si="17"/>
        <v>#DIV/0!</v>
      </c>
      <c r="C57" s="378">
        <f t="shared" si="16"/>
        <v>0</v>
      </c>
      <c r="D57" s="2229">
        <v>0.25</v>
      </c>
      <c r="E57" s="639"/>
      <c r="F57" s="1950" t="e">
        <f t="shared" si="15"/>
        <v>#DIV/0!</v>
      </c>
      <c r="G57" s="343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3">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3">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3">
      <c r="A60" s="637" t="s">
        <v>535</v>
      </c>
      <c r="B60" s="638" t="e">
        <f t="shared" si="17"/>
        <v>#DIV/0!</v>
      </c>
      <c r="C60" s="378">
        <f t="shared" si="16"/>
        <v>0</v>
      </c>
      <c r="D60" s="2229">
        <v>0.25</v>
      </c>
      <c r="E60" s="641">
        <f>'数据-汇总表'!E13</f>
        <v>19802.580000000002</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3">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2020-3-1</v>
      </c>
      <c r="D65" s="2799">
        <f>EDATE(C65,-3)</f>
        <v>43800</v>
      </c>
      <c r="E65" s="2799">
        <f t="shared" ref="E65:N65" si="18">EDATE(D65,-3)</f>
        <v>43709</v>
      </c>
      <c r="F65" s="2799">
        <f t="shared" si="18"/>
        <v>43617</v>
      </c>
      <c r="G65" s="2799">
        <f t="shared" si="18"/>
        <v>43525</v>
      </c>
      <c r="H65" s="2799">
        <f t="shared" si="18"/>
        <v>43435</v>
      </c>
      <c r="I65" s="2799">
        <f t="shared" si="18"/>
        <v>43344</v>
      </c>
      <c r="J65" s="2799">
        <f t="shared" si="18"/>
        <v>43252</v>
      </c>
      <c r="K65" s="2799">
        <f t="shared" si="18"/>
        <v>43160</v>
      </c>
      <c r="L65" s="2799">
        <f t="shared" si="18"/>
        <v>43070</v>
      </c>
      <c r="M65" s="2799">
        <f t="shared" si="18"/>
        <v>42979</v>
      </c>
      <c r="N65" s="2799">
        <f t="shared" si="18"/>
        <v>42887</v>
      </c>
      <c r="O65" s="2145"/>
      <c r="P65" s="2145"/>
      <c r="Q65" s="2145"/>
      <c r="R65" s="2145"/>
      <c r="S65" s="2145"/>
      <c r="T65" s="2145"/>
      <c r="U65" s="2145"/>
      <c r="V65" s="2145"/>
      <c r="W65" s="2145"/>
      <c r="X65" s="2145"/>
      <c r="Y65" s="2145"/>
      <c r="Z65" s="2145"/>
      <c r="AA65" s="2145"/>
      <c r="AB65" s="2145"/>
      <c r="AC65" s="2145"/>
    </row>
    <row r="66" spans="1:29" ht="21.5"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c r="A67" s="2568" t="s">
        <v>2492</v>
      </c>
      <c r="B67" s="646"/>
      <c r="C67" s="2794" t="str">
        <f>YEAR(C65)&amp;"-"&amp;ROUNDUP(MONTH(C65)/3,0)</f>
        <v>2020-1</v>
      </c>
      <c r="D67" s="2801" t="str">
        <f t="shared" ref="D67:N67" si="19">YEAR(D65)&amp;"-"&amp;ROUNDUP(MONTH(D65)/3,0)</f>
        <v>2019-4</v>
      </c>
      <c r="E67" s="2801" t="str">
        <f t="shared" si="19"/>
        <v>2019-3</v>
      </c>
      <c r="F67" s="2801" t="str">
        <f t="shared" si="19"/>
        <v>2019-2</v>
      </c>
      <c r="G67" s="2801" t="str">
        <f t="shared" si="19"/>
        <v>2019-1</v>
      </c>
      <c r="H67" s="2801" t="str">
        <f t="shared" si="19"/>
        <v>2018-4</v>
      </c>
      <c r="I67" s="2801" t="str">
        <f t="shared" si="19"/>
        <v>2018-3</v>
      </c>
      <c r="J67" s="2801" t="str">
        <f t="shared" si="19"/>
        <v>2018-2</v>
      </c>
      <c r="K67" s="2801" t="str">
        <f t="shared" si="19"/>
        <v>2018-1</v>
      </c>
      <c r="L67" s="2801" t="str">
        <f t="shared" si="19"/>
        <v>2017-4</v>
      </c>
      <c r="M67" s="2801" t="str">
        <f t="shared" si="19"/>
        <v>2017-3</v>
      </c>
      <c r="N67" s="2801"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2608</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4.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4.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8.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4.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4.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4.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4.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4.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4.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4.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4.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8.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4.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8.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4.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4.5" thickTop="1">
      <c r="A93" s="687"/>
      <c r="B93" s="1896" t="s">
        <v>2507</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4.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4.5" thickTop="1">
      <c r="A95" s="687"/>
      <c r="B95" s="2597" t="s">
        <v>2509</v>
      </c>
      <c r="C95" s="2598" t="s">
        <v>2510</v>
      </c>
      <c r="D95" s="2598" t="s">
        <v>2511</v>
      </c>
      <c r="E95" s="2598" t="s">
        <v>2512</v>
      </c>
      <c r="F95" s="2598" t="s">
        <v>2513</v>
      </c>
      <c r="G95" s="2598" t="s">
        <v>2514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4.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4.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8.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4.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4.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4.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4.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4.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4.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4.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4.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3"/>
  <cols>
    <col min="1" max="1" width="9.81640625" style="1403" customWidth="1"/>
    <col min="2" max="2" width="19.1796875" style="1527" customWidth="1"/>
    <col min="3" max="4" width="12" style="1404"/>
    <col min="5" max="5" width="14.6328125" style="1404" customWidth="1"/>
    <col min="6" max="8" width="12" style="1404"/>
    <col min="9" max="9" width="12.1796875" style="1404" bestFit="1" customWidth="1"/>
    <col min="10" max="10" width="12" style="1404"/>
    <col min="11" max="11" width="9.6328125" style="1401" customWidth="1"/>
    <col min="12" max="12" width="12" style="1404"/>
    <col min="13" max="14" width="10.6328125" style="1404" customWidth="1"/>
    <col min="15" max="17" width="12" style="1404"/>
    <col min="18" max="18" width="12" style="1403"/>
    <col min="19" max="22" width="15.453125" style="1403" customWidth="1"/>
    <col min="23" max="28" width="12" style="1404"/>
    <col min="29" max="29" width="9.36328125" style="1403" customWidth="1"/>
    <col min="30" max="35" width="9.36328125" style="1402" customWidth="1"/>
    <col min="36" max="39" width="9.36328125" style="1403" customWidth="1"/>
    <col min="40" max="41" width="9.36328125" style="1404" customWidth="1"/>
    <col min="42" max="16384" width="12" style="1404"/>
  </cols>
  <sheetData>
    <row r="1" spans="1:39" ht="21">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2721</v>
      </c>
      <c r="S1" s="2936" t="s">
        <v>2722</v>
      </c>
      <c r="T1" s="2936" t="s">
        <v>2743</v>
      </c>
      <c r="U1" s="2936" t="s">
        <v>2744</v>
      </c>
      <c r="V1" s="2936" t="s">
        <v>2745</v>
      </c>
      <c r="W1" s="2189"/>
      <c r="X1" s="2189"/>
      <c r="Y1" s="2189"/>
      <c r="Z1" s="2189"/>
      <c r="AA1" s="2189"/>
      <c r="AB1" s="2189"/>
      <c r="AC1" s="2190"/>
    </row>
    <row r="2" spans="1:39" ht="15.5">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5">
      <c r="A3" s="1410" t="s">
        <v>1649</v>
      </c>
      <c r="B3" s="1038" t="e">
        <f>ROUND(B2*10000/D1,0)</f>
        <v>#DIV/0!</v>
      </c>
      <c r="C3" s="1406" t="s">
        <v>892</v>
      </c>
      <c r="D3" s="1407" t="s">
        <v>893</v>
      </c>
      <c r="E3" s="1411"/>
      <c r="F3" s="1412" t="s">
        <v>2883</v>
      </c>
      <c r="G3" s="1039">
        <f>IF(F3="宗地容积率",'数据-汇总表'!I4,IF(F3="估价对象容积率",'数据-汇总表'!I6,'数据-汇总表'!I7))</f>
        <v>8.6199999999999992</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0">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6" thickBot="1">
      <c r="A5" s="1637" t="s">
        <v>1785</v>
      </c>
      <c r="B5" s="1414" t="s">
        <v>896</v>
      </c>
      <c r="C5" s="1041" t="e">
        <f>ROUND(IF(E2="商业",IF(F16="增加",C6*C7+C16,C6*C7-C16),IF(E2="住宅",IF(F16="增加",C6*C12+C16,C6*C12-C16),IF(F16="增加",C6+C16,C6-C16))),0)</f>
        <v>#DIV/0!</v>
      </c>
      <c r="D5" s="3118">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6"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6">
      <c r="A7" s="3440"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2724</v>
      </c>
      <c r="X7" s="2927">
        <f>G2</f>
        <v>0</v>
      </c>
      <c r="Y7" s="2927" t="s">
        <v>2725</v>
      </c>
      <c r="Z7" s="2928">
        <f>G3</f>
        <v>8.6199999999999992</v>
      </c>
      <c r="AA7" s="2192"/>
      <c r="AB7" s="2192"/>
      <c r="AC7" s="2193"/>
      <c r="AD7" s="2929"/>
      <c r="AE7" s="2929"/>
      <c r="AF7" s="2929"/>
      <c r="AG7" s="2929"/>
      <c r="AH7" s="2929"/>
      <c r="AI7" s="2929"/>
      <c r="AJ7" s="2930"/>
    </row>
    <row r="8" spans="1:39" ht="15.5">
      <c r="A8" s="3441"/>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50" t="s">
        <v>2742</v>
      </c>
      <c r="X8" s="3451"/>
      <c r="Y8" s="1849" t="s">
        <v>2726</v>
      </c>
      <c r="Z8" s="1849" t="s">
        <v>2727</v>
      </c>
      <c r="AA8" s="1849" t="s">
        <v>2728</v>
      </c>
      <c r="AB8" s="1849" t="s">
        <v>2729</v>
      </c>
      <c r="AC8" s="1849" t="s">
        <v>2730</v>
      </c>
      <c r="AD8" s="1849" t="s">
        <v>2731</v>
      </c>
      <c r="AE8" s="1849" t="s">
        <v>2732</v>
      </c>
      <c r="AF8" s="1849" t="s">
        <v>2733</v>
      </c>
      <c r="AG8" s="1849" t="s">
        <v>2734</v>
      </c>
      <c r="AH8" s="1849" t="s">
        <v>2735</v>
      </c>
      <c r="AI8" s="1849" t="s">
        <v>2736</v>
      </c>
      <c r="AJ8" s="1849" t="s">
        <v>2737</v>
      </c>
    </row>
    <row r="9" spans="1:39" ht="15.5">
      <c r="A9" s="3441"/>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9" t="s">
        <v>2738</v>
      </c>
      <c r="X9" s="2931" t="s">
        <v>2739</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5">
      <c r="A10" s="3441"/>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1"/>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9" t="s">
        <v>2740</v>
      </c>
      <c r="X11" s="1048" t="s">
        <v>2725</v>
      </c>
      <c r="Y11" s="1652">
        <f>$G$3</f>
        <v>8.6199999999999992</v>
      </c>
      <c r="Z11" s="1652">
        <f t="shared" ref="Z11:AJ11" si="3">$G$3</f>
        <v>8.6199999999999992</v>
      </c>
      <c r="AA11" s="1652">
        <f t="shared" si="3"/>
        <v>8.6199999999999992</v>
      </c>
      <c r="AB11" s="1652">
        <f t="shared" si="3"/>
        <v>8.6199999999999992</v>
      </c>
      <c r="AC11" s="1652">
        <f t="shared" si="3"/>
        <v>8.6199999999999992</v>
      </c>
      <c r="AD11" s="1652">
        <f t="shared" si="3"/>
        <v>8.6199999999999992</v>
      </c>
      <c r="AE11" s="1652">
        <f t="shared" si="3"/>
        <v>8.6199999999999992</v>
      </c>
      <c r="AF11" s="1652">
        <f t="shared" si="3"/>
        <v>8.6199999999999992</v>
      </c>
      <c r="AG11" s="1652">
        <f t="shared" si="3"/>
        <v>8.6199999999999992</v>
      </c>
      <c r="AH11" s="1652">
        <f t="shared" si="3"/>
        <v>8.6199999999999992</v>
      </c>
      <c r="AI11" s="1652">
        <f t="shared" si="3"/>
        <v>8.6199999999999992</v>
      </c>
      <c r="AJ11" s="1652">
        <f t="shared" si="3"/>
        <v>8.6199999999999992</v>
      </c>
    </row>
    <row r="12" spans="1:39" ht="26.5" thickBot="1">
      <c r="A12" s="3440"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9"/>
      <c r="X12" s="2934" t="s">
        <v>2741</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6">
      <c r="A13" s="3442"/>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49"/>
      <c r="X13" s="2934"/>
      <c r="Y13" s="2933">
        <f>(-0.163*(Y12^2)-0.59*Y12+7617)*(10^(-4))/Y11</f>
        <v>8.8364269141531337E-2</v>
      </c>
      <c r="Z13" s="2933">
        <f t="shared" ref="Z13:AJ13" si="5">(-0.163*(Z12^2)-0.59*Z12+7617)*(10^(-4))/Z11</f>
        <v>8.8364269141531337E-2</v>
      </c>
      <c r="AA13" s="2933">
        <f t="shared" si="5"/>
        <v>8.8364269141531337E-2</v>
      </c>
      <c r="AB13" s="2933">
        <f t="shared" si="5"/>
        <v>8.8364269141531337E-2</v>
      </c>
      <c r="AC13" s="2933">
        <f t="shared" si="5"/>
        <v>8.8364269141531337E-2</v>
      </c>
      <c r="AD13" s="2933">
        <f t="shared" si="5"/>
        <v>8.8364269141531337E-2</v>
      </c>
      <c r="AE13" s="2933">
        <f t="shared" si="5"/>
        <v>8.8364269141531337E-2</v>
      </c>
      <c r="AF13" s="2933">
        <f t="shared" si="5"/>
        <v>8.8364269141531337E-2</v>
      </c>
      <c r="AG13" s="2933">
        <f t="shared" si="5"/>
        <v>8.8364269141531337E-2</v>
      </c>
      <c r="AH13" s="2933">
        <f t="shared" si="5"/>
        <v>8.8364269141531337E-2</v>
      </c>
      <c r="AI13" s="2933">
        <f t="shared" si="5"/>
        <v>8.8364269141531337E-2</v>
      </c>
      <c r="AJ13" s="2933">
        <f t="shared" si="5"/>
        <v>8.8364269141531337E-2</v>
      </c>
    </row>
    <row r="14" spans="1:39" ht="12.75" customHeight="1" thickBot="1">
      <c r="A14" s="3442"/>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3"/>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6">
      <c r="A16" s="3440"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1"/>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4.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8.5"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43899</v>
      </c>
      <c r="H19" s="1474" t="s">
        <v>2884</v>
      </c>
      <c r="I19" s="2784" t="str">
        <f>IF(H19="季度增幅（自定义）",SUMIF(N21:N24,E2,O21:O24),"")</f>
        <v/>
      </c>
      <c r="J19" s="1470"/>
      <c r="K19" s="1480"/>
      <c r="L19" s="3039" t="s">
        <v>2800</v>
      </c>
      <c r="M19" s="3040">
        <f>ROUND(SUMIF(地价!B2:F2,E2,地价!B23:F23),0)</f>
        <v>0</v>
      </c>
      <c r="N19" s="2786" t="s">
        <v>1641</v>
      </c>
      <c r="O19" s="2785">
        <f>ROUNDDOWN(DATEDIF(E19,G19,"M")/3,0)</f>
        <v>24</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8.5" thickBot="1">
      <c r="A20" s="2778" t="s">
        <v>1798</v>
      </c>
      <c r="B20" s="2779" t="s">
        <v>937</v>
      </c>
      <c r="C20" s="2780" t="e">
        <f>ROUND(POWER(1+G20,J20-I20)*(POWER(1+G20,I20)-1)/(POWER(1+G20,J20)-1),4)</f>
        <v>#DIV/0!</v>
      </c>
      <c r="D20" s="2781" t="s">
        <v>938</v>
      </c>
      <c r="E20" s="3093">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1" t="s">
        <v>2801</v>
      </c>
      <c r="M20" s="3042">
        <f>ROUND(SUMPRODUCT((地价!A4:A23=YEAR(G19)&amp;"-"&amp;ROUNDUP(MONTH(G19)/3,0))*(地价!B2:F2=E2)*(地价!B4:F23)),0)</f>
        <v>0</v>
      </c>
      <c r="N20" s="2789" t="s">
        <v>2604</v>
      </c>
      <c r="O20" s="2787" t="s">
        <v>2603</v>
      </c>
      <c r="P20" s="2788" t="s">
        <v>2609</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
      <c r="A21" s="1641" t="s">
        <v>1799</v>
      </c>
      <c r="B21" s="1479" t="s">
        <v>2720</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5">
      <c r="A22" s="1642" t="s">
        <v>1832</v>
      </c>
      <c r="B22" s="1482" t="s">
        <v>942</v>
      </c>
      <c r="C22" s="1060" t="s">
        <v>1664</v>
      </c>
      <c r="D22" s="1060">
        <f>IF(E22=G22,F22,IF(G3&lt;=10,ROUND(F22+(H22-F22)*(G3-E22)/(G22-E22),4),"——"))</f>
        <v>0</v>
      </c>
      <c r="E22" s="1039">
        <f>ROUNDDOWN(G3,1)</f>
        <v>8.6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8.6999999999999993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8.5"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4.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4.5" thickBot="1">
      <c r="A25" s="1640" t="s">
        <v>1835</v>
      </c>
      <c r="B25" s="1485" t="s">
        <v>948</v>
      </c>
      <c r="C25" s="1486"/>
      <c r="D25" s="1429"/>
      <c r="E25" s="1429"/>
      <c r="F25" s="1487"/>
      <c r="G25" s="1429"/>
      <c r="H25" s="1429"/>
      <c r="I25" s="1429"/>
      <c r="J25" s="1430"/>
      <c r="K25" s="1400"/>
      <c r="L25" s="2195"/>
      <c r="M25" s="2195"/>
      <c r="N25" s="2797" t="s">
        <v>2607</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4.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6">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6.5"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6">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c r="A33" s="3446" t="s">
        <v>2909</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c r="A34" s="3447"/>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c r="A35" s="3447"/>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8"/>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4.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6">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5">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8">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6">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52">
      <c r="A50" s="1067" t="s">
        <v>989</v>
      </c>
      <c r="B50" s="3095" t="s">
        <v>2886</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6">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6">
      <c r="A52" s="1067" t="s">
        <v>991</v>
      </c>
      <c r="B52" s="3094" t="s">
        <v>2885</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6">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6">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52.5"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6">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52">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8">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6">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52">
      <c r="A61" s="1067" t="s">
        <v>989</v>
      </c>
      <c r="B61" s="3095" t="s">
        <v>2887</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6">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6">
      <c r="A63" s="1067" t="s">
        <v>991</v>
      </c>
      <c r="B63" s="3094" t="s">
        <v>2885</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6">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6">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52.5"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6">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6">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8">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6">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6">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6">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6">
      <c r="A75" s="1067" t="s">
        <v>991</v>
      </c>
      <c r="B75" s="3094" t="s">
        <v>2885</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52">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6.5"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6">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6">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6">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6">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6">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6">
      <c r="A86" s="1067" t="s">
        <v>991</v>
      </c>
      <c r="B86" s="3094" t="s">
        <v>2885</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4.5"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44" t="s">
        <v>1599</v>
      </c>
      <c r="B90" s="3444"/>
      <c r="C90" s="3444"/>
      <c r="D90" s="3444"/>
      <c r="E90" s="3444"/>
      <c r="F90" s="3444"/>
      <c r="G90" s="3444"/>
      <c r="H90" s="3444"/>
      <c r="I90" s="3444"/>
      <c r="J90" s="3444"/>
      <c r="K90" s="2450"/>
      <c r="L90" s="2450"/>
      <c r="M90" s="2450"/>
      <c r="N90" s="2450"/>
    </row>
    <row r="91" spans="1:40">
      <c r="A91" s="3445" t="s">
        <v>1409</v>
      </c>
      <c r="B91" s="3445" t="s">
        <v>1600</v>
      </c>
      <c r="C91" s="1140" t="s">
        <v>1601</v>
      </c>
      <c r="D91" s="1141"/>
      <c r="E91" s="1141"/>
      <c r="F91" s="1141"/>
      <c r="G91" s="1141"/>
      <c r="H91" s="1141"/>
      <c r="I91" s="1141"/>
      <c r="J91" s="1142"/>
      <c r="K91" s="1134"/>
      <c r="L91" s="1134"/>
      <c r="M91" s="1134"/>
      <c r="N91" s="1134"/>
    </row>
    <row r="92" spans="1:40">
      <c r="A92" s="3445"/>
      <c r="B92" s="3445"/>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52" t="s">
        <v>2723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3"/>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2" t="s">
        <v>1603</v>
      </c>
      <c r="B101" s="1147" t="s">
        <v>871</v>
      </c>
      <c r="C101" s="1148">
        <f>$G$3</f>
        <v>8.6199999999999992</v>
      </c>
      <c r="D101" s="1148">
        <f t="shared" ref="D101:N101" si="31">$G$3</f>
        <v>8.6199999999999992</v>
      </c>
      <c r="E101" s="1148">
        <f t="shared" si="31"/>
        <v>8.6199999999999992</v>
      </c>
      <c r="F101" s="1148">
        <f t="shared" si="31"/>
        <v>8.6199999999999992</v>
      </c>
      <c r="G101" s="1148">
        <f t="shared" si="31"/>
        <v>8.6199999999999992</v>
      </c>
      <c r="H101" s="1148">
        <f t="shared" si="31"/>
        <v>8.6199999999999992</v>
      </c>
      <c r="I101" s="1148">
        <f t="shared" si="31"/>
        <v>8.6199999999999992</v>
      </c>
      <c r="J101" s="1148">
        <f t="shared" si="31"/>
        <v>8.6199999999999992</v>
      </c>
      <c r="K101" s="1148">
        <f t="shared" si="31"/>
        <v>8.6199999999999992</v>
      </c>
      <c r="L101" s="1148">
        <f t="shared" si="31"/>
        <v>8.6199999999999992</v>
      </c>
      <c r="M101" s="1148">
        <f t="shared" si="31"/>
        <v>8.6199999999999992</v>
      </c>
      <c r="N101" s="1148">
        <f t="shared" si="31"/>
        <v>8.6199999999999992</v>
      </c>
    </row>
    <row r="102" spans="1:14">
      <c r="A102" s="3453"/>
      <c r="B102" s="1143">
        <v>1</v>
      </c>
      <c r="C102" s="1144">
        <f>1.9362/C101</f>
        <v>0.22461716937354989</v>
      </c>
      <c r="D102" s="1144">
        <f>1.9362/D101</f>
        <v>0.22461716937354989</v>
      </c>
      <c r="E102" s="1144">
        <f>1.8629/E101</f>
        <v>0.21611368909512763</v>
      </c>
      <c r="F102" s="1144">
        <f>1.8629/F101</f>
        <v>0.21611368909512763</v>
      </c>
      <c r="G102" s="1144">
        <f>1.8629/G101</f>
        <v>0.21611368909512763</v>
      </c>
      <c r="H102" s="1144">
        <f>1.8629/H101</f>
        <v>0.21611368909512763</v>
      </c>
      <c r="I102" s="1144">
        <f>1.8629/I101</f>
        <v>0.21611368909512763</v>
      </c>
      <c r="J102" s="1144">
        <f>1.942/J101</f>
        <v>0.22529002320185618</v>
      </c>
      <c r="K102" s="1144">
        <f>1.942/K101</f>
        <v>0.22529002320185618</v>
      </c>
      <c r="L102" s="1144">
        <f>1.942/L101</f>
        <v>0.22529002320185618</v>
      </c>
      <c r="M102" s="1144">
        <f>1.942/M101</f>
        <v>0.22529002320185618</v>
      </c>
      <c r="N102" s="1144">
        <f>1.942/N101</f>
        <v>0.22529002320185618</v>
      </c>
    </row>
    <row r="103" spans="1:14">
      <c r="A103" s="3453"/>
      <c r="B103" s="1143">
        <v>2</v>
      </c>
      <c r="C103" s="1144">
        <f>1.4198/C101</f>
        <v>0.16470997679814386</v>
      </c>
      <c r="D103" s="1144">
        <f>1.4198/D101</f>
        <v>0.16470997679814386</v>
      </c>
      <c r="E103" s="1144">
        <f>1.3372/E101</f>
        <v>0.15512761020881671</v>
      </c>
      <c r="F103" s="1144">
        <f>1.3372/F101</f>
        <v>0.15512761020881671</v>
      </c>
      <c r="G103" s="1144">
        <f>1.3372/G101</f>
        <v>0.15512761020881671</v>
      </c>
      <c r="H103" s="1144">
        <f>1.3372/H101</f>
        <v>0.15512761020881671</v>
      </c>
      <c r="I103" s="1144">
        <f>1.3372/I101</f>
        <v>0.15512761020881671</v>
      </c>
      <c r="J103" s="1144">
        <f>1.2799/J101</f>
        <v>0.14848027842227379</v>
      </c>
      <c r="K103" s="1144">
        <f>1.2799/K101</f>
        <v>0.14848027842227379</v>
      </c>
      <c r="L103" s="1144">
        <f>1.2799/L101</f>
        <v>0.14848027842227379</v>
      </c>
      <c r="M103" s="1144">
        <f>1.2799/M101</f>
        <v>0.14848027842227379</v>
      </c>
      <c r="N103" s="1144">
        <f>1.2799/N101</f>
        <v>0.14848027842227379</v>
      </c>
    </row>
    <row r="104" spans="1:14">
      <c r="A104" s="3453"/>
      <c r="B104" s="1143">
        <v>3</v>
      </c>
      <c r="C104" s="1144">
        <f>1.1594/C101</f>
        <v>0.13450116009280744</v>
      </c>
      <c r="D104" s="1144">
        <f>1.1594/D101</f>
        <v>0.13450116009280744</v>
      </c>
      <c r="E104" s="1144">
        <f>1.0788/E101</f>
        <v>0.1251508120649652</v>
      </c>
      <c r="F104" s="1144">
        <f>1.0788/F101</f>
        <v>0.1251508120649652</v>
      </c>
      <c r="G104" s="1144">
        <f>1.0788/G101</f>
        <v>0.1251508120649652</v>
      </c>
      <c r="H104" s="1144">
        <f>1.0788/H101</f>
        <v>0.1251508120649652</v>
      </c>
      <c r="I104" s="1144">
        <f>1.0788/I101</f>
        <v>0.1251508120649652</v>
      </c>
      <c r="J104" s="1144">
        <f>1.0072/J101</f>
        <v>0.11684454756380512</v>
      </c>
      <c r="K104" s="1144">
        <f>1.0072/K101</f>
        <v>0.11684454756380512</v>
      </c>
      <c r="L104" s="1144">
        <f>1.0072/L101</f>
        <v>0.11684454756380512</v>
      </c>
      <c r="M104" s="1144">
        <f>1.0072/M101</f>
        <v>0.11684454756380512</v>
      </c>
      <c r="N104" s="1144">
        <f>1.0072/N101</f>
        <v>0.11684454756380512</v>
      </c>
    </row>
    <row r="105" spans="1:14">
      <c r="A105" s="3453"/>
      <c r="B105" s="1143">
        <v>4</v>
      </c>
      <c r="C105" s="1144">
        <f>0.9622/C101</f>
        <v>0.11162412993039444</v>
      </c>
      <c r="D105" s="1144">
        <f>0.9622/D101</f>
        <v>0.11162412993039444</v>
      </c>
      <c r="E105" s="1144">
        <f>0.8656/E101</f>
        <v>0.10041763341067286</v>
      </c>
      <c r="F105" s="1144">
        <f>0.8656/F101</f>
        <v>0.10041763341067286</v>
      </c>
      <c r="G105" s="1144">
        <f>0.8656/G101</f>
        <v>0.10041763341067286</v>
      </c>
      <c r="H105" s="1144">
        <f>0.8656/H101</f>
        <v>0.10041763341067286</v>
      </c>
      <c r="I105" s="1144">
        <f>0.8656/I101</f>
        <v>0.10041763341067286</v>
      </c>
      <c r="J105" s="1144">
        <f>0.7525/J101</f>
        <v>8.7296983758700694E-2</v>
      </c>
      <c r="K105" s="1144">
        <f>0.7525/K101</f>
        <v>8.7296983758700694E-2</v>
      </c>
      <c r="L105" s="1144">
        <f>0.7525/L101</f>
        <v>8.7296983758700694E-2</v>
      </c>
      <c r="M105" s="1144">
        <f>0.7525/M101</f>
        <v>8.7296983758700694E-2</v>
      </c>
      <c r="N105" s="1144">
        <f>0.7525/N101</f>
        <v>8.7296983758700694E-2</v>
      </c>
    </row>
    <row r="106" spans="1:14">
      <c r="A106" s="3453"/>
      <c r="B106" s="1143">
        <v>5</v>
      </c>
      <c r="C106" s="1144">
        <f>0.8417/C101</f>
        <v>9.7645011600928089E-2</v>
      </c>
      <c r="D106" s="1144">
        <f>0.8417/D101</f>
        <v>9.7645011600928089E-2</v>
      </c>
      <c r="E106" s="1144">
        <f>0.7371/E101</f>
        <v>8.5510440835266821E-2</v>
      </c>
      <c r="F106" s="1144">
        <f>0.7371/F101</f>
        <v>8.5510440835266821E-2</v>
      </c>
      <c r="G106" s="1144">
        <f>0.7371/G101</f>
        <v>8.5510440835266821E-2</v>
      </c>
      <c r="H106" s="1144">
        <f>0.7371/H101</f>
        <v>8.5510440835266821E-2</v>
      </c>
      <c r="I106" s="1144">
        <f>0.7371/I101</f>
        <v>8.5510440835266821E-2</v>
      </c>
      <c r="J106" s="1144">
        <f>0.5659/J101</f>
        <v>6.5649651972157774E-2</v>
      </c>
      <c r="K106" s="1144">
        <f>0.5659/K101</f>
        <v>6.5649651972157774E-2</v>
      </c>
      <c r="L106" s="1144">
        <f>0.5659/L101</f>
        <v>6.5649651972157774E-2</v>
      </c>
      <c r="M106" s="1144">
        <f>0.5659/M101</f>
        <v>6.5649651972157774E-2</v>
      </c>
      <c r="N106" s="1144">
        <f>0.5659/N101</f>
        <v>6.5649651972157774E-2</v>
      </c>
    </row>
    <row r="107" spans="1:14">
      <c r="A107" s="3453"/>
      <c r="B107" s="1143">
        <v>6</v>
      </c>
      <c r="C107" s="1144">
        <f>0.7608/C101</f>
        <v>8.8259860788863123E-2</v>
      </c>
      <c r="D107" s="1144">
        <f>0.7608/D101</f>
        <v>8.8259860788863123E-2</v>
      </c>
      <c r="E107" s="1144">
        <f>0.6482/E101</f>
        <v>7.5197215777262183E-2</v>
      </c>
      <c r="F107" s="1144">
        <f>0.6482/F101</f>
        <v>7.5197215777262183E-2</v>
      </c>
      <c r="G107" s="1144">
        <f>0.6482/G101</f>
        <v>7.5197215777262183E-2</v>
      </c>
      <c r="H107" s="1144">
        <f>0.6482/H101</f>
        <v>7.5197215777262183E-2</v>
      </c>
      <c r="I107" s="1144">
        <f>0.6482/I101</f>
        <v>7.5197215777262183E-2</v>
      </c>
      <c r="J107" s="1144">
        <f>0.4525/J101</f>
        <v>5.2494199535962884E-2</v>
      </c>
      <c r="K107" s="1144">
        <f>0.4525/K101</f>
        <v>5.2494199535962884E-2</v>
      </c>
      <c r="L107" s="1144">
        <f>0.4525/L101</f>
        <v>5.2494199535962884E-2</v>
      </c>
      <c r="M107" s="1144">
        <f>0.4525/M101</f>
        <v>5.2494199535962884E-2</v>
      </c>
      <c r="N107" s="1144">
        <f>0.4525/N101</f>
        <v>5.2494199535962884E-2</v>
      </c>
    </row>
    <row r="108" spans="1:14">
      <c r="A108" s="3453"/>
      <c r="B108" s="3455"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4"/>
      <c r="B109" s="3456"/>
      <c r="C109" s="1146">
        <f>(-0.163*(C108^2)-0.59*C108+7617)*(10^(-4))/C101</f>
        <v>8.818849187935035E-2</v>
      </c>
      <c r="D109" s="1146">
        <f>(-0.163*(D108^2)-0.59*D108+7617)*(10^(-4))/D101</f>
        <v>8.818849187935035E-2</v>
      </c>
      <c r="E109" s="1146">
        <f>(-0.161*(E108^2)-7.509*E108+6533)*(10^(-4))/E101</f>
        <v>7.4972436194895603E-2</v>
      </c>
      <c r="F109" s="1146">
        <f>(-0.161*(F108^2)-7.509*F108+6533)*(10^(-4))/F101</f>
        <v>7.4972436194895603E-2</v>
      </c>
      <c r="G109" s="1146">
        <f>(-0.161*(G108^2)-7.509*G108+6533)*(10^(-4))/G101</f>
        <v>7.4972436194895603E-2</v>
      </c>
      <c r="H109" s="1146">
        <f>(-0.161*(H108^2)-7.509*H108+6533)*(10^(-4))/H101</f>
        <v>7.4972436194895603E-2</v>
      </c>
      <c r="I109" s="1146">
        <f>(-0.161*(I108^2)-7.509*I108+6533)*(10^(-4))/I101</f>
        <v>7.4972436194895603E-2</v>
      </c>
      <c r="J109" s="1146">
        <f>(-0.214*(J108^2)-21.991*J108+4665)*(10^(-4))/J101</f>
        <v>5.1918515081206505E-2</v>
      </c>
      <c r="K109" s="1146">
        <f>(-0.214*(K108^2)-21.991*K108+4665)*(10^(-4))/K101</f>
        <v>5.1918515081206505E-2</v>
      </c>
      <c r="L109" s="1146">
        <f>(-0.214*(L108^2)-21.991*L108+4665)*(10^(-4))/L101</f>
        <v>5.1918515081206505E-2</v>
      </c>
      <c r="M109" s="1146">
        <f>(-0.214*(M108^2)-21.991*M108+4665)*(10^(-4))/M101</f>
        <v>5.1918515081206505E-2</v>
      </c>
      <c r="N109" s="1146">
        <f>(-0.214*(N108^2)-21.991*N108+4665)*(10^(-4))/N101</f>
        <v>5.1918515081206505E-2</v>
      </c>
    </row>
    <row r="110" spans="1:14">
      <c r="A110" s="3439" t="s">
        <v>1605</v>
      </c>
      <c r="B110" s="3439"/>
      <c r="C110" s="3439"/>
      <c r="D110" s="3439"/>
      <c r="E110" s="3439"/>
      <c r="F110" s="3439"/>
      <c r="G110" s="3439"/>
      <c r="H110" s="3439"/>
      <c r="I110" s="3439"/>
      <c r="J110" s="3439"/>
      <c r="K110" s="2448"/>
      <c r="L110" s="2448"/>
      <c r="M110" s="2448"/>
      <c r="N110" s="2448"/>
    </row>
    <row r="112" spans="1:14" ht="13.5" thickBot="1"/>
    <row r="113" spans="1:13" ht="26" thickBot="1">
      <c r="A113" s="1016" t="s">
        <v>861</v>
      </c>
      <c r="B113" s="2451">
        <f>G3</f>
        <v>8.6199999999999992</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c r="A115" s="1029" t="s">
        <v>865</v>
      </c>
      <c r="B115" s="1030">
        <f>ROUND(0.9335-0.0094*B113,4)</f>
        <v>0.85250000000000004</v>
      </c>
      <c r="C115" s="1030">
        <f>B115</f>
        <v>0.85250000000000004</v>
      </c>
      <c r="D115" s="1030">
        <f>ROUND(0.8331-0.0109*B113,4)</f>
        <v>0.73909999999999998</v>
      </c>
      <c r="E115" s="1030">
        <f>D115</f>
        <v>0.73909999999999998</v>
      </c>
      <c r="F115" s="1030">
        <f>E115</f>
        <v>0.73909999999999998</v>
      </c>
      <c r="G115" s="1030">
        <f>F115</f>
        <v>0.73909999999999998</v>
      </c>
      <c r="H115" s="1030">
        <f>G115</f>
        <v>0.73909999999999998</v>
      </c>
      <c r="I115" s="1030">
        <f>ROUND(0.689-0.0155*B113,4)</f>
        <v>0.5554</v>
      </c>
      <c r="J115" s="1030">
        <f t="shared" ref="J115:M118" si="33">I115</f>
        <v>0.5554</v>
      </c>
      <c r="K115" s="1030">
        <f t="shared" si="33"/>
        <v>0.5554</v>
      </c>
      <c r="L115" s="1030">
        <f t="shared" si="33"/>
        <v>0.5554</v>
      </c>
      <c r="M115" s="1031">
        <f t="shared" si="33"/>
        <v>0.5554</v>
      </c>
    </row>
    <row r="116" spans="1:13">
      <c r="A116" s="1029" t="s">
        <v>866</v>
      </c>
      <c r="B116" s="1030">
        <f>ROUND(0.949-0.012*B113,4)</f>
        <v>0.84560000000000002</v>
      </c>
      <c r="C116" s="1030">
        <f>B116</f>
        <v>0.84560000000000002</v>
      </c>
      <c r="D116" s="1030">
        <f>ROUND(0.8567-0.013*B113,4)</f>
        <v>0.74460000000000004</v>
      </c>
      <c r="E116" s="1030">
        <f t="shared" ref="E116:H117" si="34">D116</f>
        <v>0.74460000000000004</v>
      </c>
      <c r="F116" s="1030">
        <f t="shared" si="34"/>
        <v>0.74460000000000004</v>
      </c>
      <c r="G116" s="1030">
        <f t="shared" si="34"/>
        <v>0.74460000000000004</v>
      </c>
      <c r="H116" s="1030">
        <f t="shared" si="34"/>
        <v>0.74460000000000004</v>
      </c>
      <c r="I116" s="1030">
        <f>ROUND(0.7694-0.014*B113,4)</f>
        <v>0.64870000000000005</v>
      </c>
      <c r="J116" s="1030">
        <f t="shared" si="33"/>
        <v>0.64870000000000005</v>
      </c>
      <c r="K116" s="1030">
        <f t="shared" si="33"/>
        <v>0.64870000000000005</v>
      </c>
      <c r="L116" s="1030">
        <f t="shared" si="33"/>
        <v>0.64870000000000005</v>
      </c>
      <c r="M116" s="1031">
        <f t="shared" si="33"/>
        <v>0.64870000000000005</v>
      </c>
    </row>
    <row r="117" spans="1:13">
      <c r="A117" s="1032" t="s">
        <v>867</v>
      </c>
      <c r="B117" s="1030">
        <f>ROUND(0.8808-0.006*B113,4)</f>
        <v>0.82909999999999995</v>
      </c>
      <c r="C117" s="1030">
        <f>B117</f>
        <v>0.82909999999999995</v>
      </c>
      <c r="D117" s="1030">
        <f>ROUND(0.8748-0.008*B113,4)</f>
        <v>0.80579999999999996</v>
      </c>
      <c r="E117" s="1030">
        <f t="shared" si="34"/>
        <v>0.80579999999999996</v>
      </c>
      <c r="F117" s="1030">
        <f t="shared" si="34"/>
        <v>0.80579999999999996</v>
      </c>
      <c r="G117" s="1030">
        <f t="shared" si="34"/>
        <v>0.80579999999999996</v>
      </c>
      <c r="H117" s="1030">
        <f t="shared" si="34"/>
        <v>0.80579999999999996</v>
      </c>
      <c r="I117" s="1030">
        <f>ROUND(0.7412-0.0095*B113,4)</f>
        <v>0.6593</v>
      </c>
      <c r="J117" s="1030">
        <f t="shared" si="33"/>
        <v>0.6593</v>
      </c>
      <c r="K117" s="1030">
        <f t="shared" si="33"/>
        <v>0.6593</v>
      </c>
      <c r="L117" s="1030">
        <f t="shared" si="33"/>
        <v>0.6593</v>
      </c>
      <c r="M117" s="1031">
        <f t="shared" si="33"/>
        <v>0.6593</v>
      </c>
    </row>
    <row r="118" spans="1:13" ht="13.5" thickBot="1">
      <c r="A118" s="1033" t="s">
        <v>868</v>
      </c>
      <c r="B118" s="1034">
        <f>ROUND(0.7275-0.01*B113,4)</f>
        <v>0.64129999999999998</v>
      </c>
      <c r="C118" s="1034">
        <f>B118</f>
        <v>0.64129999999999998</v>
      </c>
      <c r="D118" s="1034">
        <f>ROUND(0.7043-0.012*B113,4)</f>
        <v>0.60089999999999999</v>
      </c>
      <c r="E118" s="1034">
        <f>D118</f>
        <v>0.60089999999999999</v>
      </c>
      <c r="F118" s="1034">
        <f>E118</f>
        <v>0.60089999999999999</v>
      </c>
      <c r="G118" s="1034">
        <f>ROUND(0.6299-0.0122*B113,4)</f>
        <v>0.52470000000000006</v>
      </c>
      <c r="H118" s="1034">
        <f>G118</f>
        <v>0.52470000000000006</v>
      </c>
      <c r="I118" s="1034">
        <f>ROUND(0.5667-0.0136*B113,4)</f>
        <v>0.44950000000000001</v>
      </c>
      <c r="J118" s="1034">
        <f t="shared" si="33"/>
        <v>0.44950000000000001</v>
      </c>
      <c r="K118" s="1034">
        <f t="shared" si="33"/>
        <v>0.44950000000000001</v>
      </c>
      <c r="L118" s="1034">
        <f t="shared" si="33"/>
        <v>0.44950000000000001</v>
      </c>
      <c r="M118" s="1035">
        <f t="shared" si="33"/>
        <v>0.44950000000000001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796875" defaultRowHeight="19.5" customHeight="1"/>
  <cols>
    <col min="1" max="1" width="13.6328125" style="1066" customWidth="1"/>
    <col min="2" max="9" width="8.1796875" style="1105" customWidth="1"/>
    <col min="10" max="13" width="8.1796875" style="1066"/>
    <col min="14" max="14" width="10" style="1066" customWidth="1"/>
    <col min="15" max="16" width="8.1796875" style="1066"/>
    <col min="17" max="17" width="34.08984375" style="1066" customWidth="1"/>
    <col min="18" max="18" width="8.1796875" style="1066" customWidth="1"/>
    <col min="19" max="19" width="8.1796875" style="1066"/>
    <col min="20" max="20" width="11.6328125" style="1066" customWidth="1"/>
    <col min="21" max="16384" width="8.179687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45" t="s">
        <v>973</v>
      </c>
      <c r="B18" s="1153" t="s">
        <v>1412</v>
      </c>
      <c r="C18" s="1131" t="s">
        <v>1413</v>
      </c>
      <c r="D18" s="1132"/>
      <c r="E18" s="1153">
        <v>1</v>
      </c>
      <c r="F18" s="1133" t="s">
        <v>1414</v>
      </c>
      <c r="G18" s="1134"/>
      <c r="H18" s="1105"/>
      <c r="I18" s="1105"/>
    </row>
    <row r="19" spans="1:9" s="1598" customFormat="1" ht="19.5" customHeight="1">
      <c r="A19" s="3445"/>
      <c r="B19" s="3445" t="s">
        <v>1415</v>
      </c>
      <c r="C19" s="1131" t="s">
        <v>1416</v>
      </c>
      <c r="D19" s="1132"/>
      <c r="E19" s="1153">
        <v>0.9</v>
      </c>
      <c r="F19" s="1133" t="s">
        <v>1417</v>
      </c>
      <c r="G19" s="1134"/>
      <c r="H19" s="1105"/>
      <c r="I19" s="1105"/>
    </row>
    <row r="20" spans="1:9" s="1598" customFormat="1" ht="19.5" customHeight="1">
      <c r="A20" s="3445"/>
      <c r="B20" s="3445"/>
      <c r="C20" s="1131" t="s">
        <v>1418</v>
      </c>
      <c r="D20" s="1132"/>
      <c r="E20" s="1153">
        <v>1.1000000000000001</v>
      </c>
      <c r="F20" s="1133" t="s">
        <v>1419</v>
      </c>
      <c r="G20" s="1134"/>
      <c r="H20" s="1105"/>
      <c r="I20" s="1105"/>
    </row>
    <row r="21" spans="1:9" s="1598" customFormat="1" ht="19.5" customHeight="1">
      <c r="A21" s="3445"/>
      <c r="B21" s="3445"/>
      <c r="C21" s="1131" t="s">
        <v>1420</v>
      </c>
      <c r="D21" s="1132"/>
      <c r="E21" s="1153">
        <v>0.8</v>
      </c>
      <c r="F21" s="1133" t="s">
        <v>1421</v>
      </c>
      <c r="G21" s="1134"/>
      <c r="H21" s="1105"/>
      <c r="I21" s="1105"/>
    </row>
    <row r="22" spans="1:9" s="1598" customFormat="1" ht="19.5" customHeight="1">
      <c r="A22" s="3445"/>
      <c r="B22" s="3445"/>
      <c r="C22" s="1131" t="s">
        <v>1422</v>
      </c>
      <c r="D22" s="1132"/>
      <c r="E22" s="1153">
        <v>0.5</v>
      </c>
      <c r="F22" s="1133"/>
      <c r="G22" s="1134"/>
      <c r="H22" s="1105"/>
      <c r="I22" s="1105"/>
    </row>
    <row r="23" spans="1:9" s="1598" customFormat="1" ht="19.5" customHeight="1">
      <c r="A23" s="3445" t="s">
        <v>995</v>
      </c>
      <c r="B23" s="1153" t="s">
        <v>1412</v>
      </c>
      <c r="C23" s="1131" t="s">
        <v>1423</v>
      </c>
      <c r="D23" s="1132"/>
      <c r="E23" s="1153">
        <v>1</v>
      </c>
      <c r="F23" s="1133" t="s">
        <v>1424</v>
      </c>
      <c r="G23" s="1134"/>
      <c r="H23" s="1105"/>
      <c r="I23" s="1105"/>
    </row>
    <row r="24" spans="1:9" s="1598" customFormat="1" ht="19.5" customHeight="1">
      <c r="A24" s="3445"/>
      <c r="B24" s="3445" t="s">
        <v>1415</v>
      </c>
      <c r="C24" s="1131" t="s">
        <v>1425</v>
      </c>
      <c r="D24" s="1132"/>
      <c r="E24" s="1153">
        <v>0.5</v>
      </c>
      <c r="F24" s="1133"/>
      <c r="G24" s="1134"/>
      <c r="H24" s="1105"/>
      <c r="I24" s="1105"/>
    </row>
    <row r="25" spans="1:9" s="1598" customFormat="1" ht="19.5" customHeight="1">
      <c r="A25" s="3445"/>
      <c r="B25" s="3445"/>
      <c r="C25" s="1131" t="s">
        <v>1426</v>
      </c>
      <c r="D25" s="1132"/>
      <c r="E25" s="1153">
        <v>1.1000000000000001</v>
      </c>
      <c r="F25" s="1133"/>
      <c r="G25" s="1134"/>
      <c r="H25" s="1105"/>
      <c r="I25" s="1105"/>
    </row>
    <row r="26" spans="1:9" s="1598" customFormat="1" ht="19.5" customHeight="1">
      <c r="A26" s="3445"/>
      <c r="B26" s="3445"/>
      <c r="C26" s="1131" t="s">
        <v>1427</v>
      </c>
      <c r="D26" s="1132"/>
      <c r="E26" s="1153">
        <v>1.1000000000000001</v>
      </c>
      <c r="F26" s="1133"/>
      <c r="G26" s="1134"/>
      <c r="H26" s="1105"/>
      <c r="I26" s="1105"/>
    </row>
    <row r="27" spans="1:9" s="1598" customFormat="1" ht="19.5" customHeight="1">
      <c r="A27" s="3445"/>
      <c r="B27" s="3445"/>
      <c r="C27" s="1131" t="s">
        <v>1428</v>
      </c>
      <c r="D27" s="1132"/>
      <c r="E27" s="1153">
        <v>0.9</v>
      </c>
      <c r="F27" s="1133" t="s">
        <v>1429</v>
      </c>
      <c r="G27" s="1134"/>
      <c r="H27" s="1105"/>
      <c r="I27" s="1105"/>
    </row>
    <row r="28" spans="1:9" s="1598" customFormat="1" ht="19.5" customHeight="1">
      <c r="A28" s="3445"/>
      <c r="B28" s="3445"/>
      <c r="C28" s="1131" t="s">
        <v>1430</v>
      </c>
      <c r="D28" s="1132"/>
      <c r="E28" s="1153">
        <v>0.9</v>
      </c>
      <c r="F28" s="1133" t="s">
        <v>1431</v>
      </c>
      <c r="G28" s="1134"/>
      <c r="H28" s="1105"/>
      <c r="I28" s="1105"/>
    </row>
    <row r="29" spans="1:9" s="1598" customFormat="1" ht="19.5" customHeight="1">
      <c r="A29" s="3445"/>
      <c r="B29" s="3445"/>
      <c r="C29" s="1131" t="s">
        <v>1432</v>
      </c>
      <c r="D29" s="1132"/>
      <c r="E29" s="1153">
        <v>0.9</v>
      </c>
      <c r="F29" s="1133" t="s">
        <v>1433</v>
      </c>
      <c r="G29" s="1134"/>
      <c r="H29" s="1105"/>
      <c r="I29" s="1105"/>
    </row>
    <row r="30" spans="1:9" s="1598" customFormat="1" ht="19.5" customHeight="1">
      <c r="A30" s="3445"/>
      <c r="B30" s="3445"/>
      <c r="C30" s="1131" t="s">
        <v>1434</v>
      </c>
      <c r="D30" s="1132"/>
      <c r="E30" s="1153">
        <v>0.9</v>
      </c>
      <c r="F30" s="1133" t="s">
        <v>1435</v>
      </c>
      <c r="G30" s="1134"/>
      <c r="H30" s="1105"/>
      <c r="I30" s="1105"/>
    </row>
    <row r="31" spans="1:9" s="1598" customFormat="1" ht="19.5" customHeight="1">
      <c r="A31" s="3445"/>
      <c r="B31" s="3445"/>
      <c r="C31" s="1131" t="s">
        <v>1436</v>
      </c>
      <c r="D31" s="1132"/>
      <c r="E31" s="1153">
        <v>0.8</v>
      </c>
      <c r="F31" s="1133" t="s">
        <v>1437</v>
      </c>
      <c r="G31" s="1134"/>
      <c r="H31" s="1105"/>
      <c r="I31" s="1105"/>
    </row>
    <row r="32" spans="1:9" s="1598" customFormat="1" ht="19.5" customHeight="1">
      <c r="A32" s="3445"/>
      <c r="B32" s="3445"/>
      <c r="C32" s="1131" t="s">
        <v>1438</v>
      </c>
      <c r="D32" s="1132"/>
      <c r="E32" s="1153">
        <v>0.8</v>
      </c>
      <c r="F32" s="1133" t="s">
        <v>1439</v>
      </c>
      <c r="G32" s="1134"/>
      <c r="H32" s="1105"/>
      <c r="I32" s="1105"/>
    </row>
    <row r="33" spans="1:9" s="1598" customFormat="1" ht="19.5" customHeight="1">
      <c r="A33" s="3445" t="s">
        <v>1440</v>
      </c>
      <c r="B33" s="1153" t="s">
        <v>1412</v>
      </c>
      <c r="C33" s="1131" t="s">
        <v>1441</v>
      </c>
      <c r="D33" s="1132"/>
      <c r="E33" s="1153">
        <v>1</v>
      </c>
      <c r="F33" s="1133" t="s">
        <v>1442</v>
      </c>
      <c r="G33" s="1134"/>
      <c r="H33" s="1105"/>
      <c r="I33" s="1105"/>
    </row>
    <row r="34" spans="1:9" s="1598" customFormat="1" ht="19.5" customHeight="1">
      <c r="A34" s="3445"/>
      <c r="B34" s="1153" t="s">
        <v>1415</v>
      </c>
      <c r="C34" s="1131" t="s">
        <v>1443</v>
      </c>
      <c r="D34" s="1132"/>
      <c r="E34" s="1153">
        <v>1.5</v>
      </c>
      <c r="F34" s="1133" t="s">
        <v>1444</v>
      </c>
      <c r="G34" s="1134"/>
      <c r="H34" s="1105"/>
      <c r="I34" s="1105"/>
    </row>
    <row r="35" spans="1:9" s="1598" customFormat="1" ht="19.5" customHeight="1">
      <c r="A35" s="3445" t="s">
        <v>1398</v>
      </c>
      <c r="B35" s="1153" t="s">
        <v>1412</v>
      </c>
      <c r="C35" s="1131" t="s">
        <v>1445</v>
      </c>
      <c r="D35" s="1132"/>
      <c r="E35" s="1153">
        <v>1</v>
      </c>
      <c r="F35" s="1133" t="s">
        <v>1446</v>
      </c>
      <c r="G35" s="1134"/>
      <c r="H35" s="1105"/>
      <c r="I35" s="1105"/>
    </row>
    <row r="36" spans="1:9" s="1598" customFormat="1" ht="19.5" customHeight="1">
      <c r="A36" s="3445"/>
      <c r="B36" s="3445" t="s">
        <v>1415</v>
      </c>
      <c r="C36" s="1131" t="s">
        <v>1447</v>
      </c>
      <c r="D36" s="1132"/>
      <c r="E36" s="1153">
        <v>1</v>
      </c>
      <c r="F36" s="1133" t="s">
        <v>1448</v>
      </c>
      <c r="G36" s="1134"/>
      <c r="H36" s="1105"/>
      <c r="I36" s="1105"/>
    </row>
    <row r="37" spans="1:9" s="1598" customFormat="1" ht="19.5" customHeight="1">
      <c r="A37" s="3445"/>
      <c r="B37" s="3445"/>
      <c r="C37" s="1131" t="s">
        <v>1449</v>
      </c>
      <c r="D37" s="1132"/>
      <c r="E37" s="1153">
        <v>1.5</v>
      </c>
      <c r="F37" s="1133" t="s">
        <v>1450</v>
      </c>
      <c r="G37" s="1134"/>
      <c r="H37" s="1105"/>
      <c r="I37" s="1105"/>
    </row>
    <row r="38" spans="1:9" s="1598" customFormat="1" ht="19.5" customHeight="1">
      <c r="A38" s="3445"/>
      <c r="B38" s="3445"/>
      <c r="C38" s="1131" t="s">
        <v>1451</v>
      </c>
      <c r="D38" s="1132"/>
      <c r="E38" s="1153">
        <v>1</v>
      </c>
      <c r="F38" s="1133" t="s">
        <v>1452</v>
      </c>
      <c r="G38" s="1134"/>
      <c r="H38" s="1105"/>
      <c r="I38" s="1105"/>
    </row>
    <row r="39" spans="1:9" s="1598" customFormat="1" ht="19.5" customHeight="1">
      <c r="A39" s="3445"/>
      <c r="B39" s="3445"/>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26">
      <c r="A61" s="1153">
        <v>1</v>
      </c>
      <c r="B61" s="3445" t="s">
        <v>1467</v>
      </c>
      <c r="C61" s="1068" t="s">
        <v>1468</v>
      </c>
      <c r="D61" s="1068" t="s">
        <v>1469</v>
      </c>
      <c r="E61" s="1139">
        <v>0.5</v>
      </c>
      <c r="F61" s="1153">
        <v>80</v>
      </c>
      <c r="H61" s="1105">
        <f>SUMIF(C59:C119,基准地价!C8,E59:E119)</f>
        <v>0</v>
      </c>
    </row>
    <row r="62" spans="1:8" s="1105" customFormat="1" ht="26">
      <c r="A62" s="1153">
        <v>2</v>
      </c>
      <c r="B62" s="3445"/>
      <c r="C62" s="1068" t="s">
        <v>1470</v>
      </c>
      <c r="D62" s="1068" t="s">
        <v>1471</v>
      </c>
      <c r="E62" s="1139">
        <v>0.5</v>
      </c>
      <c r="F62" s="1153">
        <v>80</v>
      </c>
    </row>
    <row r="63" spans="1:8" s="1105" customFormat="1" ht="39">
      <c r="A63" s="1153">
        <v>3</v>
      </c>
      <c r="B63" s="3445"/>
      <c r="C63" s="1068" t="s">
        <v>1472</v>
      </c>
      <c r="D63" s="1068" t="s">
        <v>1473</v>
      </c>
      <c r="E63" s="1139">
        <v>0.5</v>
      </c>
      <c r="F63" s="1153">
        <v>80</v>
      </c>
    </row>
    <row r="64" spans="1:8" s="1105" customFormat="1" ht="39">
      <c r="A64" s="1153">
        <v>4</v>
      </c>
      <c r="B64" s="3445"/>
      <c r="C64" s="1068" t="s">
        <v>1474</v>
      </c>
      <c r="D64" s="1068" t="s">
        <v>1475</v>
      </c>
      <c r="E64" s="1139">
        <v>0.4</v>
      </c>
      <c r="F64" s="1153">
        <v>60</v>
      </c>
    </row>
    <row r="65" spans="1:6" s="1105" customFormat="1" ht="39">
      <c r="A65" s="1153">
        <v>5</v>
      </c>
      <c r="B65" s="3445"/>
      <c r="C65" s="1068" t="s">
        <v>1476</v>
      </c>
      <c r="D65" s="1068" t="s">
        <v>1477</v>
      </c>
      <c r="E65" s="1139">
        <v>0.2</v>
      </c>
      <c r="F65" s="1153">
        <v>30</v>
      </c>
    </row>
    <row r="66" spans="1:6" s="1105" customFormat="1" ht="39">
      <c r="A66" s="1153">
        <v>6</v>
      </c>
      <c r="B66" s="3445"/>
      <c r="C66" s="1068" t="s">
        <v>1478</v>
      </c>
      <c r="D66" s="1068" t="s">
        <v>1479</v>
      </c>
      <c r="E66" s="1139">
        <v>0.3</v>
      </c>
      <c r="F66" s="1153">
        <v>50</v>
      </c>
    </row>
    <row r="67" spans="1:6" s="1105" customFormat="1" ht="39">
      <c r="A67" s="1153">
        <v>7</v>
      </c>
      <c r="B67" s="3445"/>
      <c r="C67" s="1068" t="s">
        <v>1480</v>
      </c>
      <c r="D67" s="1068" t="s">
        <v>1481</v>
      </c>
      <c r="E67" s="1139">
        <v>0.2</v>
      </c>
      <c r="F67" s="1153">
        <v>30</v>
      </c>
    </row>
    <row r="68" spans="1:6" s="1105" customFormat="1" ht="39">
      <c r="A68" s="1153">
        <v>8</v>
      </c>
      <c r="B68" s="3445"/>
      <c r="C68" s="1068" t="s">
        <v>1482</v>
      </c>
      <c r="D68" s="1068" t="s">
        <v>1483</v>
      </c>
      <c r="E68" s="1139">
        <v>0.2</v>
      </c>
      <c r="F68" s="1153">
        <v>30</v>
      </c>
    </row>
    <row r="69" spans="1:6" s="1105" customFormat="1" ht="39">
      <c r="A69" s="1153">
        <v>9</v>
      </c>
      <c r="B69" s="3445"/>
      <c r="C69" s="1068" t="s">
        <v>1484</v>
      </c>
      <c r="D69" s="1068" t="s">
        <v>1485</v>
      </c>
      <c r="E69" s="1139">
        <v>0.2</v>
      </c>
      <c r="F69" s="1153">
        <v>30</v>
      </c>
    </row>
    <row r="70" spans="1:6" s="1105" customFormat="1" ht="52">
      <c r="A70" s="1153">
        <v>10</v>
      </c>
      <c r="B70" s="3445"/>
      <c r="C70" s="1068" t="s">
        <v>1486</v>
      </c>
      <c r="D70" s="1068" t="s">
        <v>1487</v>
      </c>
      <c r="E70" s="1139">
        <v>0.2</v>
      </c>
      <c r="F70" s="1153">
        <v>30</v>
      </c>
    </row>
    <row r="71" spans="1:6" s="1105" customFormat="1" ht="52">
      <c r="A71" s="1153">
        <v>11</v>
      </c>
      <c r="B71" s="3445"/>
      <c r="C71" s="1068" t="s">
        <v>1488</v>
      </c>
      <c r="D71" s="1068" t="s">
        <v>1489</v>
      </c>
      <c r="E71" s="1139">
        <v>0.2</v>
      </c>
      <c r="F71" s="1153">
        <v>30</v>
      </c>
    </row>
    <row r="72" spans="1:6" s="1105" customFormat="1" ht="39">
      <c r="A72" s="1153">
        <v>12</v>
      </c>
      <c r="B72" s="3445"/>
      <c r="C72" s="1068" t="s">
        <v>1490</v>
      </c>
      <c r="D72" s="1068" t="s">
        <v>1491</v>
      </c>
      <c r="E72" s="1139">
        <v>0.5</v>
      </c>
      <c r="F72" s="1153">
        <v>80</v>
      </c>
    </row>
    <row r="73" spans="1:6" s="1105" customFormat="1" ht="26">
      <c r="A73" s="1153">
        <v>13</v>
      </c>
      <c r="B73" s="3445"/>
      <c r="C73" s="1068" t="s">
        <v>1492</v>
      </c>
      <c r="D73" s="1068" t="s">
        <v>1493</v>
      </c>
      <c r="E73" s="1139">
        <v>0.4</v>
      </c>
      <c r="F73" s="1153">
        <v>60</v>
      </c>
    </row>
    <row r="74" spans="1:6" s="1105" customFormat="1" ht="26">
      <c r="A74" s="1153">
        <v>14</v>
      </c>
      <c r="B74" s="3445"/>
      <c r="C74" s="1068" t="s">
        <v>1494</v>
      </c>
      <c r="D74" s="1068" t="s">
        <v>1495</v>
      </c>
      <c r="E74" s="1139">
        <v>0.2</v>
      </c>
      <c r="F74" s="1153">
        <v>30</v>
      </c>
    </row>
    <row r="75" spans="1:6" s="1105" customFormat="1" ht="26">
      <c r="A75" s="1153">
        <v>15</v>
      </c>
      <c r="B75" s="3445"/>
      <c r="C75" s="1068" t="s">
        <v>1496</v>
      </c>
      <c r="D75" s="1068" t="s">
        <v>1497</v>
      </c>
      <c r="E75" s="1139">
        <v>0.2</v>
      </c>
      <c r="F75" s="1153">
        <v>30</v>
      </c>
    </row>
    <row r="76" spans="1:6" s="1105" customFormat="1" ht="26">
      <c r="A76" s="1153">
        <v>16</v>
      </c>
      <c r="B76" s="3445" t="s">
        <v>1498</v>
      </c>
      <c r="C76" s="1068" t="s">
        <v>1499</v>
      </c>
      <c r="D76" s="1068" t="s">
        <v>1500</v>
      </c>
      <c r="E76" s="1139">
        <v>0.5</v>
      </c>
      <c r="F76" s="1153">
        <v>80</v>
      </c>
    </row>
    <row r="77" spans="1:6" s="1105" customFormat="1" ht="26">
      <c r="A77" s="1153">
        <v>17</v>
      </c>
      <c r="B77" s="3445"/>
      <c r="C77" s="1068" t="s">
        <v>1501</v>
      </c>
      <c r="D77" s="1068" t="s">
        <v>1502</v>
      </c>
      <c r="E77" s="1139">
        <v>0.5</v>
      </c>
      <c r="F77" s="1153">
        <v>80</v>
      </c>
    </row>
    <row r="78" spans="1:6" s="1105" customFormat="1" ht="26">
      <c r="A78" s="1153">
        <v>18</v>
      </c>
      <c r="B78" s="3445"/>
      <c r="C78" s="1068" t="s">
        <v>1503</v>
      </c>
      <c r="D78" s="1068" t="s">
        <v>1504</v>
      </c>
      <c r="E78" s="1139">
        <v>0.2</v>
      </c>
      <c r="F78" s="1153">
        <v>30</v>
      </c>
    </row>
    <row r="79" spans="1:6" s="1105" customFormat="1" ht="26">
      <c r="A79" s="1153">
        <v>19</v>
      </c>
      <c r="B79" s="3445"/>
      <c r="C79" s="1068" t="s">
        <v>1505</v>
      </c>
      <c r="D79" s="1068" t="s">
        <v>1506</v>
      </c>
      <c r="E79" s="1139">
        <v>0.5</v>
      </c>
      <c r="F79" s="1153">
        <v>80</v>
      </c>
    </row>
    <row r="80" spans="1:6" s="1105" customFormat="1" ht="39">
      <c r="A80" s="1153">
        <v>20</v>
      </c>
      <c r="B80" s="3445"/>
      <c r="C80" s="1068" t="s">
        <v>1507</v>
      </c>
      <c r="D80" s="1068" t="s">
        <v>1508</v>
      </c>
      <c r="E80" s="1139">
        <v>0.2</v>
      </c>
      <c r="F80" s="1153">
        <v>30</v>
      </c>
    </row>
    <row r="81" spans="1:6" s="1105" customFormat="1" ht="39">
      <c r="A81" s="1153">
        <v>21</v>
      </c>
      <c r="B81" s="3445"/>
      <c r="C81" s="1068" t="s">
        <v>1509</v>
      </c>
      <c r="D81" s="1068" t="s">
        <v>1510</v>
      </c>
      <c r="E81" s="1139">
        <v>0.2</v>
      </c>
      <c r="F81" s="1153">
        <v>30</v>
      </c>
    </row>
    <row r="82" spans="1:6" s="1105" customFormat="1" ht="52">
      <c r="A82" s="1153">
        <v>22</v>
      </c>
      <c r="B82" s="3445"/>
      <c r="C82" s="1068" t="s">
        <v>1511</v>
      </c>
      <c r="D82" s="1068" t="s">
        <v>1512</v>
      </c>
      <c r="E82" s="1139">
        <v>0.2</v>
      </c>
      <c r="F82" s="1153">
        <v>30</v>
      </c>
    </row>
    <row r="83" spans="1:6" s="1105" customFormat="1" ht="52">
      <c r="A83" s="1153">
        <v>23</v>
      </c>
      <c r="B83" s="3445"/>
      <c r="C83" s="1068" t="s">
        <v>1513</v>
      </c>
      <c r="D83" s="1068" t="s">
        <v>1514</v>
      </c>
      <c r="E83" s="1139">
        <v>0.2</v>
      </c>
      <c r="F83" s="1153">
        <v>30</v>
      </c>
    </row>
    <row r="84" spans="1:6" s="1105" customFormat="1" ht="39">
      <c r="A84" s="1153">
        <v>24</v>
      </c>
      <c r="B84" s="3445"/>
      <c r="C84" s="1068" t="s">
        <v>1515</v>
      </c>
      <c r="D84" s="1068" t="s">
        <v>1516</v>
      </c>
      <c r="E84" s="1139">
        <v>0.2</v>
      </c>
      <c r="F84" s="1153">
        <v>30</v>
      </c>
    </row>
    <row r="85" spans="1:6" s="1105" customFormat="1" ht="39">
      <c r="A85" s="1153">
        <v>25</v>
      </c>
      <c r="B85" s="3445"/>
      <c r="C85" s="1068" t="s">
        <v>1517</v>
      </c>
      <c r="D85" s="1068" t="s">
        <v>1518</v>
      </c>
      <c r="E85" s="1139">
        <v>0.5</v>
      </c>
      <c r="F85" s="1153">
        <v>80</v>
      </c>
    </row>
    <row r="86" spans="1:6" s="1105" customFormat="1" ht="39">
      <c r="A86" s="1153">
        <v>26</v>
      </c>
      <c r="B86" s="3445"/>
      <c r="C86" s="1068" t="s">
        <v>1519</v>
      </c>
      <c r="D86" s="1068" t="s">
        <v>1520</v>
      </c>
      <c r="E86" s="1139">
        <v>0.2</v>
      </c>
      <c r="F86" s="1153">
        <v>30</v>
      </c>
    </row>
    <row r="87" spans="1:6" s="1105" customFormat="1" ht="39">
      <c r="A87" s="1153">
        <v>27</v>
      </c>
      <c r="B87" s="3445"/>
      <c r="C87" s="1068" t="s">
        <v>1521</v>
      </c>
      <c r="D87" s="1068" t="s">
        <v>1522</v>
      </c>
      <c r="E87" s="1139">
        <v>0.2</v>
      </c>
      <c r="F87" s="1153">
        <v>30</v>
      </c>
    </row>
    <row r="88" spans="1:6" s="1105" customFormat="1" ht="39">
      <c r="A88" s="1153">
        <v>28</v>
      </c>
      <c r="B88" s="3445"/>
      <c r="C88" s="1068" t="s">
        <v>1523</v>
      </c>
      <c r="D88" s="1068" t="s">
        <v>1524</v>
      </c>
      <c r="E88" s="1139">
        <v>0.2</v>
      </c>
      <c r="F88" s="1153">
        <v>30</v>
      </c>
    </row>
    <row r="89" spans="1:6" s="1105" customFormat="1" ht="26">
      <c r="A89" s="1153">
        <v>29</v>
      </c>
      <c r="B89" s="3445"/>
      <c r="C89" s="1068" t="s">
        <v>1525</v>
      </c>
      <c r="D89" s="1068" t="s">
        <v>1526</v>
      </c>
      <c r="E89" s="1139">
        <v>0.2</v>
      </c>
      <c r="F89" s="1153">
        <v>30</v>
      </c>
    </row>
    <row r="90" spans="1:6" s="1105" customFormat="1" ht="26">
      <c r="A90" s="1153">
        <v>30</v>
      </c>
      <c r="B90" s="3445"/>
      <c r="C90" s="1068" t="s">
        <v>1527</v>
      </c>
      <c r="D90" s="1068" t="s">
        <v>1528</v>
      </c>
      <c r="E90" s="1139">
        <v>0.2</v>
      </c>
      <c r="F90" s="1153">
        <v>30</v>
      </c>
    </row>
    <row r="91" spans="1:6" s="1105" customFormat="1" ht="39">
      <c r="A91" s="1153">
        <v>31</v>
      </c>
      <c r="B91" s="3445"/>
      <c r="C91" s="1068" t="s">
        <v>1529</v>
      </c>
      <c r="D91" s="1068" t="s">
        <v>1530</v>
      </c>
      <c r="E91" s="1139">
        <v>0.2</v>
      </c>
      <c r="F91" s="1153">
        <v>30</v>
      </c>
    </row>
    <row r="92" spans="1:6" s="1105" customFormat="1" ht="26">
      <c r="A92" s="1153">
        <v>32</v>
      </c>
      <c r="B92" s="3445" t="s">
        <v>1531</v>
      </c>
      <c r="C92" s="1153" t="s">
        <v>1532</v>
      </c>
      <c r="D92" s="1068" t="s">
        <v>1533</v>
      </c>
      <c r="E92" s="1139">
        <v>0.2</v>
      </c>
      <c r="F92" s="1153">
        <v>30</v>
      </c>
    </row>
    <row r="93" spans="1:6" s="1105" customFormat="1" ht="39">
      <c r="A93" s="1153">
        <v>33</v>
      </c>
      <c r="B93" s="3445"/>
      <c r="C93" s="1153" t="s">
        <v>1534</v>
      </c>
      <c r="D93" s="1068" t="s">
        <v>1535</v>
      </c>
      <c r="E93" s="1139">
        <v>0.2</v>
      </c>
      <c r="F93" s="1153">
        <v>30</v>
      </c>
    </row>
    <row r="94" spans="1:6" s="1105" customFormat="1" ht="52">
      <c r="A94" s="1153">
        <v>34</v>
      </c>
      <c r="B94" s="3445"/>
      <c r="C94" s="1153" t="s">
        <v>1536</v>
      </c>
      <c r="D94" s="1068" t="s">
        <v>1537</v>
      </c>
      <c r="E94" s="1139">
        <v>0.2</v>
      </c>
      <c r="F94" s="1153">
        <v>30</v>
      </c>
    </row>
    <row r="95" spans="1:6" s="1105" customFormat="1" ht="39">
      <c r="A95" s="1153">
        <v>35</v>
      </c>
      <c r="B95" s="3445"/>
      <c r="C95" s="1153" t="s">
        <v>1538</v>
      </c>
      <c r="D95" s="1068" t="s">
        <v>1539</v>
      </c>
      <c r="E95" s="1139">
        <v>0.2</v>
      </c>
      <c r="F95" s="1153">
        <v>30</v>
      </c>
    </row>
    <row r="96" spans="1:6" s="1105" customFormat="1" ht="52">
      <c r="A96" s="1153">
        <v>36</v>
      </c>
      <c r="B96" s="3445"/>
      <c r="C96" s="1068" t="s">
        <v>1540</v>
      </c>
      <c r="D96" s="1068" t="s">
        <v>1541</v>
      </c>
      <c r="E96" s="1139">
        <v>0.2</v>
      </c>
      <c r="F96" s="1153">
        <v>30</v>
      </c>
    </row>
    <row r="97" spans="1:6" s="1105" customFormat="1" ht="39">
      <c r="A97" s="1153">
        <v>37</v>
      </c>
      <c r="B97" s="3445"/>
      <c r="C97" s="1153" t="s">
        <v>1542</v>
      </c>
      <c r="D97" s="1068" t="s">
        <v>1543</v>
      </c>
      <c r="E97" s="1139">
        <v>0.2</v>
      </c>
      <c r="F97" s="1153">
        <v>30</v>
      </c>
    </row>
    <row r="98" spans="1:6" s="1105" customFormat="1" ht="39">
      <c r="A98" s="1153">
        <v>38</v>
      </c>
      <c r="B98" s="3445"/>
      <c r="C98" s="1153" t="s">
        <v>1544</v>
      </c>
      <c r="D98" s="1068" t="s">
        <v>1545</v>
      </c>
      <c r="E98" s="1139">
        <v>0.2</v>
      </c>
      <c r="F98" s="1153">
        <v>30</v>
      </c>
    </row>
    <row r="99" spans="1:6" s="1105" customFormat="1" ht="39">
      <c r="A99" s="1153">
        <v>39</v>
      </c>
      <c r="B99" s="3445" t="s">
        <v>1546</v>
      </c>
      <c r="C99" s="1153" t="s">
        <v>1547</v>
      </c>
      <c r="D99" s="1068" t="s">
        <v>1548</v>
      </c>
      <c r="E99" s="1139">
        <v>0.3</v>
      </c>
      <c r="F99" s="1153">
        <v>50</v>
      </c>
    </row>
    <row r="100" spans="1:6" s="1105" customFormat="1" ht="26">
      <c r="A100" s="1153">
        <v>40</v>
      </c>
      <c r="B100" s="3445"/>
      <c r="C100" s="1153" t="s">
        <v>1549</v>
      </c>
      <c r="D100" s="1068" t="s">
        <v>1550</v>
      </c>
      <c r="E100" s="1139">
        <v>0.2</v>
      </c>
      <c r="F100" s="1153">
        <v>30</v>
      </c>
    </row>
    <row r="101" spans="1:6" s="1105" customFormat="1" ht="39">
      <c r="A101" s="1153">
        <v>41</v>
      </c>
      <c r="B101" s="3445"/>
      <c r="C101" s="1153" t="s">
        <v>1551</v>
      </c>
      <c r="D101" s="1068" t="s">
        <v>1548</v>
      </c>
      <c r="E101" s="1139">
        <v>0.2</v>
      </c>
      <c r="F101" s="1153">
        <v>30</v>
      </c>
    </row>
    <row r="102" spans="1:6" s="1105" customFormat="1" ht="52">
      <c r="A102" s="1153">
        <v>42</v>
      </c>
      <c r="B102" s="1153" t="s">
        <v>1552</v>
      </c>
      <c r="C102" s="1068" t="s">
        <v>1553</v>
      </c>
      <c r="D102" s="1068" t="s">
        <v>1554</v>
      </c>
      <c r="E102" s="1139">
        <v>0.2</v>
      </c>
      <c r="F102" s="1153">
        <v>30</v>
      </c>
    </row>
    <row r="103" spans="1:6" s="1105" customFormat="1" ht="26">
      <c r="A103" s="1153">
        <v>43</v>
      </c>
      <c r="B103" s="1153" t="s">
        <v>1555</v>
      </c>
      <c r="C103" s="1153" t="s">
        <v>1556</v>
      </c>
      <c r="D103" s="1068" t="s">
        <v>1557</v>
      </c>
      <c r="E103" s="1139">
        <v>0.2</v>
      </c>
      <c r="F103" s="1153">
        <v>30</v>
      </c>
    </row>
    <row r="104" spans="1:6" s="1105" customFormat="1" ht="39">
      <c r="A104" s="1153">
        <v>44</v>
      </c>
      <c r="B104" s="1153" t="s">
        <v>1558</v>
      </c>
      <c r="C104" s="1153" t="s">
        <v>1559</v>
      </c>
      <c r="D104" s="1068" t="s">
        <v>1560</v>
      </c>
      <c r="E104" s="1139">
        <v>0.2</v>
      </c>
      <c r="F104" s="1153">
        <v>30</v>
      </c>
    </row>
    <row r="105" spans="1:6" s="1105" customFormat="1" ht="39">
      <c r="A105" s="1153">
        <v>45</v>
      </c>
      <c r="B105" s="3445" t="s">
        <v>1561</v>
      </c>
      <c r="C105" s="1153" t="s">
        <v>1562</v>
      </c>
      <c r="D105" s="1068" t="s">
        <v>1563</v>
      </c>
      <c r="E105" s="1139">
        <v>0.2</v>
      </c>
      <c r="F105" s="1153">
        <v>30</v>
      </c>
    </row>
    <row r="106" spans="1:6" s="1105" customFormat="1" ht="39">
      <c r="A106" s="1153">
        <v>46</v>
      </c>
      <c r="B106" s="3445"/>
      <c r="C106" s="1153" t="s">
        <v>1564</v>
      </c>
      <c r="D106" s="1068" t="s">
        <v>1565</v>
      </c>
      <c r="E106" s="1139">
        <v>0.2</v>
      </c>
      <c r="F106" s="1153">
        <v>30</v>
      </c>
    </row>
    <row r="107" spans="1:6" s="1105" customFormat="1" ht="39">
      <c r="A107" s="1153">
        <v>47</v>
      </c>
      <c r="B107" s="3445" t="s">
        <v>1566</v>
      </c>
      <c r="C107" s="1153" t="s">
        <v>1567</v>
      </c>
      <c r="D107" s="1068" t="s">
        <v>1568</v>
      </c>
      <c r="E107" s="1139">
        <v>0.3</v>
      </c>
      <c r="F107" s="1153">
        <v>50</v>
      </c>
    </row>
    <row r="108" spans="1:6" s="1105" customFormat="1" ht="39">
      <c r="A108" s="1153">
        <v>48</v>
      </c>
      <c r="B108" s="3445"/>
      <c r="C108" s="1153" t="s">
        <v>1569</v>
      </c>
      <c r="D108" s="1068" t="s">
        <v>1570</v>
      </c>
      <c r="E108" s="1139">
        <v>0.2</v>
      </c>
      <c r="F108" s="1153">
        <v>30</v>
      </c>
    </row>
    <row r="109" spans="1:6" s="1105" customFormat="1" ht="39">
      <c r="A109" s="1153">
        <v>49</v>
      </c>
      <c r="B109" s="1153" t="s">
        <v>1571</v>
      </c>
      <c r="C109" s="1153" t="s">
        <v>1572</v>
      </c>
      <c r="D109" s="1068" t="s">
        <v>1573</v>
      </c>
      <c r="E109" s="1139">
        <v>0.2</v>
      </c>
      <c r="F109" s="1153">
        <v>30</v>
      </c>
    </row>
    <row r="110" spans="1:6" s="1105" customFormat="1" ht="39">
      <c r="A110" s="1153">
        <v>50</v>
      </c>
      <c r="B110" s="1153" t="s">
        <v>1574</v>
      </c>
      <c r="C110" s="1153" t="s">
        <v>1575</v>
      </c>
      <c r="D110" s="1068" t="s">
        <v>1576</v>
      </c>
      <c r="E110" s="1139">
        <v>0.2</v>
      </c>
      <c r="F110" s="1153">
        <v>30</v>
      </c>
    </row>
    <row r="111" spans="1:6" s="1105" customFormat="1" ht="39">
      <c r="A111" s="1153">
        <v>51</v>
      </c>
      <c r="B111" s="3445" t="s">
        <v>1577</v>
      </c>
      <c r="C111" s="1153" t="s">
        <v>1578</v>
      </c>
      <c r="D111" s="1068" t="s">
        <v>1579</v>
      </c>
      <c r="E111" s="1139">
        <v>0.2</v>
      </c>
      <c r="F111" s="1153">
        <v>30</v>
      </c>
    </row>
    <row r="112" spans="1:6" s="1105" customFormat="1" ht="26">
      <c r="A112" s="1153">
        <v>52</v>
      </c>
      <c r="B112" s="3445"/>
      <c r="C112" s="1153" t="s">
        <v>1580</v>
      </c>
      <c r="D112" s="1068" t="s">
        <v>1581</v>
      </c>
      <c r="E112" s="1139">
        <v>0.2</v>
      </c>
      <c r="F112" s="1153">
        <v>30</v>
      </c>
    </row>
    <row r="113" spans="1:14" s="1105" customFormat="1" ht="26">
      <c r="A113" s="1153">
        <v>53</v>
      </c>
      <c r="B113" s="3445"/>
      <c r="C113" s="1153" t="s">
        <v>1582</v>
      </c>
      <c r="D113" s="1068" t="s">
        <v>1583</v>
      </c>
      <c r="E113" s="1139">
        <v>0.2</v>
      </c>
      <c r="F113" s="1153">
        <v>30</v>
      </c>
    </row>
    <row r="114" spans="1:14" ht="39">
      <c r="A114" s="1153">
        <v>54</v>
      </c>
      <c r="B114" s="1153" t="s">
        <v>1584</v>
      </c>
      <c r="C114" s="1153" t="s">
        <v>1585</v>
      </c>
      <c r="D114" s="1068" t="s">
        <v>1586</v>
      </c>
      <c r="E114" s="1139">
        <v>0.2</v>
      </c>
      <c r="F114" s="1153">
        <v>30</v>
      </c>
    </row>
    <row r="115" spans="1:14" ht="26">
      <c r="A115" s="1153">
        <v>55</v>
      </c>
      <c r="B115" s="1153" t="s">
        <v>1587</v>
      </c>
      <c r="C115" s="1153" t="s">
        <v>1588</v>
      </c>
      <c r="D115" s="1068" t="s">
        <v>1589</v>
      </c>
      <c r="E115" s="1139">
        <v>0.2</v>
      </c>
      <c r="F115" s="1153">
        <v>30</v>
      </c>
    </row>
    <row r="116" spans="1:14" ht="26">
      <c r="A116" s="1153">
        <v>56</v>
      </c>
      <c r="B116" s="3445" t="s">
        <v>1590</v>
      </c>
      <c r="C116" s="1153" t="s">
        <v>1591</v>
      </c>
      <c r="D116" s="1068" t="s">
        <v>1592</v>
      </c>
      <c r="E116" s="1139">
        <v>0.2</v>
      </c>
      <c r="F116" s="1153">
        <v>30</v>
      </c>
    </row>
    <row r="117" spans="1:14" ht="39">
      <c r="A117" s="1153">
        <v>57</v>
      </c>
      <c r="B117" s="3445"/>
      <c r="C117" s="1153" t="s">
        <v>1593</v>
      </c>
      <c r="D117" s="1068" t="s">
        <v>1594</v>
      </c>
      <c r="E117" s="1139">
        <v>0.2</v>
      </c>
      <c r="F117" s="1153">
        <v>30</v>
      </c>
    </row>
    <row r="118" spans="1:14" ht="39">
      <c r="A118" s="1153">
        <v>58</v>
      </c>
      <c r="B118" s="1153" t="s">
        <v>1595</v>
      </c>
      <c r="C118" s="1153" t="s">
        <v>1596</v>
      </c>
      <c r="D118" s="1068" t="s">
        <v>1597</v>
      </c>
      <c r="E118" s="1139">
        <v>0.2</v>
      </c>
      <c r="F118" s="1153">
        <v>30</v>
      </c>
    </row>
    <row r="119" spans="1:14" ht="14">
      <c r="A119" s="1153"/>
      <c r="B119" s="1153"/>
      <c r="C119" s="1153"/>
      <c r="D119" s="1153"/>
      <c r="E119" s="1139"/>
      <c r="F119" s="1153"/>
    </row>
    <row r="121" spans="1:14" ht="19.5" customHeight="1">
      <c r="A121" s="3444" t="s">
        <v>1599</v>
      </c>
      <c r="B121" s="3444"/>
      <c r="C121" s="3444"/>
      <c r="D121" s="3444"/>
      <c r="E121" s="3444"/>
      <c r="F121" s="3444"/>
      <c r="G121" s="3444"/>
      <c r="H121" s="3444"/>
      <c r="I121" s="3444"/>
      <c r="J121" s="344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105" customWidth="1"/>
    <col min="2" max="5" width="10.1796875" style="1066" customWidth="1"/>
    <col min="6" max="6" width="9" style="1066"/>
    <col min="7" max="7" width="9" style="1069"/>
    <col min="8" max="8" width="9" style="1066"/>
    <col min="9" max="9" width="9" style="1069"/>
    <col min="10" max="16384" width="9" style="1066"/>
  </cols>
  <sheetData>
    <row r="1" spans="1:20">
      <c r="A1" s="3457" t="s">
        <v>1005</v>
      </c>
      <c r="B1" s="3457"/>
      <c r="C1" s="3457"/>
      <c r="D1" s="3457"/>
      <c r="E1" s="3457"/>
      <c r="F1" s="3457"/>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5" thickBot="1">
      <c r="A2" s="3458" t="s">
        <v>1018</v>
      </c>
      <c r="B2" s="3458"/>
      <c r="C2" s="3458"/>
      <c r="D2" s="3458"/>
      <c r="E2" s="3458"/>
      <c r="F2" s="3458"/>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59"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60"/>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869</v>
      </c>
      <c r="B103" s="1010"/>
      <c r="C103" s="1010"/>
      <c r="D103" s="1010"/>
      <c r="E103" s="1010"/>
      <c r="F103" s="1010"/>
      <c r="G103" s="1010"/>
      <c r="H103" s="1010"/>
      <c r="I103" s="1010"/>
      <c r="J103" s="1010"/>
      <c r="K103" s="1010"/>
      <c r="L103" s="1010"/>
      <c r="M103" s="1010"/>
      <c r="N103" s="1010"/>
    </row>
    <row r="104" spans="1:14" ht="1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880" customWidth="1"/>
    <col min="2" max="2" width="10.1796875" style="1881" customWidth="1"/>
  </cols>
  <sheetData>
    <row r="1" spans="1:6">
      <c r="A1" s="3461" t="s">
        <v>2041</v>
      </c>
      <c r="B1" s="3461"/>
    </row>
    <row r="2" spans="1:6" ht="14.5" thickBot="1">
      <c r="A2" s="1851"/>
      <c r="B2" s="1851"/>
    </row>
    <row r="3" spans="1:6" ht="14.5" thickBot="1">
      <c r="A3" s="1851"/>
      <c r="B3" s="1851"/>
      <c r="C3" s="1852" t="s">
        <v>2042</v>
      </c>
      <c r="D3" s="1852" t="s">
        <v>2043</v>
      </c>
      <c r="E3" s="1852" t="s">
        <v>2044</v>
      </c>
      <c r="F3" s="1852" t="s">
        <v>2045</v>
      </c>
    </row>
    <row r="4" spans="1:6" ht="14.5" thickBot="1">
      <c r="A4" s="1853" t="s">
        <v>2046</v>
      </c>
      <c r="B4" s="1854" t="s">
        <v>2047</v>
      </c>
      <c r="C4" s="1852"/>
      <c r="D4" s="1852"/>
      <c r="E4" s="1852"/>
      <c r="F4" s="1852"/>
    </row>
    <row r="5" spans="1:6" ht="14.5" thickBot="1">
      <c r="A5" s="1855" t="s">
        <v>2048</v>
      </c>
      <c r="B5" s="1856" t="s">
        <v>2049</v>
      </c>
      <c r="C5" s="1857">
        <v>8.8999999999999996E-2</v>
      </c>
      <c r="D5" s="1857">
        <v>7.3999999999999996E-2</v>
      </c>
      <c r="E5" s="1857">
        <v>7.4999999999999997E-2</v>
      </c>
      <c r="F5" s="1858">
        <v>0.1</v>
      </c>
    </row>
    <row r="6" spans="1:6" ht="14.5" thickBot="1">
      <c r="A6" s="1855" t="s">
        <v>1062</v>
      </c>
      <c r="B6" s="1859" t="s">
        <v>2050</v>
      </c>
      <c r="C6" s="1860">
        <v>0.1</v>
      </c>
      <c r="D6" s="1860">
        <v>9.0999999999999998E-2</v>
      </c>
      <c r="E6" s="1860">
        <v>9.0999999999999998E-2</v>
      </c>
      <c r="F6" s="1861">
        <v>0.1</v>
      </c>
    </row>
    <row r="7" spans="1:6" ht="14.5" thickBot="1">
      <c r="A7" s="1855" t="s">
        <v>1062</v>
      </c>
      <c r="B7" s="1862" t="s">
        <v>1050</v>
      </c>
      <c r="C7" s="1860">
        <v>8.5999999999999993E-2</v>
      </c>
      <c r="D7" s="1860">
        <v>9.6000000000000002E-2</v>
      </c>
      <c r="E7" s="1860">
        <v>7.5999999999999998E-2</v>
      </c>
      <c r="F7" s="1861">
        <v>0.1</v>
      </c>
    </row>
    <row r="8" spans="1:6" ht="14.5" thickBot="1">
      <c r="A8" s="1855" t="s">
        <v>1062</v>
      </c>
      <c r="B8" s="1859" t="s">
        <v>1063</v>
      </c>
      <c r="C8" s="1860">
        <v>9.9000000000000005E-2</v>
      </c>
      <c r="D8" s="1860">
        <v>9.8000000000000004E-2</v>
      </c>
      <c r="E8" s="1860">
        <v>9.8000000000000004E-2</v>
      </c>
      <c r="F8" s="1861">
        <v>0.1</v>
      </c>
    </row>
    <row r="9" spans="1:6" ht="14.5" thickBot="1">
      <c r="A9" s="1863" t="s">
        <v>1062</v>
      </c>
      <c r="B9" s="1864" t="s">
        <v>1077</v>
      </c>
      <c r="C9" s="1865">
        <v>0.05</v>
      </c>
      <c r="D9" s="1866"/>
      <c r="E9" s="1866"/>
      <c r="F9" s="1867"/>
    </row>
    <row r="10" spans="1:6" ht="14.5" thickBot="1">
      <c r="A10" s="1855" t="s">
        <v>1121</v>
      </c>
      <c r="B10" s="1856" t="s">
        <v>2051</v>
      </c>
      <c r="C10" s="1857">
        <v>8.8999999999999996E-2</v>
      </c>
      <c r="D10" s="1857">
        <v>7.2999999999999995E-2</v>
      </c>
      <c r="E10" s="1857">
        <v>8.2000000000000003E-2</v>
      </c>
      <c r="F10" s="1858">
        <v>0.1</v>
      </c>
    </row>
    <row r="11" spans="1:6" ht="14.5" thickBot="1">
      <c r="A11" s="1855" t="s">
        <v>1121</v>
      </c>
      <c r="B11" s="1862" t="s">
        <v>1037</v>
      </c>
      <c r="C11" s="1860">
        <v>8.8999999999999996E-2</v>
      </c>
      <c r="D11" s="1860">
        <v>7.2999999999999995E-2</v>
      </c>
      <c r="E11" s="1860">
        <v>8.2000000000000003E-2</v>
      </c>
      <c r="F11" s="1861">
        <v>0.1</v>
      </c>
    </row>
    <row r="12" spans="1:6" ht="14.5" thickBot="1">
      <c r="A12" s="1855" t="s">
        <v>1121</v>
      </c>
      <c r="B12" s="1862" t="s">
        <v>1051</v>
      </c>
      <c r="C12" s="1860">
        <v>6.0999999999999999E-2</v>
      </c>
      <c r="D12" s="1860">
        <v>7.0999999999999994E-2</v>
      </c>
      <c r="E12" s="1860">
        <v>9.6000000000000002E-2</v>
      </c>
      <c r="F12" s="1861">
        <v>0.1</v>
      </c>
    </row>
    <row r="13" spans="1:6" ht="14.5" thickBot="1">
      <c r="A13" s="1855" t="s">
        <v>1121</v>
      </c>
      <c r="B13" s="1862" t="s">
        <v>1064</v>
      </c>
      <c r="C13" s="1860">
        <v>6.9000000000000006E-2</v>
      </c>
      <c r="D13" s="1860">
        <v>6.5000000000000002E-2</v>
      </c>
      <c r="E13" s="1860">
        <v>6.6000000000000003E-2</v>
      </c>
      <c r="F13" s="1861">
        <v>0.1</v>
      </c>
    </row>
    <row r="14" spans="1:6" ht="14.5" thickBot="1">
      <c r="A14" s="1855" t="s">
        <v>1121</v>
      </c>
      <c r="B14" s="1862" t="s">
        <v>1078</v>
      </c>
      <c r="C14" s="1860">
        <v>0.1</v>
      </c>
      <c r="D14" s="1860">
        <v>6.5000000000000002E-2</v>
      </c>
      <c r="E14" s="1860">
        <v>7.0000000000000007E-2</v>
      </c>
      <c r="F14" s="1861">
        <v>0.1</v>
      </c>
    </row>
    <row r="15" spans="1:6" ht="14.5" thickBot="1">
      <c r="A15" s="1855" t="s">
        <v>1121</v>
      </c>
      <c r="B15" s="1862" t="s">
        <v>1089</v>
      </c>
      <c r="C15" s="1860">
        <v>9.8000000000000004E-2</v>
      </c>
      <c r="D15" s="1860">
        <v>8.8999999999999996E-2</v>
      </c>
      <c r="E15" s="1860">
        <v>8.8999999999999996E-2</v>
      </c>
      <c r="F15" s="1861">
        <v>0.1</v>
      </c>
    </row>
    <row r="16" spans="1:6" ht="14.5" thickBot="1">
      <c r="A16" s="1855" t="s">
        <v>1121</v>
      </c>
      <c r="B16" s="1862" t="s">
        <v>1100</v>
      </c>
      <c r="C16" s="1860">
        <v>7.0000000000000007E-2</v>
      </c>
      <c r="D16" s="1860">
        <v>9.2999999999999999E-2</v>
      </c>
      <c r="E16" s="1860">
        <v>9.6000000000000002E-2</v>
      </c>
      <c r="F16" s="1861">
        <v>0.1</v>
      </c>
    </row>
    <row r="17" spans="1:6" ht="14.5" thickBot="1">
      <c r="A17" s="1855" t="s">
        <v>1121</v>
      </c>
      <c r="B17" s="1862" t="s">
        <v>1111</v>
      </c>
      <c r="C17" s="1860">
        <v>9.5000000000000001E-2</v>
      </c>
      <c r="D17" s="1860">
        <v>0.1</v>
      </c>
      <c r="E17" s="1860">
        <v>0.1</v>
      </c>
      <c r="F17" s="1868"/>
    </row>
    <row r="18" spans="1:6" ht="14.5" thickBot="1">
      <c r="A18" s="1855" t="s">
        <v>1121</v>
      </c>
      <c r="B18" s="1862" t="s">
        <v>1123</v>
      </c>
      <c r="C18" s="1860">
        <v>7.3999999999999996E-2</v>
      </c>
      <c r="D18" s="1860">
        <v>9.9000000000000005E-2</v>
      </c>
      <c r="E18" s="1860">
        <v>0.1</v>
      </c>
      <c r="F18" s="1868"/>
    </row>
    <row r="19" spans="1:6" ht="14.5" thickBot="1">
      <c r="A19" s="1855" t="s">
        <v>1121</v>
      </c>
      <c r="B19" s="1862" t="s">
        <v>1133</v>
      </c>
      <c r="C19" s="1860">
        <v>9.9000000000000005E-2</v>
      </c>
      <c r="D19" s="1860">
        <v>7.5999999999999998E-2</v>
      </c>
      <c r="E19" s="1860">
        <v>8.6999999999999994E-2</v>
      </c>
      <c r="F19" s="1868"/>
    </row>
    <row r="20" spans="1:6" ht="14.5" thickBot="1">
      <c r="A20" s="1855" t="s">
        <v>1121</v>
      </c>
      <c r="B20" s="1862" t="s">
        <v>1143</v>
      </c>
      <c r="C20" s="1860">
        <v>9.8000000000000004E-2</v>
      </c>
      <c r="D20" s="1860">
        <v>8.5000000000000006E-2</v>
      </c>
      <c r="E20" s="1860">
        <v>8.2000000000000003E-2</v>
      </c>
      <c r="F20" s="1868"/>
    </row>
    <row r="21" spans="1:6" ht="14.5" thickBot="1">
      <c r="A21" s="1855" t="s">
        <v>1121</v>
      </c>
      <c r="B21" s="1862" t="s">
        <v>1153</v>
      </c>
      <c r="C21" s="1860">
        <v>6.6000000000000003E-2</v>
      </c>
      <c r="D21" s="1860">
        <v>6.4000000000000001E-2</v>
      </c>
      <c r="E21" s="1860">
        <v>6.5000000000000002E-2</v>
      </c>
      <c r="F21" s="1868"/>
    </row>
    <row r="22" spans="1:6" ht="14.5" thickBot="1">
      <c r="A22" s="1855" t="s">
        <v>1121</v>
      </c>
      <c r="B22" s="1862" t="s">
        <v>2052</v>
      </c>
      <c r="C22" s="1860">
        <v>0.08</v>
      </c>
      <c r="D22" s="1860">
        <v>9.8000000000000004E-2</v>
      </c>
      <c r="E22" s="1860">
        <v>9.8000000000000004E-2</v>
      </c>
      <c r="F22" s="1868"/>
    </row>
    <row r="23" spans="1:6" ht="14.5" thickBot="1">
      <c r="A23" s="1855" t="s">
        <v>1121</v>
      </c>
      <c r="B23" s="1862" t="s">
        <v>1173</v>
      </c>
      <c r="C23" s="1860">
        <v>9.9000000000000005E-2</v>
      </c>
      <c r="D23" s="1860">
        <v>9.8000000000000004E-2</v>
      </c>
      <c r="E23" s="1860">
        <v>9.0999999999999998E-2</v>
      </c>
      <c r="F23" s="1868"/>
    </row>
    <row r="24" spans="1:6" ht="14.5" thickBot="1">
      <c r="A24" s="1855" t="s">
        <v>1121</v>
      </c>
      <c r="B24" s="1862" t="s">
        <v>1183</v>
      </c>
      <c r="C24" s="1860">
        <v>8.8999999999999996E-2</v>
      </c>
      <c r="D24" s="1860">
        <v>9.7000000000000003E-2</v>
      </c>
      <c r="E24" s="1860">
        <v>7.0000000000000007E-2</v>
      </c>
      <c r="F24" s="1868"/>
    </row>
    <row r="25" spans="1:6" ht="14.5" thickBot="1">
      <c r="A25" s="1855" t="s">
        <v>1121</v>
      </c>
      <c r="B25" s="1862" t="s">
        <v>1193</v>
      </c>
      <c r="C25" s="1860">
        <v>8.8999999999999996E-2</v>
      </c>
      <c r="D25" s="1860">
        <v>0.1</v>
      </c>
      <c r="E25" s="1860">
        <v>8.1000000000000003E-2</v>
      </c>
      <c r="F25" s="1868"/>
    </row>
    <row r="26" spans="1:6" ht="14.5" thickBot="1">
      <c r="A26" s="1855" t="s">
        <v>1121</v>
      </c>
      <c r="B26" s="1862" t="s">
        <v>1203</v>
      </c>
      <c r="C26" s="1869"/>
      <c r="D26" s="1860">
        <v>9.6000000000000002E-2</v>
      </c>
      <c r="E26" s="1860">
        <v>9.2999999999999999E-2</v>
      </c>
      <c r="F26" s="1868"/>
    </row>
    <row r="27" spans="1:6" ht="14.5" thickBot="1">
      <c r="A27" s="1855" t="s">
        <v>1121</v>
      </c>
      <c r="B27" s="1862" t="s">
        <v>1213</v>
      </c>
      <c r="C27" s="1869"/>
      <c r="D27" s="1860">
        <v>7.5999999999999998E-2</v>
      </c>
      <c r="E27" s="1860">
        <v>9.1999999999999998E-2</v>
      </c>
      <c r="F27" s="1868"/>
    </row>
    <row r="28" spans="1:6" ht="14.5" thickBot="1">
      <c r="A28" s="1863" t="s">
        <v>1121</v>
      </c>
      <c r="B28" s="1864" t="s">
        <v>1223</v>
      </c>
      <c r="C28" s="1866"/>
      <c r="D28" s="1865">
        <v>7.5999999999999998E-2</v>
      </c>
      <c r="E28" s="1865">
        <v>9.1999999999999998E-2</v>
      </c>
      <c r="F28" s="1867"/>
    </row>
    <row r="29" spans="1:6" ht="14.5" thickBot="1">
      <c r="A29" s="1855" t="s">
        <v>1292</v>
      </c>
      <c r="B29" s="1856" t="s">
        <v>2053</v>
      </c>
      <c r="C29" s="1857">
        <v>6.4000000000000001E-2</v>
      </c>
      <c r="D29" s="1857">
        <v>6.5000000000000002E-2</v>
      </c>
      <c r="E29" s="1857">
        <v>6.9000000000000006E-2</v>
      </c>
      <c r="F29" s="1858">
        <v>0.1</v>
      </c>
    </row>
    <row r="30" spans="1:6" ht="14.5" thickBot="1">
      <c r="A30" s="1855" t="s">
        <v>1292</v>
      </c>
      <c r="B30" s="1862" t="s">
        <v>1038</v>
      </c>
      <c r="C30" s="1860">
        <v>6.4000000000000001E-2</v>
      </c>
      <c r="D30" s="1860">
        <v>9.9000000000000005E-2</v>
      </c>
      <c r="E30" s="1860">
        <v>0.1</v>
      </c>
      <c r="F30" s="1861">
        <v>0.1</v>
      </c>
    </row>
    <row r="31" spans="1:6" ht="14.5" thickBot="1">
      <c r="A31" s="1855" t="s">
        <v>1292</v>
      </c>
      <c r="B31" s="1862" t="s">
        <v>1052</v>
      </c>
      <c r="C31" s="1860">
        <v>0.1</v>
      </c>
      <c r="D31" s="1860">
        <v>9.5000000000000001E-2</v>
      </c>
      <c r="E31" s="1860">
        <v>8.8999999999999996E-2</v>
      </c>
      <c r="F31" s="1861">
        <v>0.1</v>
      </c>
    </row>
    <row r="32" spans="1:6" ht="14.5" thickBot="1">
      <c r="A32" s="1855" t="s">
        <v>1292</v>
      </c>
      <c r="B32" s="1862" t="s">
        <v>1065</v>
      </c>
      <c r="C32" s="1860">
        <v>0.05</v>
      </c>
      <c r="D32" s="1860">
        <v>0.05</v>
      </c>
      <c r="E32" s="1860">
        <v>8.7999999999999995E-2</v>
      </c>
      <c r="F32" s="1861">
        <v>0.1</v>
      </c>
    </row>
    <row r="33" spans="1:6" ht="14.5" thickBot="1">
      <c r="A33" s="1855" t="s">
        <v>1292</v>
      </c>
      <c r="B33" s="1862" t="s">
        <v>1079</v>
      </c>
      <c r="C33" s="1860">
        <v>7.4999999999999997E-2</v>
      </c>
      <c r="D33" s="1860">
        <v>9.4E-2</v>
      </c>
      <c r="E33" s="1860">
        <v>9.7000000000000003E-2</v>
      </c>
      <c r="F33" s="1861">
        <v>0.1</v>
      </c>
    </row>
    <row r="34" spans="1:6" ht="14.5" thickBot="1">
      <c r="A34" s="1855" t="s">
        <v>1292</v>
      </c>
      <c r="B34" s="1862" t="s">
        <v>1090</v>
      </c>
      <c r="C34" s="1860">
        <v>9.8000000000000004E-2</v>
      </c>
      <c r="D34" s="1860">
        <v>8.5999999999999993E-2</v>
      </c>
      <c r="E34" s="1860">
        <v>9.7000000000000003E-2</v>
      </c>
      <c r="F34" s="1861">
        <v>0.1</v>
      </c>
    </row>
    <row r="35" spans="1:6" ht="14.5" thickBot="1">
      <c r="A35" s="1855" t="s">
        <v>1292</v>
      </c>
      <c r="B35" s="1862" t="s">
        <v>1101</v>
      </c>
      <c r="C35" s="1860">
        <v>5.8999999999999997E-2</v>
      </c>
      <c r="D35" s="1860">
        <v>6.5000000000000002E-2</v>
      </c>
      <c r="E35" s="1860">
        <v>7.0000000000000007E-2</v>
      </c>
      <c r="F35" s="1861">
        <v>0.1</v>
      </c>
    </row>
    <row r="36" spans="1:6" ht="14.5" thickBot="1">
      <c r="A36" s="1855" t="s">
        <v>1292</v>
      </c>
      <c r="B36" s="1862" t="s">
        <v>1112</v>
      </c>
      <c r="C36" s="1860">
        <v>6.3E-2</v>
      </c>
      <c r="D36" s="1860">
        <v>0.1</v>
      </c>
      <c r="E36" s="1860">
        <v>0.1</v>
      </c>
      <c r="F36" s="1861">
        <v>0.1</v>
      </c>
    </row>
    <row r="37" spans="1:6" ht="14.5" thickBot="1">
      <c r="A37" s="1855" t="s">
        <v>1292</v>
      </c>
      <c r="B37" s="1862" t="s">
        <v>1124</v>
      </c>
      <c r="C37" s="1860">
        <v>7.3999999999999996E-2</v>
      </c>
      <c r="D37" s="1860">
        <v>0.1</v>
      </c>
      <c r="E37" s="1860">
        <v>0.1</v>
      </c>
      <c r="F37" s="1861">
        <v>0.1</v>
      </c>
    </row>
    <row r="38" spans="1:6" ht="14.5" thickBot="1">
      <c r="A38" s="1855" t="s">
        <v>1292</v>
      </c>
      <c r="B38" s="1862" t="s">
        <v>1134</v>
      </c>
      <c r="C38" s="1860">
        <v>0.1</v>
      </c>
      <c r="D38" s="1860">
        <v>9.6000000000000002E-2</v>
      </c>
      <c r="E38" s="1860">
        <v>9.6000000000000002E-2</v>
      </c>
      <c r="F38" s="1868"/>
    </row>
    <row r="39" spans="1:6" ht="14.5" thickBot="1">
      <c r="A39" s="1855" t="s">
        <v>1292</v>
      </c>
      <c r="B39" s="1862" t="s">
        <v>1144</v>
      </c>
      <c r="C39" s="1860">
        <v>0.1</v>
      </c>
      <c r="D39" s="1860">
        <v>9.6000000000000002E-2</v>
      </c>
      <c r="E39" s="1860">
        <v>9.6000000000000002E-2</v>
      </c>
      <c r="F39" s="1868"/>
    </row>
    <row r="40" spans="1:6" ht="14.5" thickBot="1">
      <c r="A40" s="1855" t="s">
        <v>1292</v>
      </c>
      <c r="B40" s="1862" t="s">
        <v>1154</v>
      </c>
      <c r="C40" s="1860">
        <v>9.6000000000000002E-2</v>
      </c>
      <c r="D40" s="1860">
        <v>0.1</v>
      </c>
      <c r="E40" s="1860">
        <v>9.9000000000000005E-2</v>
      </c>
      <c r="F40" s="1868"/>
    </row>
    <row r="41" spans="1:6" ht="14.5" thickBot="1">
      <c r="A41" s="1855" t="s">
        <v>1292</v>
      </c>
      <c r="B41" s="1862" t="s">
        <v>1164</v>
      </c>
      <c r="C41" s="1860">
        <v>9.6000000000000002E-2</v>
      </c>
      <c r="D41" s="1860">
        <v>9.8000000000000004E-2</v>
      </c>
      <c r="E41" s="1860">
        <v>9.8000000000000004E-2</v>
      </c>
      <c r="F41" s="1868"/>
    </row>
    <row r="42" spans="1:6" ht="14.5" thickBot="1">
      <c r="A42" s="1855" t="s">
        <v>1292</v>
      </c>
      <c r="B42" s="1862" t="s">
        <v>1174</v>
      </c>
      <c r="C42" s="1860">
        <v>0.1</v>
      </c>
      <c r="D42" s="1860">
        <v>8.7999999999999995E-2</v>
      </c>
      <c r="E42" s="1860">
        <v>0.1</v>
      </c>
      <c r="F42" s="1868"/>
    </row>
    <row r="43" spans="1:6" ht="14.5" thickBot="1">
      <c r="A43" s="1855" t="s">
        <v>1292</v>
      </c>
      <c r="B43" s="1862" t="s">
        <v>1184</v>
      </c>
      <c r="C43" s="1860">
        <v>9.8000000000000004E-2</v>
      </c>
      <c r="D43" s="1860">
        <v>9.7000000000000003E-2</v>
      </c>
      <c r="E43" s="1860">
        <v>9.6000000000000002E-2</v>
      </c>
      <c r="F43" s="1868"/>
    </row>
    <row r="44" spans="1:6" ht="14.5" thickBot="1">
      <c r="A44" s="1855" t="s">
        <v>1292</v>
      </c>
      <c r="B44" s="1862" t="s">
        <v>1194</v>
      </c>
      <c r="C44" s="1860">
        <v>8.5999999999999993E-2</v>
      </c>
      <c r="D44" s="1860">
        <v>7.9000000000000001E-2</v>
      </c>
      <c r="E44" s="1860">
        <v>7.0999999999999994E-2</v>
      </c>
      <c r="F44" s="1868"/>
    </row>
    <row r="45" spans="1:6" ht="14.5" thickBot="1">
      <c r="A45" s="1855" t="s">
        <v>1292</v>
      </c>
      <c r="B45" s="1862" t="s">
        <v>1204</v>
      </c>
      <c r="C45" s="1860">
        <v>9.8000000000000004E-2</v>
      </c>
      <c r="D45" s="1860">
        <v>9.6000000000000002E-2</v>
      </c>
      <c r="E45" s="1860">
        <v>9.6000000000000002E-2</v>
      </c>
      <c r="F45" s="1868"/>
    </row>
    <row r="46" spans="1:6" ht="14.5" thickBot="1">
      <c r="A46" s="1855" t="s">
        <v>1292</v>
      </c>
      <c r="B46" s="1862" t="s">
        <v>1214</v>
      </c>
      <c r="C46" s="1860">
        <v>8.5999999999999993E-2</v>
      </c>
      <c r="D46" s="1860">
        <v>9.8000000000000004E-2</v>
      </c>
      <c r="E46" s="1860">
        <v>8.7999999999999995E-2</v>
      </c>
      <c r="F46" s="1868"/>
    </row>
    <row r="47" spans="1:6" ht="14.5" thickBot="1">
      <c r="A47" s="1855" t="s">
        <v>1292</v>
      </c>
      <c r="B47" s="1862" t="s">
        <v>1224</v>
      </c>
      <c r="C47" s="1860">
        <v>9.6000000000000002E-2</v>
      </c>
      <c r="D47" s="1869"/>
      <c r="E47" s="1860">
        <v>6.9000000000000006E-2</v>
      </c>
      <c r="F47" s="1868"/>
    </row>
    <row r="48" spans="1:6" ht="14.5" thickBot="1">
      <c r="A48" s="1863" t="s">
        <v>1292</v>
      </c>
      <c r="B48" s="1864" t="s">
        <v>1233</v>
      </c>
      <c r="C48" s="1865">
        <v>9.8000000000000004E-2</v>
      </c>
      <c r="D48" s="1866"/>
      <c r="E48" s="1865">
        <v>9.5000000000000001E-2</v>
      </c>
      <c r="F48" s="1867"/>
    </row>
    <row r="49" spans="1:6" ht="14.5" thickBot="1">
      <c r="A49" s="1855" t="s">
        <v>890</v>
      </c>
      <c r="B49" s="1856" t="s">
        <v>2054</v>
      </c>
      <c r="C49" s="1857">
        <v>9.7000000000000003E-2</v>
      </c>
      <c r="D49" s="1857">
        <v>9.5000000000000001E-2</v>
      </c>
      <c r="E49" s="1857">
        <v>9.7000000000000003E-2</v>
      </c>
      <c r="F49" s="1858">
        <v>0.1</v>
      </c>
    </row>
    <row r="50" spans="1:6" ht="14.5" thickBot="1">
      <c r="A50" s="1855" t="s">
        <v>890</v>
      </c>
      <c r="B50" s="1859" t="s">
        <v>1039</v>
      </c>
      <c r="C50" s="1860">
        <v>7.4999999999999997E-2</v>
      </c>
      <c r="D50" s="1860">
        <v>9.5000000000000001E-2</v>
      </c>
      <c r="E50" s="1860">
        <v>0.1</v>
      </c>
      <c r="F50" s="1861">
        <v>0.1</v>
      </c>
    </row>
    <row r="51" spans="1:6" ht="14.5" thickBot="1">
      <c r="A51" s="1855" t="s">
        <v>890</v>
      </c>
      <c r="B51" s="1859" t="s">
        <v>1053</v>
      </c>
      <c r="C51" s="1860">
        <v>9.8000000000000004E-2</v>
      </c>
      <c r="D51" s="1860">
        <v>8.8999999999999996E-2</v>
      </c>
      <c r="E51" s="1860">
        <v>0.1</v>
      </c>
      <c r="F51" s="1861">
        <v>0.1</v>
      </c>
    </row>
    <row r="52" spans="1:6" ht="14.5" thickBot="1">
      <c r="A52" s="1855" t="s">
        <v>890</v>
      </c>
      <c r="B52" s="1859" t="s">
        <v>1066</v>
      </c>
      <c r="C52" s="1860">
        <v>9.8000000000000004E-2</v>
      </c>
      <c r="D52" s="1860">
        <v>9.7000000000000003E-2</v>
      </c>
      <c r="E52" s="1860">
        <v>8.1000000000000003E-2</v>
      </c>
      <c r="F52" s="1861">
        <v>0.1</v>
      </c>
    </row>
    <row r="53" spans="1:6" ht="14.5" thickBot="1">
      <c r="A53" s="1855" t="s">
        <v>890</v>
      </c>
      <c r="B53" s="1859" t="s">
        <v>1080</v>
      </c>
      <c r="C53" s="1860">
        <v>9.7000000000000003E-2</v>
      </c>
      <c r="D53" s="1860">
        <v>7.5999999999999998E-2</v>
      </c>
      <c r="E53" s="1860">
        <v>7.0999999999999994E-2</v>
      </c>
      <c r="F53" s="1861">
        <v>0.1</v>
      </c>
    </row>
    <row r="54" spans="1:6" ht="14.5" thickBot="1">
      <c r="A54" s="1855" t="s">
        <v>890</v>
      </c>
      <c r="B54" s="1859" t="s">
        <v>1091</v>
      </c>
      <c r="C54" s="1860">
        <v>7.5999999999999998E-2</v>
      </c>
      <c r="D54" s="1860">
        <v>0.1</v>
      </c>
      <c r="E54" s="1860">
        <v>9.9000000000000005E-2</v>
      </c>
      <c r="F54" s="1861">
        <v>0.1</v>
      </c>
    </row>
    <row r="55" spans="1:6" ht="14.5" thickBot="1">
      <c r="A55" s="1855" t="s">
        <v>890</v>
      </c>
      <c r="B55" s="1859" t="s">
        <v>1102</v>
      </c>
      <c r="C55" s="1860">
        <v>0.1</v>
      </c>
      <c r="D55" s="1860">
        <v>0.1</v>
      </c>
      <c r="E55" s="1860">
        <v>9.6000000000000002E-2</v>
      </c>
      <c r="F55" s="1861">
        <v>0.1</v>
      </c>
    </row>
    <row r="56" spans="1:6" ht="14.5" thickBot="1">
      <c r="A56" s="1855" t="s">
        <v>890</v>
      </c>
      <c r="B56" s="1859" t="s">
        <v>1113</v>
      </c>
      <c r="C56" s="1860">
        <v>0.1</v>
      </c>
      <c r="D56" s="1860">
        <v>9.6000000000000002E-2</v>
      </c>
      <c r="E56" s="1860">
        <v>5.1999999999999998E-2</v>
      </c>
      <c r="F56" s="1861">
        <v>0.1</v>
      </c>
    </row>
    <row r="57" spans="1:6" ht="14.5" thickBot="1">
      <c r="A57" s="1855" t="s">
        <v>890</v>
      </c>
      <c r="B57" s="1859" t="s">
        <v>1125</v>
      </c>
      <c r="C57" s="1860">
        <v>9.7000000000000003E-2</v>
      </c>
      <c r="D57" s="1860">
        <v>9.6000000000000002E-2</v>
      </c>
      <c r="E57" s="1860">
        <v>9.6000000000000002E-2</v>
      </c>
      <c r="F57" s="1861">
        <v>0.1</v>
      </c>
    </row>
    <row r="58" spans="1:6" ht="14.5" thickBot="1">
      <c r="A58" s="1855" t="s">
        <v>890</v>
      </c>
      <c r="B58" s="1859" t="s">
        <v>1135</v>
      </c>
      <c r="C58" s="1860">
        <v>9.6000000000000002E-2</v>
      </c>
      <c r="D58" s="1860">
        <v>9.9000000000000005E-2</v>
      </c>
      <c r="E58" s="1860">
        <v>9.6000000000000002E-2</v>
      </c>
      <c r="F58" s="1861">
        <v>0.1</v>
      </c>
    </row>
    <row r="59" spans="1:6" ht="14.5" thickBot="1">
      <c r="A59" s="1855" t="s">
        <v>890</v>
      </c>
      <c r="B59" s="1859" t="s">
        <v>1145</v>
      </c>
      <c r="C59" s="1860">
        <v>7.1999999999999995E-2</v>
      </c>
      <c r="D59" s="1860">
        <v>9.6000000000000002E-2</v>
      </c>
      <c r="E59" s="1860">
        <v>7.0999999999999994E-2</v>
      </c>
      <c r="F59" s="1861">
        <v>0.1</v>
      </c>
    </row>
    <row r="60" spans="1:6" ht="14.5" thickBot="1">
      <c r="A60" s="1855" t="s">
        <v>890</v>
      </c>
      <c r="B60" s="1859" t="s">
        <v>1155</v>
      </c>
      <c r="C60" s="1860">
        <v>9.6000000000000002E-2</v>
      </c>
      <c r="D60" s="1860">
        <v>8.8999999999999996E-2</v>
      </c>
      <c r="E60" s="1860">
        <v>9.6000000000000002E-2</v>
      </c>
      <c r="F60" s="1861">
        <v>0.1</v>
      </c>
    </row>
    <row r="61" spans="1:6" ht="14.5" thickBot="1">
      <c r="A61" s="1855" t="s">
        <v>890</v>
      </c>
      <c r="B61" s="1859" t="s">
        <v>1165</v>
      </c>
      <c r="C61" s="1860">
        <v>8.8999999999999996E-2</v>
      </c>
      <c r="D61" s="1860">
        <v>9.8000000000000004E-2</v>
      </c>
      <c r="E61" s="1860">
        <v>8.7999999999999995E-2</v>
      </c>
      <c r="F61" s="1868"/>
    </row>
    <row r="62" spans="1:6" ht="14.5" thickBot="1">
      <c r="A62" s="1855" t="s">
        <v>890</v>
      </c>
      <c r="B62" s="1859" t="s">
        <v>1175</v>
      </c>
      <c r="C62" s="1860">
        <v>9.8000000000000004E-2</v>
      </c>
      <c r="D62" s="1860">
        <v>9.2999999999999999E-2</v>
      </c>
      <c r="E62" s="1860">
        <v>9.7000000000000003E-2</v>
      </c>
      <c r="F62" s="1868"/>
    </row>
    <row r="63" spans="1:6" ht="14.5" thickBot="1">
      <c r="A63" s="1855" t="s">
        <v>890</v>
      </c>
      <c r="B63" s="1859" t="s">
        <v>1185</v>
      </c>
      <c r="C63" s="1860">
        <v>9.6000000000000002E-2</v>
      </c>
      <c r="D63" s="1860">
        <v>9.8000000000000004E-2</v>
      </c>
      <c r="E63" s="1860">
        <v>0.09</v>
      </c>
      <c r="F63" s="1868"/>
    </row>
    <row r="64" spans="1:6" ht="14.5" thickBot="1">
      <c r="A64" s="1855" t="s">
        <v>890</v>
      </c>
      <c r="B64" s="1859" t="s">
        <v>1195</v>
      </c>
      <c r="C64" s="1860">
        <v>9.9000000000000005E-2</v>
      </c>
      <c r="D64" s="1860">
        <v>9.7000000000000003E-2</v>
      </c>
      <c r="E64" s="1860">
        <v>9.9000000000000005E-2</v>
      </c>
      <c r="F64" s="1868"/>
    </row>
    <row r="65" spans="1:6" ht="14.5" thickBot="1">
      <c r="A65" s="1855" t="s">
        <v>890</v>
      </c>
      <c r="B65" s="1859" t="s">
        <v>1205</v>
      </c>
      <c r="C65" s="1860">
        <v>9.8000000000000004E-2</v>
      </c>
      <c r="D65" s="1860">
        <v>9.6000000000000002E-2</v>
      </c>
      <c r="E65" s="1860">
        <v>9.6000000000000002E-2</v>
      </c>
      <c r="F65" s="1868"/>
    </row>
    <row r="66" spans="1:6" ht="14.5" thickBot="1">
      <c r="A66" s="1855" t="s">
        <v>890</v>
      </c>
      <c r="B66" s="1859" t="s">
        <v>1215</v>
      </c>
      <c r="C66" s="1860">
        <v>9.6000000000000002E-2</v>
      </c>
      <c r="D66" s="1860">
        <v>9.1999999999999998E-2</v>
      </c>
      <c r="E66" s="1860">
        <v>9.6000000000000002E-2</v>
      </c>
      <c r="F66" s="1868"/>
    </row>
    <row r="67" spans="1:6" ht="14.5" thickBot="1">
      <c r="A67" s="1855" t="s">
        <v>890</v>
      </c>
      <c r="B67" s="1859" t="s">
        <v>1225</v>
      </c>
      <c r="C67" s="1860">
        <v>9.4E-2</v>
      </c>
      <c r="D67" s="1860">
        <v>0.1</v>
      </c>
      <c r="E67" s="1860">
        <v>8.7999999999999995E-2</v>
      </c>
      <c r="F67" s="1868"/>
    </row>
    <row r="68" spans="1:6" ht="14.5" thickBot="1">
      <c r="A68" s="1855" t="s">
        <v>890</v>
      </c>
      <c r="B68" s="1859" t="s">
        <v>1234</v>
      </c>
      <c r="C68" s="1860">
        <v>0.1</v>
      </c>
      <c r="D68" s="1860">
        <v>8.7999999999999995E-2</v>
      </c>
      <c r="E68" s="1860">
        <v>9.7000000000000003E-2</v>
      </c>
      <c r="F68" s="1868"/>
    </row>
    <row r="69" spans="1:6" ht="14.5" thickBot="1">
      <c r="A69" s="1855" t="s">
        <v>890</v>
      </c>
      <c r="B69" s="1859" t="s">
        <v>1243</v>
      </c>
      <c r="C69" s="1860">
        <v>6.4000000000000001E-2</v>
      </c>
      <c r="D69" s="1860">
        <v>0.1</v>
      </c>
      <c r="E69" s="1860">
        <v>0.1</v>
      </c>
      <c r="F69" s="1868"/>
    </row>
    <row r="70" spans="1:6" ht="14.5" thickBot="1">
      <c r="A70" s="1855" t="s">
        <v>890</v>
      </c>
      <c r="B70" s="1859" t="s">
        <v>1251</v>
      </c>
      <c r="C70" s="1860">
        <v>9.0999999999999998E-2</v>
      </c>
      <c r="D70" s="1869"/>
      <c r="E70" s="1869"/>
      <c r="F70" s="1868"/>
    </row>
    <row r="71" spans="1:6" ht="14.5" thickBot="1">
      <c r="A71" s="1855" t="s">
        <v>890</v>
      </c>
      <c r="B71" s="1859" t="s">
        <v>1258</v>
      </c>
      <c r="C71" s="1860">
        <v>0.1</v>
      </c>
      <c r="D71" s="1869"/>
      <c r="E71" s="1869"/>
      <c r="F71" s="1868"/>
    </row>
    <row r="72" spans="1:6" ht="26.5" thickBot="1">
      <c r="A72" s="1855" t="s">
        <v>890</v>
      </c>
      <c r="B72" s="1859" t="s">
        <v>2055</v>
      </c>
      <c r="C72" s="1869"/>
      <c r="D72" s="1869"/>
      <c r="E72" s="1869"/>
      <c r="F72" s="1861">
        <v>0.05</v>
      </c>
    </row>
    <row r="73" spans="1:6" ht="26.5" thickBot="1">
      <c r="A73" s="1855" t="s">
        <v>890</v>
      </c>
      <c r="B73" s="1859" t="s">
        <v>2056</v>
      </c>
      <c r="C73" s="1869"/>
      <c r="D73" s="1869"/>
      <c r="E73" s="1869"/>
      <c r="F73" s="1861">
        <v>0.05</v>
      </c>
    </row>
    <row r="74" spans="1:6" ht="26.5" thickBot="1">
      <c r="A74" s="1855" t="s">
        <v>890</v>
      </c>
      <c r="B74" s="1859" t="s">
        <v>2057</v>
      </c>
      <c r="C74" s="1869"/>
      <c r="D74" s="1869"/>
      <c r="E74" s="1869"/>
      <c r="F74" s="1861">
        <v>0.05</v>
      </c>
    </row>
    <row r="75" spans="1:6" ht="26.5" thickBot="1">
      <c r="A75" s="1863" t="s">
        <v>890</v>
      </c>
      <c r="B75" s="1870" t="s">
        <v>2058</v>
      </c>
      <c r="C75" s="1866"/>
      <c r="D75" s="1866"/>
      <c r="E75" s="1866"/>
      <c r="F75" s="1871">
        <v>0.05</v>
      </c>
    </row>
    <row r="76" spans="1:6" ht="14.5" thickBot="1">
      <c r="A76" s="1855" t="s">
        <v>1373</v>
      </c>
      <c r="B76" s="1856" t="s">
        <v>2059</v>
      </c>
      <c r="C76" s="1857">
        <v>0.1</v>
      </c>
      <c r="D76" s="1857">
        <v>0.1</v>
      </c>
      <c r="E76" s="1857">
        <v>0.1</v>
      </c>
      <c r="F76" s="1858">
        <v>0.1</v>
      </c>
    </row>
    <row r="77" spans="1:6" ht="14.5" thickBot="1">
      <c r="A77" s="1855" t="s">
        <v>1373</v>
      </c>
      <c r="B77" s="1859" t="s">
        <v>1040</v>
      </c>
      <c r="C77" s="1860">
        <v>8.7999999999999995E-2</v>
      </c>
      <c r="D77" s="1860">
        <v>8.6999999999999994E-2</v>
      </c>
      <c r="E77" s="1860">
        <v>7.9000000000000001E-2</v>
      </c>
      <c r="F77" s="1861">
        <v>0.1</v>
      </c>
    </row>
    <row r="78" spans="1:6" ht="14.5" thickBot="1">
      <c r="A78" s="1855" t="s">
        <v>1373</v>
      </c>
      <c r="B78" s="1859" t="s">
        <v>1054</v>
      </c>
      <c r="C78" s="1860">
        <v>8.6999999999999994E-2</v>
      </c>
      <c r="D78" s="1860">
        <v>8.4000000000000005E-2</v>
      </c>
      <c r="E78" s="1860">
        <v>9.6000000000000002E-2</v>
      </c>
      <c r="F78" s="1861">
        <v>0.1</v>
      </c>
    </row>
    <row r="79" spans="1:6" ht="14.5" thickBot="1">
      <c r="A79" s="1855" t="s">
        <v>1373</v>
      </c>
      <c r="B79" s="1859" t="s">
        <v>1067</v>
      </c>
      <c r="C79" s="1860">
        <v>9.8000000000000004E-2</v>
      </c>
      <c r="D79" s="1860">
        <v>9.8000000000000004E-2</v>
      </c>
      <c r="E79" s="1860">
        <v>9.0999999999999998E-2</v>
      </c>
      <c r="F79" s="1861">
        <v>0.1</v>
      </c>
    </row>
    <row r="80" spans="1:6" ht="14.5" thickBot="1">
      <c r="A80" s="1855" t="s">
        <v>1373</v>
      </c>
      <c r="B80" s="1859" t="s">
        <v>1081</v>
      </c>
      <c r="C80" s="1860">
        <v>9.6000000000000002E-2</v>
      </c>
      <c r="D80" s="1860">
        <v>9.6000000000000002E-2</v>
      </c>
      <c r="E80" s="1860">
        <v>0.1</v>
      </c>
      <c r="F80" s="1861">
        <v>0.1</v>
      </c>
    </row>
    <row r="81" spans="1:6" ht="14.5" thickBot="1">
      <c r="A81" s="1855" t="s">
        <v>1373</v>
      </c>
      <c r="B81" s="1859" t="s">
        <v>1092</v>
      </c>
      <c r="C81" s="1860">
        <v>9.9000000000000005E-2</v>
      </c>
      <c r="D81" s="1860">
        <v>9.9000000000000005E-2</v>
      </c>
      <c r="E81" s="1860">
        <v>9.8000000000000004E-2</v>
      </c>
      <c r="F81" s="1861">
        <v>0.1</v>
      </c>
    </row>
    <row r="82" spans="1:6" ht="14.5" thickBot="1">
      <c r="A82" s="1855" t="s">
        <v>1373</v>
      </c>
      <c r="B82" s="1859" t="s">
        <v>1103</v>
      </c>
      <c r="C82" s="1860">
        <v>9.9000000000000005E-2</v>
      </c>
      <c r="D82" s="1860">
        <v>9.9000000000000005E-2</v>
      </c>
      <c r="E82" s="1860">
        <v>9.7000000000000003E-2</v>
      </c>
      <c r="F82" s="1861">
        <v>0.1</v>
      </c>
    </row>
    <row r="83" spans="1:6" ht="14.5" thickBot="1">
      <c r="A83" s="1855" t="s">
        <v>1373</v>
      </c>
      <c r="B83" s="1859" t="s">
        <v>1114</v>
      </c>
      <c r="C83" s="1860">
        <v>9.8000000000000004E-2</v>
      </c>
      <c r="D83" s="1860">
        <v>9.8000000000000004E-2</v>
      </c>
      <c r="E83" s="1860">
        <v>9.8000000000000004E-2</v>
      </c>
      <c r="F83" s="1861">
        <v>0.1</v>
      </c>
    </row>
    <row r="84" spans="1:6" ht="14.5" thickBot="1">
      <c r="A84" s="1855" t="s">
        <v>1373</v>
      </c>
      <c r="B84" s="1859" t="s">
        <v>1126</v>
      </c>
      <c r="C84" s="1860">
        <v>9.9000000000000005E-2</v>
      </c>
      <c r="D84" s="1860">
        <v>9.9000000000000005E-2</v>
      </c>
      <c r="E84" s="1860">
        <v>9.9000000000000005E-2</v>
      </c>
      <c r="F84" s="1861">
        <v>0.1</v>
      </c>
    </row>
    <row r="85" spans="1:6" ht="14.5" thickBot="1">
      <c r="A85" s="1855" t="s">
        <v>1373</v>
      </c>
      <c r="B85" s="1859" t="s">
        <v>1136</v>
      </c>
      <c r="C85" s="1860">
        <v>9.9000000000000005E-2</v>
      </c>
      <c r="D85" s="1860">
        <v>9.9000000000000005E-2</v>
      </c>
      <c r="E85" s="1860">
        <v>9.9000000000000005E-2</v>
      </c>
      <c r="F85" s="1861">
        <v>0.1</v>
      </c>
    </row>
    <row r="86" spans="1:6" ht="14.5" thickBot="1">
      <c r="A86" s="1855" t="s">
        <v>1373</v>
      </c>
      <c r="B86" s="1859" t="s">
        <v>1146</v>
      </c>
      <c r="C86" s="1860">
        <v>0.1</v>
      </c>
      <c r="D86" s="1860">
        <v>0.1</v>
      </c>
      <c r="E86" s="1860">
        <v>7.6999999999999999E-2</v>
      </c>
      <c r="F86" s="1861">
        <v>0.1</v>
      </c>
    </row>
    <row r="87" spans="1:6" ht="14.5" thickBot="1">
      <c r="A87" s="1855" t="s">
        <v>1373</v>
      </c>
      <c r="B87" s="1859" t="s">
        <v>1156</v>
      </c>
      <c r="C87" s="1860">
        <v>0.1</v>
      </c>
      <c r="D87" s="1860">
        <v>0.1</v>
      </c>
      <c r="E87" s="1860">
        <v>9.8000000000000004E-2</v>
      </c>
      <c r="F87" s="1868"/>
    </row>
    <row r="88" spans="1:6" ht="14.5" thickBot="1">
      <c r="A88" s="1855" t="s">
        <v>1373</v>
      </c>
      <c r="B88" s="1859" t="s">
        <v>1166</v>
      </c>
      <c r="C88" s="1860">
        <v>9.1999999999999998E-2</v>
      </c>
      <c r="D88" s="1860">
        <v>8.5000000000000006E-2</v>
      </c>
      <c r="E88" s="1860">
        <v>9.6000000000000002E-2</v>
      </c>
      <c r="F88" s="1868"/>
    </row>
    <row r="89" spans="1:6" ht="14.5" thickBot="1">
      <c r="A89" s="1855" t="s">
        <v>1373</v>
      </c>
      <c r="B89" s="1859" t="s">
        <v>1176</v>
      </c>
      <c r="C89" s="1860">
        <v>0.1</v>
      </c>
      <c r="D89" s="1860">
        <v>0.1</v>
      </c>
      <c r="E89" s="1860">
        <v>9.7000000000000003E-2</v>
      </c>
      <c r="F89" s="1868"/>
    </row>
    <row r="90" spans="1:6" ht="14.5" thickBot="1">
      <c r="A90" s="1855" t="s">
        <v>1373</v>
      </c>
      <c r="B90" s="1859" t="s">
        <v>1186</v>
      </c>
      <c r="C90" s="1860">
        <v>9.8000000000000004E-2</v>
      </c>
      <c r="D90" s="1860">
        <v>9.8000000000000004E-2</v>
      </c>
      <c r="E90" s="1860">
        <v>8.7999999999999995E-2</v>
      </c>
      <c r="F90" s="1868"/>
    </row>
    <row r="91" spans="1:6" ht="14.5" thickBot="1">
      <c r="A91" s="1855" t="s">
        <v>1373</v>
      </c>
      <c r="B91" s="1859" t="s">
        <v>1196</v>
      </c>
      <c r="C91" s="1860">
        <v>9.9000000000000005E-2</v>
      </c>
      <c r="D91" s="1860">
        <v>9.9000000000000005E-2</v>
      </c>
      <c r="E91" s="1860">
        <v>9.0999999999999998E-2</v>
      </c>
      <c r="F91" s="1868"/>
    </row>
    <row r="92" spans="1:6" ht="14.5" thickBot="1">
      <c r="A92" s="1855" t="s">
        <v>1373</v>
      </c>
      <c r="B92" s="1859" t="s">
        <v>1206</v>
      </c>
      <c r="C92" s="1860">
        <v>9.6000000000000002E-2</v>
      </c>
      <c r="D92" s="1860">
        <v>9.6000000000000002E-2</v>
      </c>
      <c r="E92" s="1860">
        <v>7.2999999999999995E-2</v>
      </c>
      <c r="F92" s="1868"/>
    </row>
    <row r="93" spans="1:6" ht="14.5" thickBot="1">
      <c r="A93" s="1855" t="s">
        <v>1373</v>
      </c>
      <c r="B93" s="1859" t="s">
        <v>1216</v>
      </c>
      <c r="C93" s="1860">
        <v>9.6000000000000002E-2</v>
      </c>
      <c r="D93" s="1860">
        <v>9.6000000000000002E-2</v>
      </c>
      <c r="E93" s="1860">
        <v>9.9000000000000005E-2</v>
      </c>
      <c r="F93" s="1868"/>
    </row>
    <row r="94" spans="1:6" ht="14.5" thickBot="1">
      <c r="A94" s="1855" t="s">
        <v>1373</v>
      </c>
      <c r="B94" s="1859" t="s">
        <v>1226</v>
      </c>
      <c r="C94" s="1860">
        <v>7.5999999999999998E-2</v>
      </c>
      <c r="D94" s="1860">
        <v>7.3999999999999996E-2</v>
      </c>
      <c r="E94" s="1860">
        <v>9.7000000000000003E-2</v>
      </c>
      <c r="F94" s="1868"/>
    </row>
    <row r="95" spans="1:6" ht="14.5" thickBot="1">
      <c r="A95" s="1855" t="s">
        <v>1373</v>
      </c>
      <c r="B95" s="1859" t="s">
        <v>1235</v>
      </c>
      <c r="C95" s="1860">
        <v>9.9000000000000005E-2</v>
      </c>
      <c r="D95" s="1860">
        <v>9.4E-2</v>
      </c>
      <c r="E95" s="1860">
        <v>9.6000000000000002E-2</v>
      </c>
      <c r="F95" s="1868"/>
    </row>
    <row r="96" spans="1:6" ht="14.5" thickBot="1">
      <c r="A96" s="1855" t="s">
        <v>1373</v>
      </c>
      <c r="B96" s="1859" t="s">
        <v>1244</v>
      </c>
      <c r="C96" s="1860">
        <v>9.9000000000000005E-2</v>
      </c>
      <c r="D96" s="1860">
        <v>9.9000000000000005E-2</v>
      </c>
      <c r="E96" s="1860">
        <v>9.9000000000000005E-2</v>
      </c>
      <c r="F96" s="1868"/>
    </row>
    <row r="97" spans="1:6" ht="14.5" thickBot="1">
      <c r="A97" s="1855" t="s">
        <v>1373</v>
      </c>
      <c r="B97" s="1859" t="s">
        <v>1252</v>
      </c>
      <c r="C97" s="1860">
        <v>9.8000000000000004E-2</v>
      </c>
      <c r="D97" s="1860">
        <v>9.8000000000000004E-2</v>
      </c>
      <c r="E97" s="1860">
        <v>9.7000000000000003E-2</v>
      </c>
      <c r="F97" s="1868"/>
    </row>
    <row r="98" spans="1:6" ht="14.5" thickBot="1">
      <c r="A98" s="1855" t="s">
        <v>1373</v>
      </c>
      <c r="B98" s="1859" t="s">
        <v>1259</v>
      </c>
      <c r="C98" s="1860">
        <v>0.1</v>
      </c>
      <c r="D98" s="1860">
        <v>0.1</v>
      </c>
      <c r="E98" s="1860">
        <v>9.7000000000000003E-2</v>
      </c>
      <c r="F98" s="1868"/>
    </row>
    <row r="99" spans="1:6" ht="14.5" thickBot="1">
      <c r="A99" s="1855" t="s">
        <v>1373</v>
      </c>
      <c r="B99" s="1859" t="s">
        <v>1266</v>
      </c>
      <c r="C99" s="1860">
        <v>0.1</v>
      </c>
      <c r="D99" s="1860">
        <v>0.1</v>
      </c>
      <c r="E99" s="1869"/>
      <c r="F99" s="1868"/>
    </row>
    <row r="100" spans="1:6" ht="14.5" thickBot="1">
      <c r="A100" s="1855" t="s">
        <v>1373</v>
      </c>
      <c r="B100" s="1859" t="s">
        <v>1273</v>
      </c>
      <c r="C100" s="1860">
        <v>0.09</v>
      </c>
      <c r="D100" s="1860">
        <v>8.8999999999999996E-2</v>
      </c>
      <c r="E100" s="1869"/>
      <c r="F100" s="1868"/>
    </row>
    <row r="101" spans="1:6" ht="14.5" thickBot="1">
      <c r="A101" s="1855" t="s">
        <v>1373</v>
      </c>
      <c r="B101" s="1859" t="s">
        <v>1280</v>
      </c>
      <c r="C101" s="1860">
        <v>9.8000000000000004E-2</v>
      </c>
      <c r="D101" s="1860">
        <v>9.7000000000000003E-2</v>
      </c>
      <c r="E101" s="1869"/>
      <c r="F101" s="1868"/>
    </row>
    <row r="102" spans="1:6" ht="26.5" thickBot="1">
      <c r="A102" s="1855" t="s">
        <v>1373</v>
      </c>
      <c r="B102" s="1859" t="s">
        <v>2060</v>
      </c>
      <c r="C102" s="1869"/>
      <c r="D102" s="1869"/>
      <c r="E102" s="1869"/>
      <c r="F102" s="1861">
        <v>0.05</v>
      </c>
    </row>
    <row r="103" spans="1:6" ht="26.5" thickBot="1">
      <c r="A103" s="1855" t="s">
        <v>1373</v>
      </c>
      <c r="B103" s="1859" t="s">
        <v>2061</v>
      </c>
      <c r="C103" s="1869"/>
      <c r="D103" s="1869"/>
      <c r="E103" s="1869"/>
      <c r="F103" s="1861">
        <v>0.05</v>
      </c>
    </row>
    <row r="104" spans="1:6" ht="14.5" thickBot="1">
      <c r="A104" s="1855" t="s">
        <v>1373</v>
      </c>
      <c r="B104" s="1859" t="s">
        <v>2062</v>
      </c>
      <c r="C104" s="1869"/>
      <c r="D104" s="1869"/>
      <c r="E104" s="1869"/>
      <c r="F104" s="1861">
        <v>0.05</v>
      </c>
    </row>
    <row r="105" spans="1:6" ht="26.5" thickBot="1">
      <c r="A105" s="1855" t="s">
        <v>1373</v>
      </c>
      <c r="B105" s="1859" t="s">
        <v>2063</v>
      </c>
      <c r="C105" s="1869"/>
      <c r="D105" s="1869"/>
      <c r="E105" s="1869"/>
      <c r="F105" s="1861">
        <v>0.05</v>
      </c>
    </row>
    <row r="106" spans="1:6" ht="26.5" thickBot="1">
      <c r="A106" s="1855" t="s">
        <v>1373</v>
      </c>
      <c r="B106" s="1859" t="s">
        <v>2064</v>
      </c>
      <c r="C106" s="1869"/>
      <c r="D106" s="1869"/>
      <c r="E106" s="1869"/>
      <c r="F106" s="1861">
        <v>0.05</v>
      </c>
    </row>
    <row r="107" spans="1:6" ht="26.5" thickBot="1">
      <c r="A107" s="1855" t="s">
        <v>1373</v>
      </c>
      <c r="B107" s="1859" t="s">
        <v>2065</v>
      </c>
      <c r="C107" s="1869"/>
      <c r="D107" s="1869"/>
      <c r="E107" s="1869"/>
      <c r="F107" s="1861">
        <v>0.05</v>
      </c>
    </row>
    <row r="108" spans="1:6" ht="26.5" thickBot="1">
      <c r="A108" s="1855" t="s">
        <v>1373</v>
      </c>
      <c r="B108" s="1859" t="s">
        <v>2066</v>
      </c>
      <c r="C108" s="1869"/>
      <c r="D108" s="1869"/>
      <c r="E108" s="1869"/>
      <c r="F108" s="1861">
        <v>0.05</v>
      </c>
    </row>
    <row r="109" spans="1:6" ht="26.5" thickBot="1">
      <c r="A109" s="1863" t="s">
        <v>1373</v>
      </c>
      <c r="B109" s="1870" t="s">
        <v>2067</v>
      </c>
      <c r="C109" s="1866"/>
      <c r="D109" s="1866"/>
      <c r="E109" s="1866"/>
      <c r="F109" s="1871">
        <v>0.05</v>
      </c>
    </row>
    <row r="110" spans="1:6" ht="14.5" thickBot="1">
      <c r="A110" s="1855" t="s">
        <v>1375</v>
      </c>
      <c r="B110" s="1856" t="s">
        <v>2068</v>
      </c>
      <c r="C110" s="1857">
        <v>0.129</v>
      </c>
      <c r="D110" s="1857">
        <v>0.129</v>
      </c>
      <c r="E110" s="1857">
        <v>0.126</v>
      </c>
      <c r="F110" s="1858">
        <v>0.13</v>
      </c>
    </row>
    <row r="111" spans="1:6" ht="14.5" thickBot="1">
      <c r="A111" s="1855" t="s">
        <v>1375</v>
      </c>
      <c r="B111" s="1859" t="s">
        <v>1041</v>
      </c>
      <c r="C111" s="1860">
        <v>0.11</v>
      </c>
      <c r="D111" s="1860">
        <v>0.11</v>
      </c>
      <c r="E111" s="1860">
        <v>9.9000000000000005E-2</v>
      </c>
      <c r="F111" s="1861">
        <v>0.128</v>
      </c>
    </row>
    <row r="112" spans="1:6" ht="14.5" thickBot="1">
      <c r="A112" s="1855" t="s">
        <v>1375</v>
      </c>
      <c r="B112" s="1859" t="s">
        <v>1055</v>
      </c>
      <c r="C112" s="1860">
        <v>0.125</v>
      </c>
      <c r="D112" s="1860">
        <v>0.125</v>
      </c>
      <c r="E112" s="1860">
        <v>0.12</v>
      </c>
      <c r="F112" s="1861">
        <v>0.125</v>
      </c>
    </row>
    <row r="113" spans="1:6" ht="14.5" thickBot="1">
      <c r="A113" s="1855" t="s">
        <v>1375</v>
      </c>
      <c r="B113" s="1859" t="s">
        <v>1068</v>
      </c>
      <c r="C113" s="1860">
        <v>0.13</v>
      </c>
      <c r="D113" s="1860">
        <v>0.13</v>
      </c>
      <c r="E113" s="1860">
        <v>0.13</v>
      </c>
      <c r="F113" s="1861">
        <v>0.13</v>
      </c>
    </row>
    <row r="114" spans="1:6" ht="14.5" thickBot="1">
      <c r="A114" s="1855" t="s">
        <v>1375</v>
      </c>
      <c r="B114" s="1859" t="s">
        <v>1082</v>
      </c>
      <c r="C114" s="1860">
        <v>0.123</v>
      </c>
      <c r="D114" s="1860">
        <v>0.123</v>
      </c>
      <c r="E114" s="1860">
        <v>0.12</v>
      </c>
      <c r="F114" s="1861">
        <v>0.13</v>
      </c>
    </row>
    <row r="115" spans="1:6" ht="14.5" thickBot="1">
      <c r="A115" s="1855" t="s">
        <v>1375</v>
      </c>
      <c r="B115" s="1859" t="s">
        <v>1093</v>
      </c>
      <c r="C115" s="1860">
        <v>0.125</v>
      </c>
      <c r="D115" s="1860">
        <v>0.125</v>
      </c>
      <c r="E115" s="1860">
        <v>0.11700000000000001</v>
      </c>
      <c r="F115" s="1861">
        <v>0.13</v>
      </c>
    </row>
    <row r="116" spans="1:6" ht="14.5" thickBot="1">
      <c r="A116" s="1855" t="s">
        <v>1375</v>
      </c>
      <c r="B116" s="1859" t="s">
        <v>1104</v>
      </c>
      <c r="C116" s="1860">
        <v>0.11700000000000001</v>
      </c>
      <c r="D116" s="1860">
        <v>0.11700000000000001</v>
      </c>
      <c r="E116" s="1860">
        <v>8.7999999999999995E-2</v>
      </c>
      <c r="F116" s="1861">
        <v>0.13</v>
      </c>
    </row>
    <row r="117" spans="1:6" ht="14.5" thickBot="1">
      <c r="A117" s="1855" t="s">
        <v>1375</v>
      </c>
      <c r="B117" s="1859" t="s">
        <v>1115</v>
      </c>
      <c r="C117" s="1860">
        <v>0.13</v>
      </c>
      <c r="D117" s="1860">
        <v>0.13</v>
      </c>
      <c r="E117" s="1860">
        <v>0.129</v>
      </c>
      <c r="F117" s="1861">
        <v>0.13</v>
      </c>
    </row>
    <row r="118" spans="1:6" ht="14.5" thickBot="1">
      <c r="A118" s="1855" t="s">
        <v>1375</v>
      </c>
      <c r="B118" s="1859" t="s">
        <v>1127</v>
      </c>
      <c r="C118" s="1860">
        <v>0.123</v>
      </c>
      <c r="D118" s="1860">
        <v>0.123</v>
      </c>
      <c r="E118" s="1860">
        <v>0.11600000000000001</v>
      </c>
      <c r="F118" s="1861">
        <v>0.13</v>
      </c>
    </row>
    <row r="119" spans="1:6" ht="14.5" thickBot="1">
      <c r="A119" s="1855" t="s">
        <v>1375</v>
      </c>
      <c r="B119" s="1859" t="s">
        <v>1137</v>
      </c>
      <c r="C119" s="1860">
        <v>0.127</v>
      </c>
      <c r="D119" s="1860">
        <v>0.127</v>
      </c>
      <c r="E119" s="1860">
        <v>0.124</v>
      </c>
      <c r="F119" s="1861">
        <v>0.13</v>
      </c>
    </row>
    <row r="120" spans="1:6" ht="14.5" thickBot="1">
      <c r="A120" s="1855" t="s">
        <v>1375</v>
      </c>
      <c r="B120" s="1859" t="s">
        <v>1147</v>
      </c>
      <c r="C120" s="1860">
        <v>0.125</v>
      </c>
      <c r="D120" s="1860">
        <v>0.125</v>
      </c>
      <c r="E120" s="1860">
        <v>0.122</v>
      </c>
      <c r="F120" s="1861">
        <v>0.13</v>
      </c>
    </row>
    <row r="121" spans="1:6" ht="14.5" thickBot="1">
      <c r="A121" s="1855" t="s">
        <v>1375</v>
      </c>
      <c r="B121" s="1859" t="s">
        <v>1157</v>
      </c>
      <c r="C121" s="1860">
        <v>0.13</v>
      </c>
      <c r="D121" s="1860">
        <v>0.13</v>
      </c>
      <c r="E121" s="1860">
        <v>0.13</v>
      </c>
      <c r="F121" s="1861">
        <v>0.13</v>
      </c>
    </row>
    <row r="122" spans="1:6" ht="14.5" thickBot="1">
      <c r="A122" s="1855" t="s">
        <v>1375</v>
      </c>
      <c r="B122" s="1859" t="s">
        <v>1167</v>
      </c>
      <c r="C122" s="1860">
        <v>0.13</v>
      </c>
      <c r="D122" s="1860">
        <v>0.13</v>
      </c>
      <c r="E122" s="1860">
        <v>0.125</v>
      </c>
      <c r="F122" s="1861">
        <v>0.13</v>
      </c>
    </row>
    <row r="123" spans="1:6" ht="14.5" thickBot="1">
      <c r="A123" s="1855" t="s">
        <v>1375</v>
      </c>
      <c r="B123" s="1859" t="s">
        <v>1177</v>
      </c>
      <c r="C123" s="1860">
        <v>0.129</v>
      </c>
      <c r="D123" s="1860">
        <v>0.129</v>
      </c>
      <c r="E123" s="1860">
        <v>0.123</v>
      </c>
      <c r="F123" s="1861">
        <v>0.13</v>
      </c>
    </row>
    <row r="124" spans="1:6" ht="14.5" thickBot="1">
      <c r="A124" s="1855" t="s">
        <v>1375</v>
      </c>
      <c r="B124" s="1859" t="s">
        <v>1187</v>
      </c>
      <c r="C124" s="1860">
        <v>0.10199999999999999</v>
      </c>
      <c r="D124" s="1860">
        <v>0.10100000000000001</v>
      </c>
      <c r="E124" s="1860">
        <v>0.08</v>
      </c>
      <c r="F124" s="1868"/>
    </row>
    <row r="125" spans="1:6" ht="14.5" thickBot="1">
      <c r="A125" s="1855" t="s">
        <v>1375</v>
      </c>
      <c r="B125" s="1859" t="s">
        <v>1197</v>
      </c>
      <c r="C125" s="1860">
        <v>0.13</v>
      </c>
      <c r="D125" s="1860">
        <v>0.13</v>
      </c>
      <c r="E125" s="1860">
        <v>0.129</v>
      </c>
      <c r="F125" s="1868"/>
    </row>
    <row r="126" spans="1:6" ht="14.5" thickBot="1">
      <c r="A126" s="1855" t="s">
        <v>1375</v>
      </c>
      <c r="B126" s="1859" t="s">
        <v>1207</v>
      </c>
      <c r="C126" s="1860">
        <v>0.13</v>
      </c>
      <c r="D126" s="1860">
        <v>0.13</v>
      </c>
      <c r="E126" s="1860">
        <v>0.126</v>
      </c>
      <c r="F126" s="1868"/>
    </row>
    <row r="127" spans="1:6" ht="14.5" thickBot="1">
      <c r="A127" s="1855" t="s">
        <v>1375</v>
      </c>
      <c r="B127" s="1859" t="s">
        <v>1217</v>
      </c>
      <c r="C127" s="1860">
        <v>0.125</v>
      </c>
      <c r="D127" s="1860">
        <v>0.125</v>
      </c>
      <c r="E127" s="1860">
        <v>0.121</v>
      </c>
      <c r="F127" s="1868"/>
    </row>
    <row r="128" spans="1:6" ht="14.5" thickBot="1">
      <c r="A128" s="1855" t="s">
        <v>1375</v>
      </c>
      <c r="B128" s="1859" t="s">
        <v>1227</v>
      </c>
      <c r="C128" s="1860">
        <v>0.12</v>
      </c>
      <c r="D128" s="1860">
        <v>0.12</v>
      </c>
      <c r="E128" s="1860">
        <v>0.105</v>
      </c>
      <c r="F128" s="1868"/>
    </row>
    <row r="129" spans="1:6" ht="14.5" thickBot="1">
      <c r="A129" s="1855" t="s">
        <v>1375</v>
      </c>
      <c r="B129" s="1859" t="s">
        <v>1236</v>
      </c>
      <c r="C129" s="1860">
        <v>0.13</v>
      </c>
      <c r="D129" s="1860">
        <v>0.13</v>
      </c>
      <c r="E129" s="1860">
        <v>0.126</v>
      </c>
      <c r="F129" s="1868"/>
    </row>
    <row r="130" spans="1:6" ht="14.5" thickBot="1">
      <c r="A130" s="1855" t="s">
        <v>1375</v>
      </c>
      <c r="B130" s="1859" t="s">
        <v>1245</v>
      </c>
      <c r="C130" s="1860">
        <v>0.125</v>
      </c>
      <c r="D130" s="1860">
        <v>0.125</v>
      </c>
      <c r="E130" s="1860">
        <v>0.122</v>
      </c>
      <c r="F130" s="1868"/>
    </row>
    <row r="131" spans="1:6" ht="14.5" thickBot="1">
      <c r="A131" s="1855" t="s">
        <v>1375</v>
      </c>
      <c r="B131" s="1859" t="s">
        <v>1253</v>
      </c>
      <c r="C131" s="1860">
        <v>0.127</v>
      </c>
      <c r="D131" s="1860">
        <v>0.126</v>
      </c>
      <c r="E131" s="1860">
        <v>0.123</v>
      </c>
      <c r="F131" s="1868"/>
    </row>
    <row r="132" spans="1:6" ht="14.5" thickBot="1">
      <c r="A132" s="1855" t="s">
        <v>1375</v>
      </c>
      <c r="B132" s="1859" t="s">
        <v>1260</v>
      </c>
      <c r="C132" s="1860">
        <v>9.0999999999999998E-2</v>
      </c>
      <c r="D132" s="1860">
        <v>0.121</v>
      </c>
      <c r="E132" s="1860">
        <v>9.9000000000000005E-2</v>
      </c>
      <c r="F132" s="1868"/>
    </row>
    <row r="133" spans="1:6" ht="14.5" thickBot="1">
      <c r="A133" s="1855" t="s">
        <v>1375</v>
      </c>
      <c r="B133" s="1859" t="s">
        <v>1267</v>
      </c>
      <c r="C133" s="1860">
        <v>0.13</v>
      </c>
      <c r="D133" s="1860">
        <v>0.13</v>
      </c>
      <c r="E133" s="1860">
        <v>0.129</v>
      </c>
      <c r="F133" s="1868"/>
    </row>
    <row r="134" spans="1:6" ht="14.5" thickBot="1">
      <c r="A134" s="1855" t="s">
        <v>1375</v>
      </c>
      <c r="B134" s="1859" t="s">
        <v>2069</v>
      </c>
      <c r="C134" s="1860">
        <v>6.8000000000000005E-2</v>
      </c>
      <c r="D134" s="1860">
        <v>6.5000000000000002E-2</v>
      </c>
      <c r="E134" s="1860">
        <v>6.5000000000000002E-2</v>
      </c>
      <c r="F134" s="1861">
        <v>0.13</v>
      </c>
    </row>
    <row r="135" spans="1:6" ht="14.5" thickBot="1">
      <c r="A135" s="1855" t="s">
        <v>1375</v>
      </c>
      <c r="B135" s="1859" t="s">
        <v>1281</v>
      </c>
      <c r="C135" s="1860">
        <v>0.123</v>
      </c>
      <c r="D135" s="1860">
        <v>0.123</v>
      </c>
      <c r="E135" s="1860">
        <v>0.11</v>
      </c>
      <c r="F135" s="1868"/>
    </row>
    <row r="136" spans="1:6" ht="14.5" thickBot="1">
      <c r="A136" s="1855" t="s">
        <v>1375</v>
      </c>
      <c r="B136" s="1859" t="s">
        <v>1288</v>
      </c>
      <c r="C136" s="1860">
        <v>0.13</v>
      </c>
      <c r="D136" s="1860">
        <v>0.13</v>
      </c>
      <c r="E136" s="1860">
        <v>0.125</v>
      </c>
      <c r="F136" s="1868"/>
    </row>
    <row r="137" spans="1:6" ht="14.5" thickBot="1">
      <c r="A137" s="1855" t="s">
        <v>1375</v>
      </c>
      <c r="B137" s="1859" t="s">
        <v>1295</v>
      </c>
      <c r="C137" s="1860">
        <v>0.121</v>
      </c>
      <c r="D137" s="1860">
        <v>0.122</v>
      </c>
      <c r="E137" s="1860">
        <v>0.115</v>
      </c>
      <c r="F137" s="1868"/>
    </row>
    <row r="138" spans="1:6" ht="14.5" thickBot="1">
      <c r="A138" s="1855" t="s">
        <v>1375</v>
      </c>
      <c r="B138" s="1859" t="s">
        <v>2070</v>
      </c>
      <c r="C138" s="1860">
        <v>0.105</v>
      </c>
      <c r="D138" s="1860">
        <v>0.125</v>
      </c>
      <c r="E138" s="1860">
        <v>0.112</v>
      </c>
      <c r="F138" s="1868"/>
    </row>
    <row r="139" spans="1:6" ht="14.5" thickBot="1">
      <c r="A139" s="1855" t="s">
        <v>1375</v>
      </c>
      <c r="B139" s="1859" t="s">
        <v>2071</v>
      </c>
      <c r="C139" s="1860">
        <v>0.127</v>
      </c>
      <c r="D139" s="1860">
        <v>0.127</v>
      </c>
      <c r="E139" s="1860">
        <v>0.122</v>
      </c>
      <c r="F139" s="1861">
        <v>0.13</v>
      </c>
    </row>
    <row r="140" spans="1:6" ht="14.5" thickBot="1">
      <c r="A140" s="1855" t="s">
        <v>1375</v>
      </c>
      <c r="B140" s="1859" t="s">
        <v>2072</v>
      </c>
      <c r="C140" s="1860">
        <v>0.125</v>
      </c>
      <c r="D140" s="1860">
        <v>0.125</v>
      </c>
      <c r="E140" s="1860">
        <v>0.11899999999999999</v>
      </c>
      <c r="F140" s="1861">
        <v>0.13</v>
      </c>
    </row>
    <row r="141" spans="1:6" ht="14.5" thickBot="1">
      <c r="A141" s="1855" t="s">
        <v>1375</v>
      </c>
      <c r="B141" s="1859" t="s">
        <v>1314</v>
      </c>
      <c r="C141" s="1860">
        <v>0.125</v>
      </c>
      <c r="D141" s="1860">
        <v>0.125</v>
      </c>
      <c r="E141" s="1860">
        <v>0.11700000000000001</v>
      </c>
      <c r="F141" s="1868"/>
    </row>
    <row r="142" spans="1:6" ht="14.5" thickBot="1">
      <c r="A142" s="1855" t="s">
        <v>1375</v>
      </c>
      <c r="B142" s="1859" t="s">
        <v>1319</v>
      </c>
      <c r="C142" s="1860">
        <v>0.125</v>
      </c>
      <c r="D142" s="1860">
        <v>0.125</v>
      </c>
      <c r="E142" s="1860">
        <v>0.115</v>
      </c>
      <c r="F142" s="1868"/>
    </row>
    <row r="143" spans="1:6" ht="14.5" thickBot="1">
      <c r="A143" s="1855" t="s">
        <v>1375</v>
      </c>
      <c r="B143" s="1859" t="s">
        <v>1324</v>
      </c>
      <c r="C143" s="1860">
        <v>0.121</v>
      </c>
      <c r="D143" s="1860">
        <v>0.121</v>
      </c>
      <c r="E143" s="1860">
        <v>0.108</v>
      </c>
      <c r="F143" s="1868"/>
    </row>
    <row r="144" spans="1:6" ht="14.5" thickBot="1">
      <c r="A144" s="1855" t="s">
        <v>1375</v>
      </c>
      <c r="B144" s="1872" t="s">
        <v>2073</v>
      </c>
      <c r="C144" s="1873">
        <v>0.126</v>
      </c>
      <c r="D144" s="1873">
        <v>0.126</v>
      </c>
      <c r="E144" s="1873">
        <v>0.121</v>
      </c>
      <c r="F144" s="1868"/>
    </row>
    <row r="145" spans="1:6" ht="14.5" thickBot="1">
      <c r="A145" s="1863" t="s">
        <v>1375</v>
      </c>
      <c r="B145" s="1874" t="s">
        <v>2074</v>
      </c>
      <c r="C145" s="1875"/>
      <c r="D145" s="1875"/>
      <c r="E145" s="1875"/>
      <c r="F145" s="1876">
        <v>0.05</v>
      </c>
    </row>
    <row r="146" spans="1:6" ht="26.5" thickBot="1">
      <c r="A146" s="1877" t="s">
        <v>1375</v>
      </c>
      <c r="B146" s="1862" t="s">
        <v>2075</v>
      </c>
      <c r="C146" s="1869"/>
      <c r="D146" s="1869"/>
      <c r="E146" s="1869"/>
      <c r="F146" s="1878">
        <v>0.05</v>
      </c>
    </row>
    <row r="147" spans="1:6" ht="26.5" thickBot="1">
      <c r="A147" s="1855" t="s">
        <v>1375</v>
      </c>
      <c r="B147" s="1859" t="s">
        <v>2076</v>
      </c>
      <c r="C147" s="1869"/>
      <c r="D147" s="1869"/>
      <c r="E147" s="1869"/>
      <c r="F147" s="1861">
        <v>0.05</v>
      </c>
    </row>
    <row r="148" spans="1:6" ht="26.5" thickBot="1">
      <c r="A148" s="1855" t="s">
        <v>1375</v>
      </c>
      <c r="B148" s="1859" t="s">
        <v>2077</v>
      </c>
      <c r="C148" s="1869"/>
      <c r="D148" s="1869"/>
      <c r="E148" s="1869"/>
      <c r="F148" s="1861">
        <v>0.05</v>
      </c>
    </row>
    <row r="149" spans="1:6" ht="26.5" thickBot="1">
      <c r="A149" s="1855" t="s">
        <v>1375</v>
      </c>
      <c r="B149" s="1859" t="s">
        <v>2078</v>
      </c>
      <c r="C149" s="1869"/>
      <c r="D149" s="1869"/>
      <c r="E149" s="1869"/>
      <c r="F149" s="1861">
        <v>0.05</v>
      </c>
    </row>
    <row r="150" spans="1:6" ht="26.5" thickBot="1">
      <c r="A150" s="1855" t="s">
        <v>1375</v>
      </c>
      <c r="B150" s="1859" t="s">
        <v>2079</v>
      </c>
      <c r="C150" s="1869"/>
      <c r="D150" s="1869"/>
      <c r="E150" s="1869"/>
      <c r="F150" s="1861">
        <v>0.05</v>
      </c>
    </row>
    <row r="151" spans="1:6" ht="26.5" thickBot="1">
      <c r="A151" s="1855" t="s">
        <v>1375</v>
      </c>
      <c r="B151" s="1859" t="s">
        <v>2080</v>
      </c>
      <c r="C151" s="1869"/>
      <c r="D151" s="1869"/>
      <c r="E151" s="1869"/>
      <c r="F151" s="1861">
        <v>0.05</v>
      </c>
    </row>
    <row r="152" spans="1:6" ht="26.5" thickBot="1">
      <c r="A152" s="1855" t="s">
        <v>1375</v>
      </c>
      <c r="B152" s="1859" t="s">
        <v>1357</v>
      </c>
      <c r="C152" s="1869"/>
      <c r="D152" s="1869"/>
      <c r="E152" s="1869"/>
      <c r="F152" s="1861">
        <v>0.05</v>
      </c>
    </row>
    <row r="153" spans="1:6" ht="14.5" thickBot="1">
      <c r="A153" s="1855" t="s">
        <v>1375</v>
      </c>
      <c r="B153" s="1859" t="s">
        <v>2081</v>
      </c>
      <c r="C153" s="1869"/>
      <c r="D153" s="1869"/>
      <c r="E153" s="1869"/>
      <c r="F153" s="1861">
        <v>0.05</v>
      </c>
    </row>
    <row r="154" spans="1:6" ht="14.5" thickBot="1">
      <c r="A154" s="1855" t="s">
        <v>1375</v>
      </c>
      <c r="B154" s="1859" t="s">
        <v>2082</v>
      </c>
      <c r="C154" s="1869"/>
      <c r="D154" s="1869"/>
      <c r="E154" s="1869"/>
      <c r="F154" s="1861">
        <v>0.05</v>
      </c>
    </row>
    <row r="155" spans="1:6" ht="26.5" thickBot="1">
      <c r="A155" s="1855" t="s">
        <v>1375</v>
      </c>
      <c r="B155" s="1859" t="s">
        <v>2083</v>
      </c>
      <c r="C155" s="1869"/>
      <c r="D155" s="1869"/>
      <c r="E155" s="1869"/>
      <c r="F155" s="1861">
        <v>0.05</v>
      </c>
    </row>
    <row r="156" spans="1:6" ht="26.5" thickBot="1">
      <c r="A156" s="1855" t="s">
        <v>1375</v>
      </c>
      <c r="B156" s="1859" t="s">
        <v>2084</v>
      </c>
      <c r="C156" s="1869"/>
      <c r="D156" s="1869"/>
      <c r="E156" s="1869"/>
      <c r="F156" s="1861">
        <v>0.05</v>
      </c>
    </row>
    <row r="157" spans="1:6" ht="14.5" thickBot="1">
      <c r="A157" s="1863" t="s">
        <v>1375</v>
      </c>
      <c r="B157" s="1870" t="s">
        <v>2085</v>
      </c>
      <c r="C157" s="1866"/>
      <c r="D157" s="1866"/>
      <c r="E157" s="1866"/>
      <c r="F157" s="1871">
        <v>0.05</v>
      </c>
    </row>
    <row r="158" spans="1:6" ht="14.5" thickBot="1">
      <c r="A158" s="1855" t="s">
        <v>1377</v>
      </c>
      <c r="B158" s="1856" t="s">
        <v>2086</v>
      </c>
      <c r="C158" s="1857">
        <v>0.13</v>
      </c>
      <c r="D158" s="1857">
        <v>0.13</v>
      </c>
      <c r="E158" s="1857">
        <v>0.13</v>
      </c>
      <c r="F158" s="1858">
        <v>0.13</v>
      </c>
    </row>
    <row r="159" spans="1:6" ht="14.5" thickBot="1">
      <c r="A159" s="1855" t="s">
        <v>1377</v>
      </c>
      <c r="B159" s="1859" t="s">
        <v>1042</v>
      </c>
      <c r="C159" s="1860">
        <v>0.13</v>
      </c>
      <c r="D159" s="1860">
        <v>0.13</v>
      </c>
      <c r="E159" s="1860">
        <v>0.13</v>
      </c>
      <c r="F159" s="1861">
        <v>0.13</v>
      </c>
    </row>
    <row r="160" spans="1:6" ht="14.5" thickBot="1">
      <c r="A160" s="1855" t="s">
        <v>1377</v>
      </c>
      <c r="B160" s="1859" t="s">
        <v>1056</v>
      </c>
      <c r="C160" s="1860">
        <v>0.13</v>
      </c>
      <c r="D160" s="1860">
        <v>0.13</v>
      </c>
      <c r="E160" s="1860">
        <v>0.129</v>
      </c>
      <c r="F160" s="1861">
        <v>0.13</v>
      </c>
    </row>
    <row r="161" spans="1:6" ht="14.5" thickBot="1">
      <c r="A161" s="1855" t="s">
        <v>1377</v>
      </c>
      <c r="B161" s="1859" t="s">
        <v>1069</v>
      </c>
      <c r="C161" s="1860">
        <v>0.128</v>
      </c>
      <c r="D161" s="1860">
        <v>0.128</v>
      </c>
      <c r="E161" s="1860">
        <v>0.125</v>
      </c>
      <c r="F161" s="1861">
        <v>0.13</v>
      </c>
    </row>
    <row r="162" spans="1:6" ht="14.5" thickBot="1">
      <c r="A162" s="1855" t="s">
        <v>1377</v>
      </c>
      <c r="B162" s="1859" t="s">
        <v>1083</v>
      </c>
      <c r="C162" s="1860">
        <v>0.122</v>
      </c>
      <c r="D162" s="1860">
        <v>0.122</v>
      </c>
      <c r="E162" s="1860">
        <v>0.126</v>
      </c>
      <c r="F162" s="1861">
        <v>0.122</v>
      </c>
    </row>
    <row r="163" spans="1:6" ht="14.5" thickBot="1">
      <c r="A163" s="1855" t="s">
        <v>1377</v>
      </c>
      <c r="B163" s="1859" t="s">
        <v>1094</v>
      </c>
      <c r="C163" s="1860">
        <v>0.13</v>
      </c>
      <c r="D163" s="1860">
        <v>0.13</v>
      </c>
      <c r="E163" s="1860">
        <v>0.125</v>
      </c>
      <c r="F163" s="1861">
        <v>0.13</v>
      </c>
    </row>
    <row r="164" spans="1:6" ht="14.5" thickBot="1">
      <c r="A164" s="1855" t="s">
        <v>1377</v>
      </c>
      <c r="B164" s="1859" t="s">
        <v>1105</v>
      </c>
      <c r="C164" s="1860">
        <v>0.13</v>
      </c>
      <c r="D164" s="1860">
        <v>0.13</v>
      </c>
      <c r="E164" s="1860">
        <v>0.13</v>
      </c>
      <c r="F164" s="1861">
        <v>0.13</v>
      </c>
    </row>
    <row r="165" spans="1:6" ht="14.5" thickBot="1">
      <c r="A165" s="1855" t="s">
        <v>1377</v>
      </c>
      <c r="B165" s="1859" t="s">
        <v>1116</v>
      </c>
      <c r="C165" s="1860">
        <v>0.13</v>
      </c>
      <c r="D165" s="1860">
        <v>0.13</v>
      </c>
      <c r="E165" s="1860">
        <v>0.124</v>
      </c>
      <c r="F165" s="1861">
        <v>0.13</v>
      </c>
    </row>
    <row r="166" spans="1:6" ht="14.5" thickBot="1">
      <c r="A166" s="1855" t="s">
        <v>1377</v>
      </c>
      <c r="B166" s="1859" t="s">
        <v>1128</v>
      </c>
      <c r="C166" s="1860">
        <v>0.13</v>
      </c>
      <c r="D166" s="1860">
        <v>0.13</v>
      </c>
      <c r="E166" s="1860">
        <v>0.13</v>
      </c>
      <c r="F166" s="1861">
        <v>0.13</v>
      </c>
    </row>
    <row r="167" spans="1:6" ht="14.5" thickBot="1">
      <c r="A167" s="1855" t="s">
        <v>1377</v>
      </c>
      <c r="B167" s="1859" t="s">
        <v>1138</v>
      </c>
      <c r="C167" s="1860">
        <v>0.125</v>
      </c>
      <c r="D167" s="1860">
        <v>0.125</v>
      </c>
      <c r="E167" s="1860">
        <v>0.121</v>
      </c>
      <c r="F167" s="1868"/>
    </row>
    <row r="168" spans="1:6" ht="14.5" thickBot="1">
      <c r="A168" s="1855" t="s">
        <v>1377</v>
      </c>
      <c r="B168" s="1859" t="s">
        <v>1148</v>
      </c>
      <c r="C168" s="1860">
        <v>0.13</v>
      </c>
      <c r="D168" s="1860">
        <v>0.13</v>
      </c>
      <c r="E168" s="1860">
        <v>0.126</v>
      </c>
      <c r="F168" s="1868"/>
    </row>
    <row r="169" spans="1:6" ht="14.5" thickBot="1">
      <c r="A169" s="1855" t="s">
        <v>1377</v>
      </c>
      <c r="B169" s="1859" t="s">
        <v>1158</v>
      </c>
      <c r="C169" s="1860">
        <v>0.128</v>
      </c>
      <c r="D169" s="1860">
        <v>0.129</v>
      </c>
      <c r="E169" s="1860">
        <v>0.13</v>
      </c>
      <c r="F169" s="1868"/>
    </row>
    <row r="170" spans="1:6" ht="14.5" thickBot="1">
      <c r="A170" s="1855" t="s">
        <v>1377</v>
      </c>
      <c r="B170" s="1859" t="s">
        <v>1168</v>
      </c>
      <c r="C170" s="1860">
        <v>0.14099999999999999</v>
      </c>
      <c r="D170" s="1860">
        <v>0.13</v>
      </c>
      <c r="E170" s="1860">
        <v>0.125</v>
      </c>
      <c r="F170" s="1868"/>
    </row>
    <row r="171" spans="1:6" ht="14.5" thickBot="1">
      <c r="A171" s="1855" t="s">
        <v>1377</v>
      </c>
      <c r="B171" s="1859" t="s">
        <v>2087</v>
      </c>
      <c r="C171" s="1860">
        <v>0.127</v>
      </c>
      <c r="D171" s="1860">
        <v>0.126</v>
      </c>
      <c r="E171" s="1860">
        <v>0.126</v>
      </c>
      <c r="F171" s="1861">
        <v>0.11799999999999999</v>
      </c>
    </row>
    <row r="172" spans="1:6" ht="14.5" thickBot="1">
      <c r="A172" s="1855" t="s">
        <v>1377</v>
      </c>
      <c r="B172" s="1859" t="s">
        <v>2088</v>
      </c>
      <c r="C172" s="1860">
        <v>0.13</v>
      </c>
      <c r="D172" s="1860">
        <v>0.13</v>
      </c>
      <c r="E172" s="1860">
        <v>0.13</v>
      </c>
      <c r="F172" s="1868"/>
    </row>
    <row r="173" spans="1:6" ht="14.5" thickBot="1">
      <c r="A173" s="1855" t="s">
        <v>1377</v>
      </c>
      <c r="B173" s="1859" t="s">
        <v>1198</v>
      </c>
      <c r="C173" s="1860">
        <v>0.13</v>
      </c>
      <c r="D173" s="1860">
        <v>0.13</v>
      </c>
      <c r="E173" s="1860">
        <v>0.13</v>
      </c>
      <c r="F173" s="1868"/>
    </row>
    <row r="174" spans="1:6" ht="14.5" thickBot="1">
      <c r="A174" s="1855" t="s">
        <v>1377</v>
      </c>
      <c r="B174" s="1859" t="s">
        <v>2089</v>
      </c>
      <c r="C174" s="1860">
        <v>0.13</v>
      </c>
      <c r="D174" s="1860">
        <v>0.13</v>
      </c>
      <c r="E174" s="1860">
        <v>0.13</v>
      </c>
      <c r="F174" s="1861">
        <v>0.13</v>
      </c>
    </row>
    <row r="175" spans="1:6" ht="14.5" thickBot="1">
      <c r="A175" s="1855" t="s">
        <v>1377</v>
      </c>
      <c r="B175" s="1859" t="s">
        <v>2090</v>
      </c>
      <c r="C175" s="1860">
        <v>0.13</v>
      </c>
      <c r="D175" s="1860">
        <v>0.13</v>
      </c>
      <c r="E175" s="1860">
        <v>0.13</v>
      </c>
      <c r="F175" s="1861">
        <v>0.13</v>
      </c>
    </row>
    <row r="176" spans="1:6" ht="14.5" thickBot="1">
      <c r="A176" s="1855" t="s">
        <v>1377</v>
      </c>
      <c r="B176" s="1859" t="s">
        <v>1228</v>
      </c>
      <c r="C176" s="1860">
        <v>0.13</v>
      </c>
      <c r="D176" s="1860">
        <v>0.13</v>
      </c>
      <c r="E176" s="1860">
        <v>0.13</v>
      </c>
      <c r="F176" s="1861">
        <v>0.13</v>
      </c>
    </row>
    <row r="177" spans="1:6" ht="14.5" thickBot="1">
      <c r="A177" s="1855" t="s">
        <v>1377</v>
      </c>
      <c r="B177" s="1859" t="s">
        <v>2091</v>
      </c>
      <c r="C177" s="1860">
        <v>0.13</v>
      </c>
      <c r="D177" s="1860">
        <v>0.13</v>
      </c>
      <c r="E177" s="1860">
        <v>0.13</v>
      </c>
      <c r="F177" s="1861">
        <v>0.13</v>
      </c>
    </row>
    <row r="178" spans="1:6" ht="14.5" thickBot="1">
      <c r="A178" s="1855" t="s">
        <v>1377</v>
      </c>
      <c r="B178" s="1859" t="s">
        <v>1246</v>
      </c>
      <c r="C178" s="1860">
        <v>0.13</v>
      </c>
      <c r="D178" s="1860">
        <v>0.13</v>
      </c>
      <c r="E178" s="1860">
        <v>0.13</v>
      </c>
      <c r="F178" s="1861">
        <v>0.127</v>
      </c>
    </row>
    <row r="179" spans="1:6" ht="14.5" thickBot="1">
      <c r="A179" s="1855" t="s">
        <v>1377</v>
      </c>
      <c r="B179" s="1859" t="s">
        <v>1254</v>
      </c>
      <c r="C179" s="1860">
        <v>0.13</v>
      </c>
      <c r="D179" s="1860">
        <v>0.13</v>
      </c>
      <c r="E179" s="1860">
        <v>0.13</v>
      </c>
      <c r="F179" s="1868"/>
    </row>
    <row r="180" spans="1:6" ht="14.5" thickBot="1">
      <c r="A180" s="1855" t="s">
        <v>1377</v>
      </c>
      <c r="B180" s="1859" t="s">
        <v>2092</v>
      </c>
      <c r="C180" s="1860">
        <v>0.13</v>
      </c>
      <c r="D180" s="1860">
        <v>0.13</v>
      </c>
      <c r="E180" s="1860">
        <v>0.125</v>
      </c>
      <c r="F180" s="1861">
        <v>0.13</v>
      </c>
    </row>
    <row r="181" spans="1:6" ht="14.5" thickBot="1">
      <c r="A181" s="1855" t="s">
        <v>1377</v>
      </c>
      <c r="B181" s="1859" t="s">
        <v>1268</v>
      </c>
      <c r="C181" s="1860">
        <v>0.122</v>
      </c>
      <c r="D181" s="1860">
        <v>0.123</v>
      </c>
      <c r="E181" s="1860">
        <v>0.126</v>
      </c>
      <c r="F181" s="1861">
        <v>0.121</v>
      </c>
    </row>
    <row r="182" spans="1:6" ht="14.5" thickBot="1">
      <c r="A182" s="1855" t="s">
        <v>1377</v>
      </c>
      <c r="B182" s="1859" t="s">
        <v>1275</v>
      </c>
      <c r="C182" s="1860">
        <v>0.125</v>
      </c>
      <c r="D182" s="1860">
        <v>0.125</v>
      </c>
      <c r="E182" s="1860">
        <v>0.11700000000000001</v>
      </c>
      <c r="F182" s="1861">
        <v>0.13</v>
      </c>
    </row>
    <row r="183" spans="1:6" ht="14.5" thickBot="1">
      <c r="A183" s="1855" t="s">
        <v>1377</v>
      </c>
      <c r="B183" s="1859" t="s">
        <v>1282</v>
      </c>
      <c r="C183" s="1860">
        <v>0.127</v>
      </c>
      <c r="D183" s="1860">
        <v>0.127</v>
      </c>
      <c r="E183" s="1860">
        <v>0.128</v>
      </c>
      <c r="F183" s="1868"/>
    </row>
    <row r="184" spans="1:6" ht="14.5" thickBot="1">
      <c r="A184" s="1855" t="s">
        <v>1377</v>
      </c>
      <c r="B184" s="1859" t="s">
        <v>1289</v>
      </c>
      <c r="C184" s="1860">
        <v>0.125</v>
      </c>
      <c r="D184" s="1860">
        <v>0.125</v>
      </c>
      <c r="E184" s="1860">
        <v>0.127</v>
      </c>
      <c r="F184" s="1868"/>
    </row>
    <row r="185" spans="1:6" ht="14.5" thickBot="1">
      <c r="A185" s="1855" t="s">
        <v>1377</v>
      </c>
      <c r="B185" s="1859" t="s">
        <v>2093</v>
      </c>
      <c r="C185" s="1860">
        <v>0.127</v>
      </c>
      <c r="D185" s="1860">
        <v>0.127</v>
      </c>
      <c r="E185" s="1860">
        <v>0.128</v>
      </c>
      <c r="F185" s="1861">
        <v>0.13</v>
      </c>
    </row>
    <row r="186" spans="1:6" ht="26.5" thickBot="1">
      <c r="A186" s="1855" t="s">
        <v>1377</v>
      </c>
      <c r="B186" s="1859" t="s">
        <v>2094</v>
      </c>
      <c r="C186" s="1869"/>
      <c r="D186" s="1869"/>
      <c r="E186" s="1869"/>
      <c r="F186" s="1861">
        <v>0.05</v>
      </c>
    </row>
    <row r="187" spans="1:6" ht="14.5" thickBot="1">
      <c r="A187" s="1855" t="s">
        <v>1377</v>
      </c>
      <c r="B187" s="1859" t="s">
        <v>2095</v>
      </c>
      <c r="C187" s="1869"/>
      <c r="D187" s="1869"/>
      <c r="E187" s="1869"/>
      <c r="F187" s="1861">
        <v>0.05</v>
      </c>
    </row>
    <row r="188" spans="1:6" ht="26.5" thickBot="1">
      <c r="A188" s="1855" t="s">
        <v>1377</v>
      </c>
      <c r="B188" s="1859" t="s">
        <v>2096</v>
      </c>
      <c r="C188" s="1869"/>
      <c r="D188" s="1869"/>
      <c r="E188" s="1869"/>
      <c r="F188" s="1861">
        <v>0.05</v>
      </c>
    </row>
    <row r="189" spans="1:6" ht="26.5" thickBot="1">
      <c r="A189" s="1855" t="s">
        <v>1377</v>
      </c>
      <c r="B189" s="1859" t="s">
        <v>2097</v>
      </c>
      <c r="C189" s="1869"/>
      <c r="D189" s="1869"/>
      <c r="E189" s="1869"/>
      <c r="F189" s="1861">
        <v>0.05</v>
      </c>
    </row>
    <row r="190" spans="1:6" ht="26.5" thickBot="1">
      <c r="A190" s="1855" t="s">
        <v>1377</v>
      </c>
      <c r="B190" s="1859" t="s">
        <v>2098</v>
      </c>
      <c r="C190" s="1869"/>
      <c r="D190" s="1869"/>
      <c r="E190" s="1869"/>
      <c r="F190" s="1861">
        <v>0.05</v>
      </c>
    </row>
    <row r="191" spans="1:6" ht="26.5" thickBot="1">
      <c r="A191" s="1855" t="s">
        <v>1377</v>
      </c>
      <c r="B191" s="1859" t="s">
        <v>2099</v>
      </c>
      <c r="C191" s="1869"/>
      <c r="D191" s="1869"/>
      <c r="E191" s="1869"/>
      <c r="F191" s="1861">
        <v>0.05</v>
      </c>
    </row>
    <row r="192" spans="1:6" ht="26.5" thickBot="1">
      <c r="A192" s="1855" t="s">
        <v>1377</v>
      </c>
      <c r="B192" s="1859" t="s">
        <v>2100</v>
      </c>
      <c r="C192" s="1869"/>
      <c r="D192" s="1869"/>
      <c r="E192" s="1869"/>
      <c r="F192" s="1861">
        <v>0.05</v>
      </c>
    </row>
    <row r="193" spans="1:6" ht="26.5" thickBot="1">
      <c r="A193" s="1855" t="s">
        <v>1377</v>
      </c>
      <c r="B193" s="1859" t="s">
        <v>2101</v>
      </c>
      <c r="C193" s="1869"/>
      <c r="D193" s="1869"/>
      <c r="E193" s="1869"/>
      <c r="F193" s="1861">
        <v>0.05</v>
      </c>
    </row>
    <row r="194" spans="1:6" ht="26.5" thickBot="1">
      <c r="A194" s="1855" t="s">
        <v>1377</v>
      </c>
      <c r="B194" s="1859" t="s">
        <v>2102</v>
      </c>
      <c r="C194" s="1869"/>
      <c r="D194" s="1869"/>
      <c r="E194" s="1869"/>
      <c r="F194" s="1861">
        <v>0.05</v>
      </c>
    </row>
    <row r="195" spans="1:6" ht="14.5" thickBot="1">
      <c r="A195" s="1855" t="s">
        <v>1377</v>
      </c>
      <c r="B195" s="1859" t="s">
        <v>2103</v>
      </c>
      <c r="C195" s="1869"/>
      <c r="D195" s="1869"/>
      <c r="E195" s="1869"/>
      <c r="F195" s="1861">
        <v>0.05</v>
      </c>
    </row>
    <row r="196" spans="1:6" ht="26.5" thickBot="1">
      <c r="A196" s="1855" t="s">
        <v>1377</v>
      </c>
      <c r="B196" s="1859" t="s">
        <v>2104</v>
      </c>
      <c r="C196" s="1869"/>
      <c r="D196" s="1869"/>
      <c r="E196" s="1869"/>
      <c r="F196" s="1861">
        <v>0.05</v>
      </c>
    </row>
    <row r="197" spans="1:6" ht="26.5" thickBot="1">
      <c r="A197" s="1855" t="s">
        <v>1377</v>
      </c>
      <c r="B197" s="1859" t="s">
        <v>2105</v>
      </c>
      <c r="C197" s="1869"/>
      <c r="D197" s="1869"/>
      <c r="E197" s="1869"/>
      <c r="F197" s="1861">
        <v>0.05</v>
      </c>
    </row>
    <row r="198" spans="1:6" ht="26.5" thickBot="1">
      <c r="A198" s="1855" t="s">
        <v>1377</v>
      </c>
      <c r="B198" s="1859" t="s">
        <v>2106</v>
      </c>
      <c r="C198" s="1869"/>
      <c r="D198" s="1869"/>
      <c r="E198" s="1869"/>
      <c r="F198" s="1861">
        <v>0.05</v>
      </c>
    </row>
    <row r="199" spans="1:6" ht="26.5" thickBot="1">
      <c r="A199" s="1855" t="s">
        <v>1377</v>
      </c>
      <c r="B199" s="1859" t="s">
        <v>2107</v>
      </c>
      <c r="C199" s="1869"/>
      <c r="D199" s="1869"/>
      <c r="E199" s="1869"/>
      <c r="F199" s="1861">
        <v>0.05</v>
      </c>
    </row>
    <row r="200" spans="1:6" ht="26.5" thickBot="1">
      <c r="A200" s="1855" t="s">
        <v>1377</v>
      </c>
      <c r="B200" s="1859" t="s">
        <v>2108</v>
      </c>
      <c r="C200" s="1869"/>
      <c r="D200" s="1869"/>
      <c r="E200" s="1869"/>
      <c r="F200" s="1861">
        <v>0.05</v>
      </c>
    </row>
    <row r="201" spans="1:6" ht="26.5" thickBot="1">
      <c r="A201" s="1855" t="s">
        <v>1377</v>
      </c>
      <c r="B201" s="1859" t="s">
        <v>2109</v>
      </c>
      <c r="C201" s="1869"/>
      <c r="D201" s="1869"/>
      <c r="E201" s="1869"/>
      <c r="F201" s="1861">
        <v>0.05</v>
      </c>
    </row>
    <row r="202" spans="1:6" ht="26.5" thickBot="1">
      <c r="A202" s="1855" t="s">
        <v>1377</v>
      </c>
      <c r="B202" s="1859" t="s">
        <v>2110</v>
      </c>
      <c r="C202" s="1869"/>
      <c r="D202" s="1869"/>
      <c r="E202" s="1869"/>
      <c r="F202" s="1861">
        <v>0.05</v>
      </c>
    </row>
    <row r="203" spans="1:6" ht="26.5" thickBot="1">
      <c r="A203" s="1855" t="s">
        <v>1377</v>
      </c>
      <c r="B203" s="1859" t="s">
        <v>2111</v>
      </c>
      <c r="C203" s="1869"/>
      <c r="D203" s="1869"/>
      <c r="E203" s="1869"/>
      <c r="F203" s="1861">
        <v>0.05</v>
      </c>
    </row>
    <row r="204" spans="1:6" ht="14.5" thickBot="1">
      <c r="A204" s="1855" t="s">
        <v>1377</v>
      </c>
      <c r="B204" s="1859" t="s">
        <v>2112</v>
      </c>
      <c r="C204" s="1869"/>
      <c r="D204" s="1869"/>
      <c r="E204" s="1869"/>
      <c r="F204" s="1861">
        <v>0.05</v>
      </c>
    </row>
    <row r="205" spans="1:6" ht="14.5" thickBot="1">
      <c r="A205" s="1863" t="s">
        <v>1377</v>
      </c>
      <c r="B205" s="1870" t="s">
        <v>2113</v>
      </c>
      <c r="C205" s="1866"/>
      <c r="D205" s="1866"/>
      <c r="E205" s="1866"/>
      <c r="F205" s="1871">
        <v>0.05</v>
      </c>
    </row>
    <row r="206" spans="1:6" ht="14.5" thickBot="1">
      <c r="A206" s="1855" t="s">
        <v>1379</v>
      </c>
      <c r="B206" s="1856" t="s">
        <v>2114</v>
      </c>
      <c r="C206" s="1857">
        <v>0.15</v>
      </c>
      <c r="D206" s="1857">
        <v>0.15</v>
      </c>
      <c r="E206" s="1857">
        <v>0.15</v>
      </c>
      <c r="F206" s="1858">
        <v>0.15</v>
      </c>
    </row>
    <row r="207" spans="1:6" ht="14.5" thickBot="1">
      <c r="A207" s="1855" t="s">
        <v>1379</v>
      </c>
      <c r="B207" s="1859" t="s">
        <v>1043</v>
      </c>
      <c r="C207" s="1860">
        <v>0.15</v>
      </c>
      <c r="D207" s="1860">
        <v>0.15</v>
      </c>
      <c r="E207" s="1860">
        <v>0.15</v>
      </c>
      <c r="F207" s="1861">
        <v>0.14399999999999999</v>
      </c>
    </row>
    <row r="208" spans="1:6" ht="14.5" thickBot="1">
      <c r="A208" s="1855" t="s">
        <v>1379</v>
      </c>
      <c r="B208" s="1859" t="s">
        <v>1057</v>
      </c>
      <c r="C208" s="1860">
        <v>0.15</v>
      </c>
      <c r="D208" s="1860">
        <v>0.15</v>
      </c>
      <c r="E208" s="1860">
        <v>0.15</v>
      </c>
      <c r="F208" s="1861">
        <v>0.15</v>
      </c>
    </row>
    <row r="209" spans="1:6" ht="14.5" thickBot="1">
      <c r="A209" s="1855" t="s">
        <v>1379</v>
      </c>
      <c r="B209" s="1859" t="s">
        <v>1070</v>
      </c>
      <c r="C209" s="1860">
        <v>0.13700000000000001</v>
      </c>
      <c r="D209" s="1860">
        <v>0.13700000000000001</v>
      </c>
      <c r="E209" s="1860">
        <v>0.14000000000000001</v>
      </c>
      <c r="F209" s="1861">
        <v>0.11700000000000001</v>
      </c>
    </row>
    <row r="210" spans="1:6" ht="14.5" thickBot="1">
      <c r="A210" s="1855" t="s">
        <v>1379</v>
      </c>
      <c r="B210" s="1859" t="s">
        <v>2115</v>
      </c>
      <c r="C210" s="1860">
        <v>0.15</v>
      </c>
      <c r="D210" s="1860">
        <v>0.15</v>
      </c>
      <c r="E210" s="1860">
        <v>0.15</v>
      </c>
      <c r="F210" s="1861">
        <v>0.13800000000000001</v>
      </c>
    </row>
    <row r="211" spans="1:6" ht="14.5" thickBot="1">
      <c r="A211" s="1855" t="s">
        <v>1379</v>
      </c>
      <c r="B211" s="1859" t="s">
        <v>2116</v>
      </c>
      <c r="C211" s="1860">
        <v>0.13700000000000001</v>
      </c>
      <c r="D211" s="1860">
        <v>0.13500000000000001</v>
      </c>
      <c r="E211" s="1860">
        <v>0.13600000000000001</v>
      </c>
      <c r="F211" s="1861">
        <v>0.1</v>
      </c>
    </row>
    <row r="212" spans="1:6" ht="14.5" thickBot="1">
      <c r="A212" s="1855" t="s">
        <v>1379</v>
      </c>
      <c r="B212" s="1859" t="s">
        <v>2117</v>
      </c>
      <c r="C212" s="1860">
        <v>0.15</v>
      </c>
      <c r="D212" s="1860">
        <v>0.15</v>
      </c>
      <c r="E212" s="1860">
        <v>0.14799999999999999</v>
      </c>
      <c r="F212" s="1861">
        <v>0.13600000000000001</v>
      </c>
    </row>
    <row r="213" spans="1:6" ht="14.5" thickBot="1">
      <c r="A213" s="1855" t="s">
        <v>1379</v>
      </c>
      <c r="B213" s="1859" t="s">
        <v>1117</v>
      </c>
      <c r="C213" s="1860">
        <v>0.15</v>
      </c>
      <c r="D213" s="1860">
        <v>0.15</v>
      </c>
      <c r="E213" s="1860">
        <v>0.15</v>
      </c>
      <c r="F213" s="1861">
        <v>0.13800000000000001</v>
      </c>
    </row>
    <row r="214" spans="1:6" ht="14.5" thickBot="1">
      <c r="A214" s="1855" t="s">
        <v>1379</v>
      </c>
      <c r="B214" s="1859" t="s">
        <v>1129</v>
      </c>
      <c r="C214" s="1860">
        <v>9.0999999999999998E-2</v>
      </c>
      <c r="D214" s="1860">
        <v>0.09</v>
      </c>
      <c r="E214" s="1860">
        <v>9.1999999999999998E-2</v>
      </c>
      <c r="F214" s="1868"/>
    </row>
    <row r="215" spans="1:6" ht="14.5" thickBot="1">
      <c r="A215" s="1855" t="s">
        <v>1379</v>
      </c>
      <c r="B215" s="1859" t="s">
        <v>2118</v>
      </c>
      <c r="C215" s="1860">
        <v>0.15</v>
      </c>
      <c r="D215" s="1860">
        <v>0.15</v>
      </c>
      <c r="E215" s="1860">
        <v>0.15</v>
      </c>
      <c r="F215" s="1861">
        <v>0.15</v>
      </c>
    </row>
    <row r="216" spans="1:6" ht="14.5" thickBot="1">
      <c r="A216" s="1855" t="s">
        <v>1379</v>
      </c>
      <c r="B216" s="1859" t="s">
        <v>1149</v>
      </c>
      <c r="C216" s="1860">
        <v>0.14699999999999999</v>
      </c>
      <c r="D216" s="1860">
        <v>0.14699999999999999</v>
      </c>
      <c r="E216" s="1860">
        <v>0.15</v>
      </c>
      <c r="F216" s="1861">
        <v>0.14000000000000001</v>
      </c>
    </row>
    <row r="217" spans="1:6" ht="14.5" thickBot="1">
      <c r="A217" s="1855" t="s">
        <v>1379</v>
      </c>
      <c r="B217" s="1859" t="s">
        <v>1159</v>
      </c>
      <c r="C217" s="1860">
        <v>0.15</v>
      </c>
      <c r="D217" s="1860">
        <v>0.15</v>
      </c>
      <c r="E217" s="1860">
        <v>0.15</v>
      </c>
      <c r="F217" s="1861">
        <v>0.15</v>
      </c>
    </row>
    <row r="218" spans="1:6" ht="14.5" thickBot="1">
      <c r="A218" s="1855" t="s">
        <v>1379</v>
      </c>
      <c r="B218" s="1859" t="s">
        <v>2119</v>
      </c>
      <c r="C218" s="1860">
        <v>0.15</v>
      </c>
      <c r="D218" s="1860">
        <v>0.15</v>
      </c>
      <c r="E218" s="1860">
        <v>0.15</v>
      </c>
      <c r="F218" s="1861">
        <v>0.15</v>
      </c>
    </row>
    <row r="219" spans="1:6" ht="14.5" thickBot="1">
      <c r="A219" s="1855" t="s">
        <v>1379</v>
      </c>
      <c r="B219" s="1859" t="s">
        <v>1179</v>
      </c>
      <c r="C219" s="1860">
        <v>0.15</v>
      </c>
      <c r="D219" s="1860">
        <v>0.15</v>
      </c>
      <c r="E219" s="1860">
        <v>0.15</v>
      </c>
      <c r="F219" s="1861">
        <v>0.14799999999999999</v>
      </c>
    </row>
    <row r="220" spans="1:6" ht="14.5" thickBot="1">
      <c r="A220" s="1855" t="s">
        <v>1379</v>
      </c>
      <c r="B220" s="1859" t="s">
        <v>2120</v>
      </c>
      <c r="C220" s="1860">
        <v>0.15</v>
      </c>
      <c r="D220" s="1860">
        <v>0.15</v>
      </c>
      <c r="E220" s="1860">
        <v>0.15</v>
      </c>
      <c r="F220" s="1861">
        <v>0.15</v>
      </c>
    </row>
    <row r="221" spans="1:6" ht="14.5" thickBot="1">
      <c r="A221" s="1855" t="s">
        <v>1379</v>
      </c>
      <c r="B221" s="1859" t="s">
        <v>1199</v>
      </c>
      <c r="C221" s="1860"/>
      <c r="D221" s="1869"/>
      <c r="E221" s="1869"/>
      <c r="F221" s="1861">
        <v>0.14799999999999999</v>
      </c>
    </row>
    <row r="222" spans="1:6" ht="14.5" thickBot="1">
      <c r="A222" s="1855" t="s">
        <v>1379</v>
      </c>
      <c r="B222" s="1859" t="s">
        <v>1209</v>
      </c>
      <c r="C222" s="1860"/>
      <c r="D222" s="1869"/>
      <c r="E222" s="1869"/>
      <c r="F222" s="1861">
        <v>0.1</v>
      </c>
    </row>
    <row r="223" spans="1:6" ht="14.5" thickBot="1">
      <c r="A223" s="1855" t="s">
        <v>1379</v>
      </c>
      <c r="B223" s="1859" t="s">
        <v>1219</v>
      </c>
      <c r="C223" s="1860"/>
      <c r="D223" s="1869"/>
      <c r="E223" s="1869"/>
      <c r="F223" s="1861">
        <v>0.15</v>
      </c>
    </row>
    <row r="224" spans="1:6" ht="14.5" thickBot="1">
      <c r="A224" s="1855" t="s">
        <v>1379</v>
      </c>
      <c r="B224" s="1859" t="s">
        <v>1229</v>
      </c>
      <c r="C224" s="1860"/>
      <c r="D224" s="1869"/>
      <c r="E224" s="1869"/>
      <c r="F224" s="1861">
        <v>0.15</v>
      </c>
    </row>
    <row r="225" spans="1:6" ht="14.5" thickBot="1">
      <c r="A225" s="1855" t="s">
        <v>1379</v>
      </c>
      <c r="B225" s="1859" t="s">
        <v>2121</v>
      </c>
      <c r="C225" s="1860">
        <v>0.15</v>
      </c>
      <c r="D225" s="1860">
        <v>0.15</v>
      </c>
      <c r="E225" s="1860">
        <v>0.15</v>
      </c>
      <c r="F225" s="1861">
        <v>0.15</v>
      </c>
    </row>
    <row r="226" spans="1:6" ht="14.5" thickBot="1">
      <c r="A226" s="1855" t="s">
        <v>1379</v>
      </c>
      <c r="B226" s="1859" t="s">
        <v>1247</v>
      </c>
      <c r="C226" s="1860">
        <v>0.15</v>
      </c>
      <c r="D226" s="1860">
        <v>0.15</v>
      </c>
      <c r="E226" s="1860">
        <v>0.15</v>
      </c>
      <c r="F226" s="1861">
        <v>0.14799999999999999</v>
      </c>
    </row>
    <row r="227" spans="1:6" ht="14.5" thickBot="1">
      <c r="A227" s="1855" t="s">
        <v>1379</v>
      </c>
      <c r="B227" s="1859" t="s">
        <v>2122</v>
      </c>
      <c r="C227" s="1860">
        <v>0.15</v>
      </c>
      <c r="D227" s="1860">
        <v>0.15</v>
      </c>
      <c r="E227" s="1860">
        <v>0.15</v>
      </c>
      <c r="F227" s="1861">
        <v>0.15</v>
      </c>
    </row>
    <row r="228" spans="1:6" ht="14.5" thickBot="1">
      <c r="A228" s="1855" t="s">
        <v>1379</v>
      </c>
      <c r="B228" s="1859" t="s">
        <v>1262</v>
      </c>
      <c r="C228" s="1860">
        <v>0.15</v>
      </c>
      <c r="D228" s="1860">
        <v>0.15</v>
      </c>
      <c r="E228" s="1860">
        <v>0.15</v>
      </c>
      <c r="F228" s="1861">
        <v>0.15</v>
      </c>
    </row>
    <row r="229" spans="1:6" ht="14.5" thickBot="1">
      <c r="A229" s="1855" t="s">
        <v>1379</v>
      </c>
      <c r="B229" s="1859" t="s">
        <v>1269</v>
      </c>
      <c r="C229" s="1860">
        <v>0.15</v>
      </c>
      <c r="D229" s="1860">
        <v>0.15</v>
      </c>
      <c r="E229" s="1860">
        <v>0.15</v>
      </c>
      <c r="F229" s="1868"/>
    </row>
    <row r="230" spans="1:6" ht="14.5" thickBot="1">
      <c r="A230" s="1855" t="s">
        <v>1379</v>
      </c>
      <c r="B230" s="1859" t="s">
        <v>1276</v>
      </c>
      <c r="C230" s="1860">
        <v>0.14499999999999999</v>
      </c>
      <c r="D230" s="1860">
        <v>0.14499999999999999</v>
      </c>
      <c r="E230" s="1860">
        <v>0.14399999999999999</v>
      </c>
      <c r="F230" s="1868"/>
    </row>
    <row r="231" spans="1:6" ht="14.5" thickBot="1">
      <c r="A231" s="1855" t="s">
        <v>1379</v>
      </c>
      <c r="B231" s="1859" t="s">
        <v>2123</v>
      </c>
      <c r="C231" s="1860">
        <v>0.128</v>
      </c>
      <c r="D231" s="1860">
        <v>0.125</v>
      </c>
      <c r="E231" s="1860">
        <v>0.13200000000000001</v>
      </c>
      <c r="F231" s="1868"/>
    </row>
    <row r="232" spans="1:6" ht="14.5" thickBot="1">
      <c r="A232" s="1855" t="s">
        <v>1379</v>
      </c>
      <c r="B232" s="1859" t="s">
        <v>2124</v>
      </c>
      <c r="C232" s="1860">
        <v>0.14499999999999999</v>
      </c>
      <c r="D232" s="1860">
        <v>0.14399999999999999</v>
      </c>
      <c r="E232" s="1860">
        <v>0.14599999999999999</v>
      </c>
      <c r="F232" s="1861">
        <v>0.13800000000000001</v>
      </c>
    </row>
    <row r="233" spans="1:6" ht="14.5" thickBot="1">
      <c r="A233" s="1855" t="s">
        <v>1379</v>
      </c>
      <c r="B233" s="1859" t="s">
        <v>2125</v>
      </c>
      <c r="C233" s="1860">
        <v>0.14499999999999999</v>
      </c>
      <c r="D233" s="1860">
        <v>0.14299999999999999</v>
      </c>
      <c r="E233" s="1860">
        <v>0.14199999999999999</v>
      </c>
      <c r="F233" s="1868"/>
    </row>
    <row r="234" spans="1:6" ht="14.5" thickBot="1">
      <c r="A234" s="1855" t="s">
        <v>1379</v>
      </c>
      <c r="B234" s="1859" t="s">
        <v>2126</v>
      </c>
      <c r="C234" s="1860">
        <v>0.14000000000000001</v>
      </c>
      <c r="D234" s="1860">
        <v>0.14000000000000001</v>
      </c>
      <c r="E234" s="1860">
        <v>0.14399999999999999</v>
      </c>
      <c r="F234" s="1868"/>
    </row>
    <row r="235" spans="1:6" ht="14.5" thickBot="1">
      <c r="A235" s="1855" t="s">
        <v>1379</v>
      </c>
      <c r="B235" s="1859" t="s">
        <v>2127</v>
      </c>
      <c r="C235" s="1860">
        <v>0.14099999999999999</v>
      </c>
      <c r="D235" s="1860">
        <v>0.14199999999999999</v>
      </c>
      <c r="E235" s="1860">
        <v>0.14499999999999999</v>
      </c>
      <c r="F235" s="1861">
        <v>0.15</v>
      </c>
    </row>
    <row r="236" spans="1:6" ht="14.5" thickBot="1">
      <c r="A236" s="1855" t="s">
        <v>1379</v>
      </c>
      <c r="B236" s="1859" t="s">
        <v>1311</v>
      </c>
      <c r="C236" s="1869"/>
      <c r="D236" s="1869"/>
      <c r="E236" s="1869"/>
      <c r="F236" s="1861">
        <v>0.14299999999999999</v>
      </c>
    </row>
    <row r="237" spans="1:6" ht="26.5" thickBot="1">
      <c r="A237" s="1855" t="s">
        <v>1379</v>
      </c>
      <c r="B237" s="1859" t="s">
        <v>2128</v>
      </c>
      <c r="C237" s="1869"/>
      <c r="D237" s="1869"/>
      <c r="E237" s="1869"/>
      <c r="F237" s="1861">
        <v>0.05</v>
      </c>
    </row>
    <row r="238" spans="1:6" ht="26.5" thickBot="1">
      <c r="A238" s="1855" t="s">
        <v>1379</v>
      </c>
      <c r="B238" s="1859" t="s">
        <v>2129</v>
      </c>
      <c r="C238" s="1869"/>
      <c r="D238" s="1869"/>
      <c r="E238" s="1869"/>
      <c r="F238" s="1861">
        <v>0.05</v>
      </c>
    </row>
    <row r="239" spans="1:6" ht="26.5" thickBot="1">
      <c r="A239" s="1855" t="s">
        <v>1379</v>
      </c>
      <c r="B239" s="1859" t="s">
        <v>2130</v>
      </c>
      <c r="C239" s="1869"/>
      <c r="D239" s="1869"/>
      <c r="E239" s="1869"/>
      <c r="F239" s="1861">
        <v>0.05</v>
      </c>
    </row>
    <row r="240" spans="1:6" ht="26.5" thickBot="1">
      <c r="A240" s="1855" t="s">
        <v>1379</v>
      </c>
      <c r="B240" s="1859" t="s">
        <v>2131</v>
      </c>
      <c r="C240" s="1869"/>
      <c r="D240" s="1869"/>
      <c r="E240" s="1869"/>
      <c r="F240" s="1861">
        <v>0.05</v>
      </c>
    </row>
    <row r="241" spans="1:6" ht="26.5" thickBot="1">
      <c r="A241" s="1855" t="s">
        <v>1379</v>
      </c>
      <c r="B241" s="1859" t="s">
        <v>2132</v>
      </c>
      <c r="C241" s="1869"/>
      <c r="D241" s="1869"/>
      <c r="E241" s="1869"/>
      <c r="F241" s="1861">
        <v>0.05</v>
      </c>
    </row>
    <row r="242" spans="1:6" ht="26.5" thickBot="1">
      <c r="A242" s="1855" t="s">
        <v>1379</v>
      </c>
      <c r="B242" s="1859" t="s">
        <v>2133</v>
      </c>
      <c r="C242" s="1869"/>
      <c r="D242" s="1869"/>
      <c r="E242" s="1869"/>
      <c r="F242" s="1861">
        <v>0.05</v>
      </c>
    </row>
    <row r="243" spans="1:6" ht="26.5" thickBot="1">
      <c r="A243" s="1855" t="s">
        <v>1379</v>
      </c>
      <c r="B243" s="1859" t="s">
        <v>2134</v>
      </c>
      <c r="C243" s="1869"/>
      <c r="D243" s="1869"/>
      <c r="E243" s="1869"/>
      <c r="F243" s="1861">
        <v>0.05</v>
      </c>
    </row>
    <row r="244" spans="1:6" ht="26.5" thickBot="1">
      <c r="A244" s="1863" t="s">
        <v>1379</v>
      </c>
      <c r="B244" s="1870" t="s">
        <v>2135</v>
      </c>
      <c r="C244" s="1866"/>
      <c r="D244" s="1866"/>
      <c r="E244" s="1866"/>
      <c r="F244" s="1871">
        <v>0.05</v>
      </c>
    </row>
    <row r="245" spans="1:6" ht="14.5" thickBot="1">
      <c r="A245" s="1855" t="s">
        <v>1381</v>
      </c>
      <c r="B245" s="1856" t="s">
        <v>2136</v>
      </c>
      <c r="C245" s="1857">
        <v>0.15</v>
      </c>
      <c r="D245" s="1857">
        <v>0.15</v>
      </c>
      <c r="E245" s="1857">
        <v>0.15</v>
      </c>
      <c r="F245" s="1858">
        <v>0.14299999999999999</v>
      </c>
    </row>
    <row r="246" spans="1:6" ht="14.5" thickBot="1">
      <c r="A246" s="1855" t="s">
        <v>1381</v>
      </c>
      <c r="B246" s="1859" t="s">
        <v>1044</v>
      </c>
      <c r="C246" s="1860">
        <v>0.15</v>
      </c>
      <c r="D246" s="1860">
        <v>0.15</v>
      </c>
      <c r="E246" s="1860">
        <v>0.15</v>
      </c>
      <c r="F246" s="1861">
        <v>0.114</v>
      </c>
    </row>
    <row r="247" spans="1:6" ht="14.5" thickBot="1">
      <c r="A247" s="1855" t="s">
        <v>1381</v>
      </c>
      <c r="B247" s="1859" t="s">
        <v>2137</v>
      </c>
      <c r="C247" s="1860">
        <v>0.15</v>
      </c>
      <c r="D247" s="1860">
        <v>0.15</v>
      </c>
      <c r="E247" s="1860">
        <v>0.15</v>
      </c>
      <c r="F247" s="1861">
        <v>0.15</v>
      </c>
    </row>
    <row r="248" spans="1:6" ht="14.5" thickBot="1">
      <c r="A248" s="1855" t="s">
        <v>1381</v>
      </c>
      <c r="B248" s="1859" t="s">
        <v>2138</v>
      </c>
      <c r="C248" s="1860">
        <v>0.15</v>
      </c>
      <c r="D248" s="1860">
        <v>0.15</v>
      </c>
      <c r="E248" s="1860">
        <v>0.15</v>
      </c>
      <c r="F248" s="1861">
        <v>0.14000000000000001</v>
      </c>
    </row>
    <row r="249" spans="1:6" ht="14.5" thickBot="1">
      <c r="A249" s="1855" t="s">
        <v>1381</v>
      </c>
      <c r="B249" s="1859" t="s">
        <v>2139</v>
      </c>
      <c r="C249" s="1860">
        <v>0.15</v>
      </c>
      <c r="D249" s="1860">
        <v>0.14899999999999999</v>
      </c>
      <c r="E249" s="1860">
        <v>0.15</v>
      </c>
      <c r="F249" s="1861">
        <v>0.1</v>
      </c>
    </row>
    <row r="250" spans="1:6" ht="14.5" thickBot="1">
      <c r="A250" s="1855" t="s">
        <v>1381</v>
      </c>
      <c r="B250" s="1859" t="s">
        <v>2140</v>
      </c>
      <c r="C250" s="1860">
        <v>0.15</v>
      </c>
      <c r="D250" s="1860">
        <v>0.15</v>
      </c>
      <c r="E250" s="1860">
        <v>0.15</v>
      </c>
      <c r="F250" s="1861">
        <v>0.14399999999999999</v>
      </c>
    </row>
    <row r="251" spans="1:6" ht="14.5" thickBot="1">
      <c r="A251" s="1855" t="s">
        <v>1381</v>
      </c>
      <c r="B251" s="1859" t="s">
        <v>1107</v>
      </c>
      <c r="C251" s="1860">
        <v>0.15</v>
      </c>
      <c r="D251" s="1860">
        <v>0.15</v>
      </c>
      <c r="E251" s="1860">
        <v>0.15</v>
      </c>
      <c r="F251" s="1861">
        <v>0.14299999999999999</v>
      </c>
    </row>
    <row r="252" spans="1:6" ht="14.5" thickBot="1">
      <c r="A252" s="1855" t="s">
        <v>1381</v>
      </c>
      <c r="B252" s="1859" t="s">
        <v>1118</v>
      </c>
      <c r="C252" s="1860">
        <v>0.15</v>
      </c>
      <c r="D252" s="1860">
        <v>0.15</v>
      </c>
      <c r="E252" s="1860">
        <v>0.15</v>
      </c>
      <c r="F252" s="1861">
        <v>0.1</v>
      </c>
    </row>
    <row r="253" spans="1:6" ht="14.5" thickBot="1">
      <c r="A253" s="1855" t="s">
        <v>1381</v>
      </c>
      <c r="B253" s="1859" t="s">
        <v>1130</v>
      </c>
      <c r="C253" s="1860">
        <v>0.15</v>
      </c>
      <c r="D253" s="1860">
        <v>0.15</v>
      </c>
      <c r="E253" s="1860">
        <v>0.15</v>
      </c>
      <c r="F253" s="1861">
        <v>0.1</v>
      </c>
    </row>
    <row r="254" spans="1:6" ht="14.5" thickBot="1">
      <c r="A254" s="1855" t="s">
        <v>1381</v>
      </c>
      <c r="B254" s="1859" t="s">
        <v>1140</v>
      </c>
      <c r="C254" s="1869"/>
      <c r="D254" s="1869"/>
      <c r="E254" s="1869"/>
      <c r="F254" s="1861">
        <v>0.15</v>
      </c>
    </row>
    <row r="255" spans="1:6" ht="14.5" thickBot="1">
      <c r="A255" s="1855" t="s">
        <v>1381</v>
      </c>
      <c r="B255" s="1859" t="s">
        <v>1150</v>
      </c>
      <c r="C255" s="1869"/>
      <c r="D255" s="1869"/>
      <c r="E255" s="1869"/>
      <c r="F255" s="1861">
        <v>0.14299999999999999</v>
      </c>
    </row>
    <row r="256" spans="1:6" ht="14.5" thickBot="1">
      <c r="A256" s="1855" t="s">
        <v>1381</v>
      </c>
      <c r="B256" s="1859" t="s">
        <v>2141</v>
      </c>
      <c r="C256" s="1860">
        <v>0.14599999999999999</v>
      </c>
      <c r="D256" s="1860">
        <v>0.14699999999999999</v>
      </c>
      <c r="E256" s="1860">
        <v>0.15</v>
      </c>
      <c r="F256" s="1861">
        <v>0.13200000000000001</v>
      </c>
    </row>
    <row r="257" spans="1:6" ht="14.5" thickBot="1">
      <c r="A257" s="1855" t="s">
        <v>1381</v>
      </c>
      <c r="B257" s="1859" t="s">
        <v>1170</v>
      </c>
      <c r="C257" s="1860">
        <v>0.15</v>
      </c>
      <c r="D257" s="1860">
        <v>0.15</v>
      </c>
      <c r="E257" s="1860">
        <v>0.15</v>
      </c>
      <c r="F257" s="1861">
        <v>0.13900000000000001</v>
      </c>
    </row>
    <row r="258" spans="1:6" ht="14.5" thickBot="1">
      <c r="A258" s="1855" t="s">
        <v>1381</v>
      </c>
      <c r="B258" s="1859" t="s">
        <v>1180</v>
      </c>
      <c r="C258" s="1860">
        <v>0.15</v>
      </c>
      <c r="D258" s="1860">
        <v>0.15</v>
      </c>
      <c r="E258" s="1860">
        <v>0.15</v>
      </c>
      <c r="F258" s="1861">
        <v>0.13</v>
      </c>
    </row>
    <row r="259" spans="1:6" ht="14.5" thickBot="1">
      <c r="A259" s="1855" t="s">
        <v>1381</v>
      </c>
      <c r="B259" s="1859" t="s">
        <v>2142</v>
      </c>
      <c r="C259" s="1860">
        <v>0.14799999999999999</v>
      </c>
      <c r="D259" s="1860">
        <v>0.14899999999999999</v>
      </c>
      <c r="E259" s="1860">
        <v>0.15</v>
      </c>
      <c r="F259" s="1861">
        <v>0.13700000000000001</v>
      </c>
    </row>
    <row r="260" spans="1:6" ht="14.5" thickBot="1">
      <c r="A260" s="1855" t="s">
        <v>1381</v>
      </c>
      <c r="B260" s="1859" t="s">
        <v>1200</v>
      </c>
      <c r="C260" s="1860">
        <v>0.15</v>
      </c>
      <c r="D260" s="1860">
        <v>0.15</v>
      </c>
      <c r="E260" s="1860">
        <v>0.15</v>
      </c>
      <c r="F260" s="1861">
        <v>0.14199999999999999</v>
      </c>
    </row>
    <row r="261" spans="1:6" ht="14.5" thickBot="1">
      <c r="A261" s="1855" t="s">
        <v>1381</v>
      </c>
      <c r="B261" s="1859" t="s">
        <v>1210</v>
      </c>
      <c r="C261" s="1860">
        <v>0.15</v>
      </c>
      <c r="D261" s="1860">
        <v>0.15</v>
      </c>
      <c r="E261" s="1860">
        <v>0.14899999999999999</v>
      </c>
      <c r="F261" s="1861">
        <v>0.14799999999999999</v>
      </c>
    </row>
    <row r="262" spans="1:6" ht="14.5" thickBot="1">
      <c r="A262" s="1855" t="s">
        <v>1381</v>
      </c>
      <c r="B262" s="1859" t="s">
        <v>1220</v>
      </c>
      <c r="C262" s="1860">
        <v>0.15</v>
      </c>
      <c r="D262" s="1860">
        <v>0.15</v>
      </c>
      <c r="E262" s="1860">
        <v>0.15</v>
      </c>
      <c r="F262" s="1868"/>
    </row>
    <row r="263" spans="1:6" ht="14.5" thickBot="1">
      <c r="A263" s="1855" t="s">
        <v>1381</v>
      </c>
      <c r="B263" s="1859" t="s">
        <v>2143</v>
      </c>
      <c r="C263" s="1860">
        <v>0.14899999999999999</v>
      </c>
      <c r="D263" s="1860">
        <v>0.14899999999999999</v>
      </c>
      <c r="E263" s="1860">
        <v>0.15</v>
      </c>
      <c r="F263" s="1861">
        <v>0.13</v>
      </c>
    </row>
    <row r="264" spans="1:6" ht="14.5" thickBot="1">
      <c r="A264" s="1855" t="s">
        <v>1381</v>
      </c>
      <c r="B264" s="1859" t="s">
        <v>1239</v>
      </c>
      <c r="C264" s="1860">
        <v>0.14799999999999999</v>
      </c>
      <c r="D264" s="1860">
        <v>0.14699999999999999</v>
      </c>
      <c r="E264" s="1860">
        <v>0.15</v>
      </c>
      <c r="F264" s="1861">
        <v>7.8E-2</v>
      </c>
    </row>
    <row r="265" spans="1:6" ht="14.5" thickBot="1">
      <c r="A265" s="1855" t="s">
        <v>1381</v>
      </c>
      <c r="B265" s="1859" t="s">
        <v>1248</v>
      </c>
      <c r="C265" s="1860">
        <v>0.15</v>
      </c>
      <c r="D265" s="1860">
        <v>0.15</v>
      </c>
      <c r="E265" s="1860">
        <v>0.15</v>
      </c>
      <c r="F265" s="1861">
        <v>7.3999999999999996E-2</v>
      </c>
    </row>
    <row r="266" spans="1:6" ht="14.5" thickBot="1">
      <c r="A266" s="1855" t="s">
        <v>1381</v>
      </c>
      <c r="B266" s="1859" t="s">
        <v>1256</v>
      </c>
      <c r="C266" s="1860">
        <v>0.14699999999999999</v>
      </c>
      <c r="D266" s="1860">
        <v>0.14699999999999999</v>
      </c>
      <c r="E266" s="1860">
        <v>0.15</v>
      </c>
      <c r="F266" s="1861">
        <v>0.14299999999999999</v>
      </c>
    </row>
    <row r="267" spans="1:6" ht="14.5" thickBot="1">
      <c r="A267" s="1855" t="s">
        <v>1381</v>
      </c>
      <c r="B267" s="1859" t="s">
        <v>1263</v>
      </c>
      <c r="C267" s="1860">
        <v>0.14199999999999999</v>
      </c>
      <c r="D267" s="1860">
        <v>0.14299999999999999</v>
      </c>
      <c r="E267" s="1860">
        <v>0.15</v>
      </c>
      <c r="F267" s="1868"/>
    </row>
    <row r="268" spans="1:6" ht="14.5" thickBot="1">
      <c r="A268" s="1855" t="s">
        <v>1381</v>
      </c>
      <c r="B268" s="1859" t="s">
        <v>2144</v>
      </c>
      <c r="C268" s="1860">
        <v>0.15</v>
      </c>
      <c r="D268" s="1860">
        <v>0.15</v>
      </c>
      <c r="E268" s="1860">
        <v>0.15</v>
      </c>
      <c r="F268" s="1861">
        <v>0.13</v>
      </c>
    </row>
    <row r="269" spans="1:6" ht="14.5" thickBot="1">
      <c r="A269" s="1855" t="s">
        <v>1381</v>
      </c>
      <c r="B269" s="1859" t="s">
        <v>1277</v>
      </c>
      <c r="C269" s="1860">
        <v>0.15</v>
      </c>
      <c r="D269" s="1860">
        <v>0.15</v>
      </c>
      <c r="E269" s="1860">
        <v>0.15</v>
      </c>
      <c r="F269" s="1861">
        <v>0.14299999999999999</v>
      </c>
    </row>
    <row r="270" spans="1:6" ht="14.5" thickBot="1">
      <c r="A270" s="1855" t="s">
        <v>1381</v>
      </c>
      <c r="B270" s="1859" t="s">
        <v>1284</v>
      </c>
      <c r="C270" s="1860">
        <v>0.14499999999999999</v>
      </c>
      <c r="D270" s="1860">
        <v>0.14499999999999999</v>
      </c>
      <c r="E270" s="1860">
        <v>0.15</v>
      </c>
      <c r="F270" s="1861">
        <v>0.14699999999999999</v>
      </c>
    </row>
    <row r="271" spans="1:6" ht="14.5" thickBot="1">
      <c r="A271" s="1855" t="s">
        <v>1381</v>
      </c>
      <c r="B271" s="1859" t="s">
        <v>1291</v>
      </c>
      <c r="C271" s="1860">
        <v>0.15</v>
      </c>
      <c r="D271" s="1860">
        <v>0.15</v>
      </c>
      <c r="E271" s="1860">
        <v>0.15</v>
      </c>
      <c r="F271" s="1861">
        <v>0.13800000000000001</v>
      </c>
    </row>
    <row r="272" spans="1:6" ht="14.5" thickBot="1">
      <c r="A272" s="1855" t="s">
        <v>1381</v>
      </c>
      <c r="B272" s="1859" t="s">
        <v>1298</v>
      </c>
      <c r="C272" s="1869"/>
      <c r="D272" s="1869"/>
      <c r="E272" s="1869"/>
      <c r="F272" s="1861">
        <v>0.14000000000000001</v>
      </c>
    </row>
    <row r="273" spans="1:6" ht="14.5" thickBot="1">
      <c r="A273" s="1855" t="s">
        <v>1381</v>
      </c>
      <c r="B273" s="1859" t="s">
        <v>2145</v>
      </c>
      <c r="C273" s="1860">
        <v>0.14199999999999999</v>
      </c>
      <c r="D273" s="1860">
        <v>0.14299999999999999</v>
      </c>
      <c r="E273" s="1860">
        <v>0.15</v>
      </c>
      <c r="F273" s="1861">
        <v>0.1</v>
      </c>
    </row>
    <row r="274" spans="1:6" ht="14.5" thickBot="1">
      <c r="A274" s="1855" t="s">
        <v>1381</v>
      </c>
      <c r="B274" s="1859" t="s">
        <v>2146</v>
      </c>
      <c r="C274" s="1860">
        <v>0.14799999999999999</v>
      </c>
      <c r="D274" s="1860">
        <v>0.14799999999999999</v>
      </c>
      <c r="E274" s="1860">
        <v>0.15</v>
      </c>
      <c r="F274" s="1861">
        <v>6.7000000000000004E-2</v>
      </c>
    </row>
    <row r="275" spans="1:6" ht="14.5" thickBot="1">
      <c r="A275" s="1855" t="s">
        <v>1381</v>
      </c>
      <c r="B275" s="1859" t="s">
        <v>2147</v>
      </c>
      <c r="C275" s="1860">
        <v>0.15</v>
      </c>
      <c r="D275" s="1860">
        <v>0.15</v>
      </c>
      <c r="E275" s="1860">
        <v>0.15</v>
      </c>
      <c r="F275" s="1861">
        <v>0.15</v>
      </c>
    </row>
    <row r="276" spans="1:6" ht="14.5" thickBot="1">
      <c r="A276" s="1855" t="s">
        <v>1381</v>
      </c>
      <c r="B276" s="1859" t="s">
        <v>2148</v>
      </c>
      <c r="C276" s="1860">
        <v>0.14499999999999999</v>
      </c>
      <c r="D276" s="1860">
        <v>0.14299999999999999</v>
      </c>
      <c r="E276" s="1860">
        <v>0.15</v>
      </c>
      <c r="F276" s="1861">
        <v>5.8999999999999997E-2</v>
      </c>
    </row>
    <row r="277" spans="1:6" ht="14.5" thickBot="1">
      <c r="A277" s="1855" t="s">
        <v>1381</v>
      </c>
      <c r="B277" s="1859" t="s">
        <v>2149</v>
      </c>
      <c r="C277" s="1860">
        <v>0.15</v>
      </c>
      <c r="D277" s="1860">
        <v>0.15</v>
      </c>
      <c r="E277" s="1860">
        <v>0.15</v>
      </c>
      <c r="F277" s="1861">
        <v>0.121</v>
      </c>
    </row>
    <row r="278" spans="1:6" ht="14.5" thickBot="1">
      <c r="A278" s="1855" t="s">
        <v>1381</v>
      </c>
      <c r="B278" s="1859" t="s">
        <v>2150</v>
      </c>
      <c r="C278" s="1860">
        <v>0.15</v>
      </c>
      <c r="D278" s="1860">
        <v>0.15</v>
      </c>
      <c r="E278" s="1860">
        <v>0.15</v>
      </c>
      <c r="F278" s="1861">
        <v>0.13800000000000001</v>
      </c>
    </row>
    <row r="279" spans="1:6" ht="26.5" thickBot="1">
      <c r="A279" s="1855" t="s">
        <v>1381</v>
      </c>
      <c r="B279" s="1859" t="s">
        <v>2151</v>
      </c>
      <c r="C279" s="1869"/>
      <c r="D279" s="1869"/>
      <c r="E279" s="1869"/>
      <c r="F279" s="1861">
        <v>0.05</v>
      </c>
    </row>
    <row r="280" spans="1:6" ht="26.5" thickBot="1">
      <c r="A280" s="1855" t="s">
        <v>1381</v>
      </c>
      <c r="B280" s="1859" t="s">
        <v>2152</v>
      </c>
      <c r="C280" s="1869"/>
      <c r="D280" s="1869"/>
      <c r="E280" s="1869"/>
      <c r="F280" s="1861">
        <v>0.05</v>
      </c>
    </row>
    <row r="281" spans="1:6" ht="26.5" thickBot="1">
      <c r="A281" s="1855" t="s">
        <v>1381</v>
      </c>
      <c r="B281" s="1859" t="s">
        <v>2153</v>
      </c>
      <c r="C281" s="1869"/>
      <c r="D281" s="1869"/>
      <c r="E281" s="1869"/>
      <c r="F281" s="1861">
        <v>0.05</v>
      </c>
    </row>
    <row r="282" spans="1:6" ht="26.5" thickBot="1">
      <c r="A282" s="1855" t="s">
        <v>1381</v>
      </c>
      <c r="B282" s="1859" t="s">
        <v>2154</v>
      </c>
      <c r="C282" s="1869"/>
      <c r="D282" s="1869"/>
      <c r="E282" s="1869"/>
      <c r="F282" s="1861">
        <v>0.05</v>
      </c>
    </row>
    <row r="283" spans="1:6" ht="26.5" thickBot="1">
      <c r="A283" s="1855" t="s">
        <v>1381</v>
      </c>
      <c r="B283" s="1859" t="s">
        <v>2155</v>
      </c>
      <c r="C283" s="1869"/>
      <c r="D283" s="1869"/>
      <c r="E283" s="1869"/>
      <c r="F283" s="1861">
        <v>0.05</v>
      </c>
    </row>
    <row r="284" spans="1:6" ht="26.5" thickBot="1">
      <c r="A284" s="1855" t="s">
        <v>1381</v>
      </c>
      <c r="B284" s="1859" t="s">
        <v>2156</v>
      </c>
      <c r="C284" s="1869"/>
      <c r="D284" s="1869"/>
      <c r="E284" s="1869"/>
      <c r="F284" s="1861">
        <v>0.05</v>
      </c>
    </row>
    <row r="285" spans="1:6" ht="26.5" thickBot="1">
      <c r="A285" s="1855" t="s">
        <v>1381</v>
      </c>
      <c r="B285" s="1859" t="s">
        <v>2157</v>
      </c>
      <c r="C285" s="1869"/>
      <c r="D285" s="1869"/>
      <c r="E285" s="1869"/>
      <c r="F285" s="1861">
        <v>0.05</v>
      </c>
    </row>
    <row r="286" spans="1:6" ht="26.5" thickBot="1">
      <c r="A286" s="1855" t="s">
        <v>1381</v>
      </c>
      <c r="B286" s="1859" t="s">
        <v>2158</v>
      </c>
      <c r="C286" s="1869"/>
      <c r="D286" s="1869"/>
      <c r="E286" s="1869"/>
      <c r="F286" s="1861">
        <v>0.05</v>
      </c>
    </row>
    <row r="287" spans="1:6" ht="26.5" thickBot="1">
      <c r="A287" s="1855" t="s">
        <v>1381</v>
      </c>
      <c r="B287" s="1859" t="s">
        <v>2159</v>
      </c>
      <c r="C287" s="1869"/>
      <c r="D287" s="1869"/>
      <c r="E287" s="1869"/>
      <c r="F287" s="1861">
        <v>0.05</v>
      </c>
    </row>
    <row r="288" spans="1:6" ht="26.5" thickBot="1">
      <c r="A288" s="1855" t="s">
        <v>1381</v>
      </c>
      <c r="B288" s="1859" t="s">
        <v>2160</v>
      </c>
      <c r="C288" s="1869"/>
      <c r="D288" s="1869"/>
      <c r="E288" s="1869"/>
      <c r="F288" s="1861">
        <v>0.05</v>
      </c>
    </row>
    <row r="289" spans="1:6" ht="26.5" thickBot="1">
      <c r="A289" s="1863" t="s">
        <v>1381</v>
      </c>
      <c r="B289" s="1870" t="s">
        <v>2161</v>
      </c>
      <c r="C289" s="1866"/>
      <c r="D289" s="1866"/>
      <c r="E289" s="1866"/>
      <c r="F289" s="1871">
        <v>0.05</v>
      </c>
    </row>
    <row r="290" spans="1:6" ht="14.5" thickBot="1">
      <c r="A290" s="1855" t="s">
        <v>1385</v>
      </c>
      <c r="B290" s="1856" t="s">
        <v>2162</v>
      </c>
      <c r="C290" s="1857">
        <v>0.15</v>
      </c>
      <c r="D290" s="1857">
        <v>0.15</v>
      </c>
      <c r="E290" s="1857">
        <v>0.15</v>
      </c>
      <c r="F290" s="1879"/>
    </row>
    <row r="291" spans="1:6" ht="14.5" thickBot="1">
      <c r="A291" s="1855" t="s">
        <v>1385</v>
      </c>
      <c r="B291" s="1859" t="s">
        <v>1045</v>
      </c>
      <c r="C291" s="1860">
        <v>0.15</v>
      </c>
      <c r="D291" s="1860">
        <v>0.15</v>
      </c>
      <c r="E291" s="1860">
        <v>0.15</v>
      </c>
      <c r="F291" s="1868"/>
    </row>
    <row r="292" spans="1:6" ht="14.5" thickBot="1">
      <c r="A292" s="1855" t="s">
        <v>1385</v>
      </c>
      <c r="B292" s="1859" t="s">
        <v>2163</v>
      </c>
      <c r="C292" s="1860">
        <v>0.15</v>
      </c>
      <c r="D292" s="1860">
        <v>0.15</v>
      </c>
      <c r="E292" s="1860">
        <v>0.15</v>
      </c>
      <c r="F292" s="1861">
        <v>0.14699999999999999</v>
      </c>
    </row>
    <row r="293" spans="1:6" ht="14.5" thickBot="1">
      <c r="A293" s="1855" t="s">
        <v>1385</v>
      </c>
      <c r="B293" s="1859" t="s">
        <v>2164</v>
      </c>
      <c r="C293" s="1869"/>
      <c r="D293" s="1869"/>
      <c r="E293" s="1869"/>
      <c r="F293" s="1861">
        <v>0.1</v>
      </c>
    </row>
    <row r="294" spans="1:6" ht="14.5" thickBot="1">
      <c r="A294" s="1855" t="s">
        <v>1385</v>
      </c>
      <c r="B294" s="1859" t="s">
        <v>2165</v>
      </c>
      <c r="C294" s="1860">
        <v>0.15</v>
      </c>
      <c r="D294" s="1860">
        <v>0.15</v>
      </c>
      <c r="E294" s="1860">
        <v>0.15</v>
      </c>
      <c r="F294" s="1861">
        <v>0.15</v>
      </c>
    </row>
    <row r="295" spans="1:6" ht="14.5" thickBot="1">
      <c r="A295" s="1855" t="s">
        <v>1385</v>
      </c>
      <c r="B295" s="1859" t="s">
        <v>1086</v>
      </c>
      <c r="C295" s="1860">
        <v>0.15</v>
      </c>
      <c r="D295" s="1860">
        <v>0.15</v>
      </c>
      <c r="E295" s="1860">
        <v>0.15</v>
      </c>
      <c r="F295" s="1861">
        <v>0.15</v>
      </c>
    </row>
    <row r="296" spans="1:6" ht="14.5" thickBot="1">
      <c r="A296" s="1855" t="s">
        <v>1385</v>
      </c>
      <c r="B296" s="1859" t="s">
        <v>2166</v>
      </c>
      <c r="C296" s="1860">
        <v>0.15</v>
      </c>
      <c r="D296" s="1860">
        <v>0.15</v>
      </c>
      <c r="E296" s="1860">
        <v>0.15</v>
      </c>
      <c r="F296" s="1861">
        <v>0.15</v>
      </c>
    </row>
    <row r="297" spans="1:6" ht="14.5" thickBot="1">
      <c r="A297" s="1855" t="s">
        <v>1385</v>
      </c>
      <c r="B297" s="1859" t="s">
        <v>2167</v>
      </c>
      <c r="C297" s="1860">
        <v>0.14799999999999999</v>
      </c>
      <c r="D297" s="1860">
        <v>0.14899999999999999</v>
      </c>
      <c r="E297" s="1860">
        <v>0.15</v>
      </c>
      <c r="F297" s="1861">
        <v>0.13700000000000001</v>
      </c>
    </row>
    <row r="298" spans="1:6" ht="14.5" thickBot="1">
      <c r="A298" s="1855" t="s">
        <v>1385</v>
      </c>
      <c r="B298" s="1859" t="s">
        <v>1119</v>
      </c>
      <c r="C298" s="1860">
        <v>0.13400000000000001</v>
      </c>
      <c r="D298" s="1860">
        <v>0.13400000000000001</v>
      </c>
      <c r="E298" s="1860">
        <v>0.14499999999999999</v>
      </c>
      <c r="F298" s="1861">
        <v>0.14799999999999999</v>
      </c>
    </row>
    <row r="299" spans="1:6" ht="14.5" thickBot="1">
      <c r="A299" s="1855" t="s">
        <v>1385</v>
      </c>
      <c r="B299" s="1859" t="s">
        <v>1131</v>
      </c>
      <c r="C299" s="1860">
        <v>0.15</v>
      </c>
      <c r="D299" s="1860">
        <v>0.15</v>
      </c>
      <c r="E299" s="1860">
        <v>0.15</v>
      </c>
      <c r="F299" s="1868"/>
    </row>
    <row r="300" spans="1:6" ht="14.5" thickBot="1">
      <c r="A300" s="1855" t="s">
        <v>1385</v>
      </c>
      <c r="B300" s="1859" t="s">
        <v>2168</v>
      </c>
      <c r="C300" s="1860">
        <v>0.15</v>
      </c>
      <c r="D300" s="1860">
        <v>0.15</v>
      </c>
      <c r="E300" s="1860">
        <v>0.15</v>
      </c>
      <c r="F300" s="1861">
        <v>0.15</v>
      </c>
    </row>
    <row r="301" spans="1:6" ht="14.5" thickBot="1">
      <c r="A301" s="1855" t="s">
        <v>1385</v>
      </c>
      <c r="B301" s="1859" t="s">
        <v>1151</v>
      </c>
      <c r="C301" s="1860">
        <v>0.15</v>
      </c>
      <c r="D301" s="1860">
        <v>0.15</v>
      </c>
      <c r="E301" s="1860">
        <v>0.15</v>
      </c>
      <c r="F301" s="1868"/>
    </row>
    <row r="302" spans="1:6" ht="14.5" thickBot="1">
      <c r="A302" s="1855" t="s">
        <v>1385</v>
      </c>
      <c r="B302" s="1859" t="s">
        <v>2169</v>
      </c>
      <c r="C302" s="1860">
        <v>0.15</v>
      </c>
      <c r="D302" s="1860">
        <v>0.15</v>
      </c>
      <c r="E302" s="1860">
        <v>0.15</v>
      </c>
      <c r="F302" s="1861">
        <v>0.15</v>
      </c>
    </row>
    <row r="303" spans="1:6" ht="14.5" thickBot="1">
      <c r="A303" s="1855" t="s">
        <v>1385</v>
      </c>
      <c r="B303" s="1859" t="s">
        <v>1171</v>
      </c>
      <c r="C303" s="1860">
        <v>0.15</v>
      </c>
      <c r="D303" s="1860">
        <v>0.15</v>
      </c>
      <c r="E303" s="1860">
        <v>0.15</v>
      </c>
      <c r="F303" s="1861">
        <v>0.15</v>
      </c>
    </row>
    <row r="304" spans="1:6" ht="14.5" thickBot="1">
      <c r="A304" s="1855" t="s">
        <v>1385</v>
      </c>
      <c r="B304" s="1859" t="s">
        <v>1181</v>
      </c>
      <c r="C304" s="1860">
        <v>0.15</v>
      </c>
      <c r="D304" s="1860">
        <v>0.15</v>
      </c>
      <c r="E304" s="1860">
        <v>0.15</v>
      </c>
      <c r="F304" s="1868"/>
    </row>
    <row r="305" spans="1:6" ht="14.5" thickBot="1">
      <c r="A305" s="1855" t="s">
        <v>1385</v>
      </c>
      <c r="B305" s="1859" t="s">
        <v>2170</v>
      </c>
      <c r="C305" s="1860">
        <v>0.15</v>
      </c>
      <c r="D305" s="1860">
        <v>0.15</v>
      </c>
      <c r="E305" s="1860">
        <v>0.15</v>
      </c>
      <c r="F305" s="1861">
        <v>0.14000000000000001</v>
      </c>
    </row>
    <row r="306" spans="1:6" ht="14.5" thickBot="1">
      <c r="A306" s="1855" t="s">
        <v>1385</v>
      </c>
      <c r="B306" s="1859" t="s">
        <v>1201</v>
      </c>
      <c r="C306" s="1860">
        <v>0.15</v>
      </c>
      <c r="D306" s="1860">
        <v>0.15</v>
      </c>
      <c r="E306" s="1860">
        <v>0.15</v>
      </c>
      <c r="F306" s="1868"/>
    </row>
    <row r="307" spans="1:6" ht="14.5" thickBot="1">
      <c r="A307" s="1855" t="s">
        <v>1385</v>
      </c>
      <c r="B307" s="1859" t="s">
        <v>2171</v>
      </c>
      <c r="C307" s="1860">
        <v>0.15</v>
      </c>
      <c r="D307" s="1860">
        <v>0.15</v>
      </c>
      <c r="E307" s="1860">
        <v>0.15</v>
      </c>
      <c r="F307" s="1861">
        <v>0.14299999999999999</v>
      </c>
    </row>
    <row r="308" spans="1:6" ht="14.5" thickBot="1">
      <c r="A308" s="1855" t="s">
        <v>1385</v>
      </c>
      <c r="B308" s="1859" t="s">
        <v>1221</v>
      </c>
      <c r="C308" s="1860">
        <v>0.15</v>
      </c>
      <c r="D308" s="1860">
        <v>0.15</v>
      </c>
      <c r="E308" s="1860">
        <v>0.15</v>
      </c>
      <c r="F308" s="1861">
        <v>0.15</v>
      </c>
    </row>
    <row r="309" spans="1:6" ht="14.5" thickBot="1">
      <c r="A309" s="1855" t="s">
        <v>1385</v>
      </c>
      <c r="B309" s="1859" t="s">
        <v>1231</v>
      </c>
      <c r="C309" s="1860">
        <v>0.15</v>
      </c>
      <c r="D309" s="1860">
        <v>0.15</v>
      </c>
      <c r="E309" s="1860">
        <v>0.15</v>
      </c>
      <c r="F309" s="1868"/>
    </row>
    <row r="310" spans="1:6" ht="14.5" thickBot="1">
      <c r="A310" s="1855" t="s">
        <v>1385</v>
      </c>
      <c r="B310" s="1859" t="s">
        <v>2172</v>
      </c>
      <c r="C310" s="1860">
        <v>0.15</v>
      </c>
      <c r="D310" s="1860">
        <v>0.15</v>
      </c>
      <c r="E310" s="1860">
        <v>0.15</v>
      </c>
      <c r="F310" s="1861">
        <v>0.13700000000000001</v>
      </c>
    </row>
    <row r="311" spans="1:6" ht="14.5" thickBot="1">
      <c r="A311" s="1855" t="s">
        <v>1385</v>
      </c>
      <c r="B311" s="1859" t="s">
        <v>2173</v>
      </c>
      <c r="C311" s="1860">
        <v>0.15</v>
      </c>
      <c r="D311" s="1860">
        <v>0.15</v>
      </c>
      <c r="E311" s="1860">
        <v>0.15</v>
      </c>
      <c r="F311" s="1861">
        <v>0.15</v>
      </c>
    </row>
    <row r="312" spans="1:6" ht="14.5" thickBot="1">
      <c r="A312" s="1855" t="s">
        <v>1385</v>
      </c>
      <c r="B312" s="1859" t="s">
        <v>1257</v>
      </c>
      <c r="C312" s="1860">
        <v>0.15</v>
      </c>
      <c r="D312" s="1860">
        <v>0.15</v>
      </c>
      <c r="E312" s="1860">
        <v>0.15</v>
      </c>
      <c r="F312" s="1861">
        <v>0.1</v>
      </c>
    </row>
    <row r="313" spans="1:6" ht="14.5" thickBot="1">
      <c r="A313" s="1855" t="s">
        <v>1385</v>
      </c>
      <c r="B313" s="1859" t="s">
        <v>2174</v>
      </c>
      <c r="C313" s="1860">
        <v>0.15</v>
      </c>
      <c r="D313" s="1860">
        <v>0.15</v>
      </c>
      <c r="E313" s="1860">
        <v>0.15</v>
      </c>
      <c r="F313" s="1861">
        <v>0.15</v>
      </c>
    </row>
    <row r="314" spans="1:6" ht="26.5" thickBot="1">
      <c r="A314" s="1855" t="s">
        <v>1385</v>
      </c>
      <c r="B314" s="1859" t="s">
        <v>2175</v>
      </c>
      <c r="C314" s="1869"/>
      <c r="D314" s="1869"/>
      <c r="E314" s="1869"/>
      <c r="F314" s="1861">
        <v>0.05</v>
      </c>
    </row>
    <row r="315" spans="1:6" ht="26.5" thickBot="1">
      <c r="A315" s="1855" t="s">
        <v>1385</v>
      </c>
      <c r="B315" s="1859" t="s">
        <v>2176</v>
      </c>
      <c r="C315" s="1869"/>
      <c r="D315" s="1869"/>
      <c r="E315" s="1869"/>
      <c r="F315" s="1861">
        <v>0.05</v>
      </c>
    </row>
    <row r="316" spans="1:6" ht="26.5" thickBot="1">
      <c r="A316" s="1863" t="s">
        <v>1385</v>
      </c>
      <c r="B316" s="1870" t="s">
        <v>2177</v>
      </c>
      <c r="C316" s="1866"/>
      <c r="D316" s="1866"/>
      <c r="E316" s="1866"/>
      <c r="F316" s="1871">
        <v>0.05</v>
      </c>
    </row>
    <row r="317" spans="1:6" ht="14.5" thickBot="1">
      <c r="A317" s="1855" t="s">
        <v>2178</v>
      </c>
      <c r="B317" s="1856" t="s">
        <v>2179</v>
      </c>
      <c r="C317" s="1857">
        <v>0.15</v>
      </c>
      <c r="D317" s="1857">
        <v>0.15</v>
      </c>
      <c r="E317" s="1857">
        <v>0.15</v>
      </c>
      <c r="F317" s="1858">
        <v>0.15</v>
      </c>
    </row>
    <row r="318" spans="1:6" ht="14.5" thickBot="1">
      <c r="A318" s="1855" t="s">
        <v>2178</v>
      </c>
      <c r="B318" s="1859" t="s">
        <v>2180</v>
      </c>
      <c r="C318" s="1860">
        <v>0.107</v>
      </c>
      <c r="D318" s="1860">
        <v>0.11</v>
      </c>
      <c r="E318" s="1860">
        <v>0.112</v>
      </c>
      <c r="F318" s="1868"/>
    </row>
    <row r="319" spans="1:6" ht="14.5" thickBot="1">
      <c r="A319" s="1855" t="s">
        <v>2178</v>
      </c>
      <c r="B319" s="1859" t="s">
        <v>2181</v>
      </c>
      <c r="C319" s="1860">
        <v>0.15</v>
      </c>
      <c r="D319" s="1860">
        <v>0.15</v>
      </c>
      <c r="E319" s="1860">
        <v>0.15</v>
      </c>
      <c r="F319" s="1861">
        <v>0.15</v>
      </c>
    </row>
    <row r="320" spans="1:6" ht="14.5" thickBot="1">
      <c r="A320" s="1855" t="s">
        <v>2178</v>
      </c>
      <c r="B320" s="1859" t="s">
        <v>1073</v>
      </c>
      <c r="C320" s="1860">
        <v>0.15</v>
      </c>
      <c r="D320" s="1860">
        <v>0.15</v>
      </c>
      <c r="E320" s="1860">
        <v>0.15</v>
      </c>
      <c r="F320" s="1868"/>
    </row>
    <row r="321" spans="1:6" ht="14.5" thickBot="1">
      <c r="A321" s="1855" t="s">
        <v>2178</v>
      </c>
      <c r="B321" s="1859" t="s">
        <v>2182</v>
      </c>
      <c r="C321" s="1860">
        <v>0.15</v>
      </c>
      <c r="D321" s="1860">
        <v>0.15</v>
      </c>
      <c r="E321" s="1860">
        <v>0.15</v>
      </c>
      <c r="F321" s="1868"/>
    </row>
    <row r="322" spans="1:6" ht="14.5" thickBot="1">
      <c r="A322" s="1855" t="s">
        <v>2178</v>
      </c>
      <c r="B322" s="1859" t="s">
        <v>2183</v>
      </c>
      <c r="C322" s="1860">
        <v>0.15</v>
      </c>
      <c r="D322" s="1860">
        <v>0.15</v>
      </c>
      <c r="E322" s="1860">
        <v>0.15</v>
      </c>
      <c r="F322" s="1861">
        <v>0.15</v>
      </c>
    </row>
    <row r="323" spans="1:6" ht="14.5" thickBot="1">
      <c r="A323" s="1855" t="s">
        <v>2178</v>
      </c>
      <c r="B323" s="1859" t="s">
        <v>2184</v>
      </c>
      <c r="C323" s="1860">
        <v>0.15</v>
      </c>
      <c r="D323" s="1860">
        <v>0.15</v>
      </c>
      <c r="E323" s="1860">
        <v>0.15</v>
      </c>
      <c r="F323" s="1868"/>
    </row>
    <row r="324" spans="1:6" ht="14.5" thickBot="1">
      <c r="A324" s="1855" t="s">
        <v>2178</v>
      </c>
      <c r="B324" s="1859" t="s">
        <v>2185</v>
      </c>
      <c r="C324" s="1860">
        <v>0.15</v>
      </c>
      <c r="D324" s="1860">
        <v>0.15</v>
      </c>
      <c r="E324" s="1860">
        <v>0.15</v>
      </c>
      <c r="F324" s="1868"/>
    </row>
    <row r="325" spans="1:6" ht="14.5" thickBot="1">
      <c r="A325" s="1855" t="s">
        <v>2178</v>
      </c>
      <c r="B325" s="1859" t="s">
        <v>2186</v>
      </c>
      <c r="C325" s="1860">
        <v>0.15</v>
      </c>
      <c r="D325" s="1860">
        <v>0.15</v>
      </c>
      <c r="E325" s="1860">
        <v>0.15</v>
      </c>
      <c r="F325" s="1861">
        <v>0.14699999999999999</v>
      </c>
    </row>
    <row r="326" spans="1:6" ht="14.5" thickBot="1">
      <c r="A326" s="1855" t="s">
        <v>2178</v>
      </c>
      <c r="B326" s="1859" t="s">
        <v>1142</v>
      </c>
      <c r="C326" s="1860">
        <v>0.15</v>
      </c>
      <c r="D326" s="1860">
        <v>0.15</v>
      </c>
      <c r="E326" s="1860">
        <v>0.15</v>
      </c>
      <c r="F326" s="1868"/>
    </row>
    <row r="327" spans="1:6" ht="14.5" thickBot="1">
      <c r="A327" s="1855" t="s">
        <v>2178</v>
      </c>
      <c r="B327" s="1859" t="s">
        <v>2187</v>
      </c>
      <c r="C327" s="1860">
        <v>0.15</v>
      </c>
      <c r="D327" s="1860">
        <v>0.15</v>
      </c>
      <c r="E327" s="1860">
        <v>0.15</v>
      </c>
      <c r="F327" s="1861">
        <v>0.15</v>
      </c>
    </row>
    <row r="328" spans="1:6" ht="14.5" thickBot="1">
      <c r="A328" s="1855" t="s">
        <v>2178</v>
      </c>
      <c r="B328" s="1859" t="s">
        <v>1162</v>
      </c>
      <c r="C328" s="1860">
        <v>0.15</v>
      </c>
      <c r="D328" s="1860">
        <v>0.15</v>
      </c>
      <c r="E328" s="1860">
        <v>0.15</v>
      </c>
      <c r="F328" s="1861">
        <v>0.14099999999999999</v>
      </c>
    </row>
    <row r="329" spans="1:6" ht="14.5" thickBot="1">
      <c r="A329" s="1855" t="s">
        <v>2178</v>
      </c>
      <c r="B329" s="1859" t="s">
        <v>1172</v>
      </c>
      <c r="C329" s="1860">
        <v>0.15</v>
      </c>
      <c r="D329" s="1860">
        <v>0.15</v>
      </c>
      <c r="E329" s="1860">
        <v>0.15</v>
      </c>
      <c r="F329" s="1861">
        <v>0.15</v>
      </c>
    </row>
    <row r="330" spans="1:6" ht="14.5" thickBot="1">
      <c r="A330" s="1855" t="s">
        <v>2178</v>
      </c>
      <c r="B330" s="1859" t="s">
        <v>1182</v>
      </c>
      <c r="C330" s="1860">
        <v>0.15</v>
      </c>
      <c r="D330" s="1860">
        <v>0.15</v>
      </c>
      <c r="E330" s="1860">
        <v>0.15</v>
      </c>
      <c r="F330" s="1868"/>
    </row>
    <row r="331" spans="1:6" ht="14.5" thickBot="1">
      <c r="A331" s="1855" t="s">
        <v>2178</v>
      </c>
      <c r="B331" s="1859" t="s">
        <v>2188</v>
      </c>
      <c r="C331" s="1860">
        <v>0.15</v>
      </c>
      <c r="D331" s="1860">
        <v>0.15</v>
      </c>
      <c r="E331" s="1860">
        <v>0.15</v>
      </c>
      <c r="F331" s="1861">
        <v>0.15</v>
      </c>
    </row>
    <row r="332" spans="1:6" ht="14.5" thickBot="1">
      <c r="A332" s="1855" t="s">
        <v>2178</v>
      </c>
      <c r="B332" s="1859" t="s">
        <v>1202</v>
      </c>
      <c r="C332" s="1860">
        <v>0.15</v>
      </c>
      <c r="D332" s="1860">
        <v>0.15</v>
      </c>
      <c r="E332" s="1860">
        <v>0.15</v>
      </c>
      <c r="F332" s="1861">
        <v>0.15</v>
      </c>
    </row>
    <row r="333" spans="1:6" ht="14.5" thickBot="1">
      <c r="A333" s="1855" t="s">
        <v>2178</v>
      </c>
      <c r="B333" s="1859" t="s">
        <v>2189</v>
      </c>
      <c r="C333" s="1860">
        <v>0.15</v>
      </c>
      <c r="D333" s="1860">
        <v>0.15</v>
      </c>
      <c r="E333" s="1860">
        <v>0.15</v>
      </c>
      <c r="F333" s="1861">
        <v>0.14099999999999999</v>
      </c>
    </row>
    <row r="334" spans="1:6" ht="14.5" thickBot="1">
      <c r="A334" s="1855" t="s">
        <v>2178</v>
      </c>
      <c r="B334" s="1859" t="s">
        <v>1222</v>
      </c>
      <c r="C334" s="1860">
        <v>0.15</v>
      </c>
      <c r="D334" s="1860">
        <v>0.15</v>
      </c>
      <c r="E334" s="1860">
        <v>0.15</v>
      </c>
      <c r="F334" s="1861">
        <v>0.15</v>
      </c>
    </row>
    <row r="335" spans="1:6" ht="14.5" thickBot="1">
      <c r="A335" s="1855" t="s">
        <v>2178</v>
      </c>
      <c r="B335" s="1859" t="s">
        <v>1232</v>
      </c>
      <c r="C335" s="1860">
        <v>0.15</v>
      </c>
      <c r="D335" s="1860">
        <v>0.15</v>
      </c>
      <c r="E335" s="1860">
        <v>0.15</v>
      </c>
      <c r="F335" s="1868"/>
    </row>
    <row r="336" spans="1:6" ht="14.5" thickBot="1">
      <c r="A336" s="1855" t="s">
        <v>2178</v>
      </c>
      <c r="B336" s="1859" t="s">
        <v>2190</v>
      </c>
      <c r="C336" s="1860">
        <v>0.15</v>
      </c>
      <c r="D336" s="1860">
        <v>0.15</v>
      </c>
      <c r="E336" s="1860">
        <v>0.15</v>
      </c>
      <c r="F336" s="1861">
        <v>0.11799999999999999</v>
      </c>
    </row>
    <row r="337" spans="1:6" ht="14.5" thickBot="1">
      <c r="A337" s="1863" t="s">
        <v>2178</v>
      </c>
      <c r="B337" s="1870" t="s">
        <v>1250</v>
      </c>
      <c r="C337" s="1866"/>
      <c r="D337" s="1866"/>
      <c r="E337" s="1866"/>
      <c r="F337" s="1871">
        <v>0.14299999999999999</v>
      </c>
    </row>
    <row r="338" spans="1:6" ht="14.5" thickBot="1">
      <c r="A338" s="1855" t="s">
        <v>2191</v>
      </c>
      <c r="B338" s="1856" t="s">
        <v>2192</v>
      </c>
      <c r="C338" s="1857">
        <v>0.15</v>
      </c>
      <c r="D338" s="1857">
        <v>0.15</v>
      </c>
      <c r="E338" s="1857">
        <v>0.15</v>
      </c>
      <c r="F338" s="1879"/>
    </row>
    <row r="339" spans="1:6" ht="14.5" thickBot="1">
      <c r="A339" s="1855" t="s">
        <v>2191</v>
      </c>
      <c r="B339" s="1859" t="s">
        <v>2193</v>
      </c>
      <c r="C339" s="1860">
        <v>0.15</v>
      </c>
      <c r="D339" s="1860">
        <v>0.15</v>
      </c>
      <c r="E339" s="1860">
        <v>0.15</v>
      </c>
      <c r="F339" s="1868"/>
    </row>
    <row r="340" spans="1:6" ht="14.5" thickBot="1">
      <c r="A340" s="1855" t="s">
        <v>2191</v>
      </c>
      <c r="B340" s="1859" t="s">
        <v>2194</v>
      </c>
      <c r="C340" s="1860">
        <v>0.15</v>
      </c>
      <c r="D340" s="1860">
        <v>0.15</v>
      </c>
      <c r="E340" s="1860">
        <v>0.15</v>
      </c>
      <c r="F340" s="1868"/>
    </row>
    <row r="341" spans="1:6" ht="14.5" thickBot="1">
      <c r="A341" s="1855" t="s">
        <v>2195</v>
      </c>
      <c r="B341" s="1859" t="s">
        <v>2196</v>
      </c>
      <c r="C341" s="1860">
        <v>0.15</v>
      </c>
      <c r="D341" s="1860">
        <v>0.15</v>
      </c>
      <c r="E341" s="1860">
        <v>0.15</v>
      </c>
      <c r="F341" s="1861">
        <v>0.15</v>
      </c>
    </row>
    <row r="342" spans="1:6" ht="14.5" thickBot="1">
      <c r="A342" s="1855" t="s">
        <v>2191</v>
      </c>
      <c r="B342" s="1859" t="s">
        <v>2197</v>
      </c>
      <c r="C342" s="1860">
        <v>0.15</v>
      </c>
      <c r="D342" s="1860">
        <v>0.15</v>
      </c>
      <c r="E342" s="1860">
        <v>0.15</v>
      </c>
      <c r="F342" s="1861">
        <v>0.15</v>
      </c>
    </row>
    <row r="343" spans="1:6" ht="14.5" thickBot="1">
      <c r="A343" s="1855" t="s">
        <v>2191</v>
      </c>
      <c r="B343" s="1859" t="s">
        <v>2198</v>
      </c>
      <c r="C343" s="1860">
        <v>0.15</v>
      </c>
      <c r="D343" s="1860">
        <v>0.15</v>
      </c>
      <c r="E343" s="1860">
        <v>0.15</v>
      </c>
      <c r="F343" s="1861">
        <v>0.15</v>
      </c>
    </row>
    <row r="344" spans="1:6" ht="14.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81640625" customWidth="1"/>
  </cols>
  <sheetData>
    <row r="1" spans="1:6" ht="21">
      <c r="A1" s="3101" t="s">
        <v>2898</v>
      </c>
      <c r="B1" s="3103"/>
      <c r="C1" s="3103"/>
      <c r="D1" s="3103"/>
      <c r="E1" s="3103"/>
      <c r="F1" s="3103"/>
    </row>
    <row r="2" spans="1:6" ht="15">
      <c r="A2" s="3104" t="s">
        <v>2893</v>
      </c>
      <c r="B2" s="3105" t="e">
        <f ca="1">SUMIF(B7:B14,"&lt;&gt;#ref!",B7:B14)</f>
        <v>#DIV/0!</v>
      </c>
      <c r="C2" s="3104" t="s">
        <v>2894</v>
      </c>
      <c r="D2" s="3103"/>
      <c r="E2" s="3103"/>
      <c r="F2" s="3103"/>
    </row>
    <row r="3" spans="1:6" ht="15">
      <c r="A3" s="3104" t="s">
        <v>2925</v>
      </c>
      <c r="B3" s="3105" t="e">
        <f ca="1">ROUND(B2*10000/E3,0)</f>
        <v>#DIV/0!</v>
      </c>
      <c r="C3" s="3104" t="s">
        <v>2040</v>
      </c>
      <c r="D3" s="3104" t="s">
        <v>2895</v>
      </c>
      <c r="E3" s="3105">
        <f ca="1">SUMIF(E7:E14,"&lt;&gt;#ref!",E7:E14)</f>
        <v>0</v>
      </c>
      <c r="F3" s="3103"/>
    </row>
    <row r="4" spans="1:6" ht="15">
      <c r="A4" s="3104" t="s">
        <v>2902</v>
      </c>
      <c r="B4" s="3105" t="e">
        <f ca="1">ROUND(B2*10000/E4,0)</f>
        <v>#DIV/0!</v>
      </c>
      <c r="C4" s="3104" t="s">
        <v>2040</v>
      </c>
      <c r="D4" s="3104" t="s">
        <v>2903</v>
      </c>
      <c r="E4" s="3105">
        <f ca="1">SUMIF(F7:F14,"&lt;&gt;#ref!",F7:F14)</f>
        <v>0</v>
      </c>
      <c r="F4" s="3103"/>
    </row>
    <row r="5" spans="1:6" ht="15">
      <c r="A5" s="3106"/>
      <c r="B5" s="1881"/>
      <c r="C5" s="1881"/>
      <c r="D5" s="1881"/>
      <c r="E5" s="1881"/>
      <c r="F5" s="3103"/>
    </row>
    <row r="6" spans="1:6" ht="30">
      <c r="A6" s="3107" t="s">
        <v>2899</v>
      </c>
      <c r="B6" s="3104" t="s">
        <v>2896</v>
      </c>
      <c r="C6" s="3105"/>
      <c r="D6" s="1881"/>
      <c r="E6" s="3104" t="s">
        <v>2897</v>
      </c>
      <c r="F6" s="3104" t="s">
        <v>2901</v>
      </c>
    </row>
    <row r="7" spans="1:6" ht="15">
      <c r="A7" s="260" t="s">
        <v>2900</v>
      </c>
      <c r="B7" s="3108" t="e">
        <f ca="1">SUMIF(INDIRECT("'"&amp;A7&amp;"'"&amp;"!A:A"),"总价",INDIRECT("'"&amp;A7&amp;"'"&amp;"!B:B"))</f>
        <v>#DIV/0!</v>
      </c>
      <c r="C7" s="3104" t="s">
        <v>2894</v>
      </c>
      <c r="D7" s="1881"/>
      <c r="E7" s="3109">
        <f ca="1">SUMIF(INDIRECT("'"&amp;A7&amp;"'"&amp;"!C:C"),"建筑面积",INDIRECT("'"&amp;A7&amp;"'"&amp;"!D:D"))</f>
        <v>0</v>
      </c>
      <c r="F7" s="3109">
        <f ca="1">SUMIF(INDIRECT("'"&amp;A7&amp;"'"&amp;"!E:E"),"土地面积",INDIRECT("'"&amp;A7&amp;"'"&amp;"!F:F"))</f>
        <v>0</v>
      </c>
    </row>
    <row r="8" spans="1:6" ht="15">
      <c r="A8" s="260"/>
      <c r="B8" s="3108" t="e">
        <f t="shared" ref="B8:B14" ca="1" si="0">SUMIF(INDIRECT("'"&amp;A8&amp;"'"&amp;"!A:A"),"总价",INDIRECT("'"&amp;A8&amp;"'"&amp;"!B:B"))</f>
        <v>#REF!</v>
      </c>
      <c r="C8" s="3104" t="s">
        <v>2894</v>
      </c>
      <c r="D8" s="1881"/>
      <c r="E8" s="3109" t="e">
        <f t="shared" ref="E8:E14" ca="1" si="1">SUMIF(INDIRECT("'"&amp;A8&amp;"'"&amp;"!C:C"),"建筑面积",INDIRECT("'"&amp;A8&amp;"'"&amp;"!D:D"))</f>
        <v>#REF!</v>
      </c>
      <c r="F8" s="3109" t="e">
        <f t="shared" ref="F8:F14" ca="1" si="2">SUMIF(INDIRECT("'"&amp;A8&amp;"'"&amp;"!E:E"),"土地面积",INDIRECT("'"&amp;A8&amp;"'"&amp;"!F:F"))</f>
        <v>#REF!</v>
      </c>
    </row>
    <row r="9" spans="1:6" ht="15">
      <c r="A9" s="260"/>
      <c r="B9" s="3108" t="e">
        <f t="shared" ca="1" si="0"/>
        <v>#REF!</v>
      </c>
      <c r="C9" s="3104" t="s">
        <v>2894</v>
      </c>
      <c r="D9" s="1881"/>
      <c r="E9" s="3109" t="e">
        <f t="shared" ca="1" si="1"/>
        <v>#REF!</v>
      </c>
      <c r="F9" s="3109" t="e">
        <f t="shared" ca="1" si="2"/>
        <v>#REF!</v>
      </c>
    </row>
    <row r="10" spans="1:6" ht="15">
      <c r="A10" s="260"/>
      <c r="B10" s="3108" t="e">
        <f t="shared" ca="1" si="0"/>
        <v>#REF!</v>
      </c>
      <c r="C10" s="3104" t="s">
        <v>2894</v>
      </c>
      <c r="D10" s="1881"/>
      <c r="E10" s="3109" t="e">
        <f t="shared" ca="1" si="1"/>
        <v>#REF!</v>
      </c>
      <c r="F10" s="3109" t="e">
        <f t="shared" ca="1" si="2"/>
        <v>#REF!</v>
      </c>
    </row>
    <row r="11" spans="1:6" ht="15">
      <c r="A11" s="260"/>
      <c r="B11" s="3108" t="e">
        <f t="shared" ca="1" si="0"/>
        <v>#REF!</v>
      </c>
      <c r="C11" s="3104" t="s">
        <v>2894</v>
      </c>
      <c r="D11" s="1881"/>
      <c r="E11" s="3109" t="e">
        <f t="shared" ca="1" si="1"/>
        <v>#REF!</v>
      </c>
      <c r="F11" s="3109" t="e">
        <f t="shared" ca="1" si="2"/>
        <v>#REF!</v>
      </c>
    </row>
    <row r="12" spans="1:6" ht="15">
      <c r="A12" s="260"/>
      <c r="B12" s="3108" t="e">
        <f t="shared" ca="1" si="0"/>
        <v>#REF!</v>
      </c>
      <c r="C12" s="3104" t="s">
        <v>2894</v>
      </c>
      <c r="D12" s="1881"/>
      <c r="E12" s="3109" t="e">
        <f t="shared" ca="1" si="1"/>
        <v>#REF!</v>
      </c>
      <c r="F12" s="3109" t="e">
        <f t="shared" ca="1" si="2"/>
        <v>#REF!</v>
      </c>
    </row>
    <row r="13" spans="1:6" ht="15">
      <c r="A13" s="260"/>
      <c r="B13" s="3108" t="e">
        <f t="shared" ca="1" si="0"/>
        <v>#REF!</v>
      </c>
      <c r="C13" s="3104" t="s">
        <v>2894</v>
      </c>
      <c r="D13" s="1881"/>
      <c r="E13" s="3109" t="e">
        <f t="shared" ca="1" si="1"/>
        <v>#REF!</v>
      </c>
      <c r="F13" s="3109" t="e">
        <f t="shared" ca="1" si="2"/>
        <v>#REF!</v>
      </c>
    </row>
    <row r="14" spans="1:6" ht="15">
      <c r="A14" s="3102"/>
      <c r="B14" s="3108" t="e">
        <f t="shared" ca="1" si="0"/>
        <v>#REF!</v>
      </c>
      <c r="C14" s="3104" t="s">
        <v>2894</v>
      </c>
      <c r="D14" s="1881"/>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5"/>
  <cols>
    <col min="1" max="1" width="9" style="2098"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4.906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8.36328125" style="2059" customWidth="1"/>
    <col min="16" max="16" width="30.1796875" style="2059" customWidth="1"/>
    <col min="17" max="17" width="13.81640625" style="2059" customWidth="1"/>
    <col min="18" max="18" width="22.1796875" style="2059" customWidth="1"/>
    <col min="19" max="19" width="1.453125" style="2059" customWidth="1"/>
    <col min="20" max="25" width="9" style="2059"/>
    <col min="26" max="16384" width="9" style="2060"/>
  </cols>
  <sheetData>
    <row r="1" spans="1:25" s="2054" customFormat="1" ht="21">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2417</v>
      </c>
      <c r="C7" s="53">
        <f ca="1">C8+C12+C14</f>
        <v>0</v>
      </c>
      <c r="D7" s="2496" t="s">
        <v>2420</v>
      </c>
      <c r="E7" s="2490"/>
      <c r="F7" s="2491"/>
      <c r="G7" s="1591"/>
      <c r="H7" s="781">
        <v>1</v>
      </c>
      <c r="I7" s="782" t="s">
        <v>2417</v>
      </c>
      <c r="J7" s="53">
        <f ca="1">J8+J12+J14</f>
        <v>0</v>
      </c>
      <c r="K7" s="2496" t="s">
        <v>2420</v>
      </c>
      <c r="L7" s="2490"/>
      <c r="M7" s="2491"/>
    </row>
    <row r="8" spans="1:25" ht="18" customHeight="1">
      <c r="A8" s="1830" t="s">
        <v>1786</v>
      </c>
      <c r="B8" s="3463" t="s">
        <v>2422</v>
      </c>
      <c r="C8" s="1825">
        <f ca="1">ROUND(F8*F10*F9*(1-F11)/10000,0)</f>
        <v>0</v>
      </c>
      <c r="D8" s="1822" t="s">
        <v>2493</v>
      </c>
      <c r="E8" s="61" t="s">
        <v>602</v>
      </c>
      <c r="F8" s="785">
        <f ca="1">INDIRECT("'数据-取费表'!u"&amp;$G$1)</f>
        <v>0</v>
      </c>
      <c r="G8" s="1591"/>
      <c r="H8" s="2504" t="s">
        <v>1786</v>
      </c>
      <c r="I8" s="3463" t="s">
        <v>2422</v>
      </c>
      <c r="J8" s="783">
        <f ca="1">ROUND(M8*M10*M9*(1-M11)/10000,0)</f>
        <v>0</v>
      </c>
      <c r="K8" s="341" t="s">
        <v>2493</v>
      </c>
      <c r="L8" s="784" t="s">
        <v>1700</v>
      </c>
      <c r="M8" s="785">
        <f ca="1">INDIRECT("'数据-取费表'!z"&amp;$G$1)</f>
        <v>0</v>
      </c>
    </row>
    <row r="9" spans="1:25" ht="18" customHeight="1">
      <c r="A9" s="2500"/>
      <c r="B9" s="3464"/>
      <c r="C9" s="1826"/>
      <c r="D9" s="1823"/>
      <c r="E9" s="61" t="s">
        <v>603</v>
      </c>
      <c r="F9" s="785">
        <f ca="1">IF(INDIRECT("'数据-取费表'!ah"&amp;$G$1)="",INDIRECT("'数据-取费表'!k"&amp;$G$1),INDIRECT("'数据-取费表'!ah"&amp;$G$1))</f>
        <v>0</v>
      </c>
      <c r="G9" s="1591"/>
      <c r="H9" s="2489"/>
      <c r="I9" s="3464"/>
      <c r="J9" s="788"/>
      <c r="K9" s="789"/>
      <c r="L9" s="784" t="s">
        <v>1701</v>
      </c>
      <c r="M9" s="785">
        <f ca="1">F9</f>
        <v>0</v>
      </c>
    </row>
    <row r="10" spans="1:25" ht="18" customHeight="1">
      <c r="A10" s="2493"/>
      <c r="B10" s="3465"/>
      <c r="C10" s="1826"/>
      <c r="D10" s="1823"/>
      <c r="E10" s="61" t="s">
        <v>604</v>
      </c>
      <c r="F10" s="785">
        <f ca="1">INDIRECT("'数据-取费表'!ai"&amp;$G$1)</f>
        <v>0</v>
      </c>
      <c r="G10" s="1591"/>
      <c r="H10" s="2489"/>
      <c r="I10" s="3465"/>
      <c r="J10" s="788"/>
      <c r="K10" s="789"/>
      <c r="L10" s="784" t="s">
        <v>1702</v>
      </c>
      <c r="M10" s="785">
        <f ca="1">INDIRECT("'数据-取费表'!ai"&amp;$G$1)</f>
        <v>0</v>
      </c>
    </row>
    <row r="11" spans="1:25" ht="18" customHeight="1">
      <c r="A11" s="786"/>
      <c r="B11" s="3466"/>
      <c r="C11" s="1826"/>
      <c r="D11" s="1823"/>
      <c r="E11" s="61" t="s">
        <v>605</v>
      </c>
      <c r="F11" s="794">
        <f ca="1">INDIRECT("'数据-取费表'!w"&amp;$G$1)</f>
        <v>0</v>
      </c>
      <c r="G11" s="1591"/>
      <c r="H11" s="2505"/>
      <c r="I11" s="3465"/>
      <c r="J11" s="788"/>
      <c r="K11" s="789"/>
      <c r="L11" s="795" t="s">
        <v>1703</v>
      </c>
      <c r="M11" s="796">
        <f ca="1">INDIRECT("'数据-取费表'!ab"&amp;$G$1)</f>
        <v>0</v>
      </c>
    </row>
    <row r="12" spans="1:25" ht="18" customHeight="1">
      <c r="A12" s="1830" t="s">
        <v>1787</v>
      </c>
      <c r="B12" s="2494" t="s">
        <v>2418</v>
      </c>
      <c r="C12" s="799">
        <f ca="1">ROUND(IF(F12="押一",C8/12*F13,IF(F12="押二",C8/12*2*F13,IF(F12="押三",C8/12*3*F13,C13*F13))),0)</f>
        <v>0</v>
      </c>
      <c r="D12" s="2501" t="s">
        <v>2921</v>
      </c>
      <c r="E12" s="2498" t="s">
        <v>2423</v>
      </c>
      <c r="F12" s="2621"/>
      <c r="G12" s="1591"/>
      <c r="H12" s="2561" t="s">
        <v>1787</v>
      </c>
      <c r="I12" s="2566" t="s">
        <v>2418</v>
      </c>
      <c r="J12" s="783">
        <f ca="1">ROUND(IF(M12="押一",J8/12*M13,IF(M12="押二",J8/12*2*M13,IF(M12="押三",J8/12*3*M13,J13*M13))),0)</f>
        <v>0</v>
      </c>
      <c r="K12" s="2501" t="s">
        <v>2921</v>
      </c>
      <c r="L12" s="2498" t="s">
        <v>2423</v>
      </c>
      <c r="M12" s="2621"/>
    </row>
    <row r="13" spans="1:25" ht="18" customHeight="1">
      <c r="A13" s="790"/>
      <c r="B13" s="2495" t="s">
        <v>2532</v>
      </c>
      <c r="C13" s="2499"/>
      <c r="D13" s="789"/>
      <c r="E13" s="2498" t="s">
        <v>2415</v>
      </c>
      <c r="F13" s="796">
        <f ca="1">'数据-取费表'!B39</f>
        <v>1.4999999999999999E-2</v>
      </c>
      <c r="G13" s="1591"/>
      <c r="H13" s="2562"/>
      <c r="I13" s="2495" t="s">
        <v>2532</v>
      </c>
      <c r="J13" s="2499"/>
      <c r="K13" s="2563"/>
      <c r="L13" s="2498" t="s">
        <v>2415</v>
      </c>
      <c r="M13" s="2492">
        <f ca="1">'数据-取费表'!B39</f>
        <v>1.4999999999999999E-2</v>
      </c>
    </row>
    <row r="14" spans="1:25" ht="18" customHeight="1" thickBot="1">
      <c r="A14" s="2537" t="s">
        <v>2426</v>
      </c>
      <c r="B14" s="2538" t="s">
        <v>2419</v>
      </c>
      <c r="C14" s="2539"/>
      <c r="D14" s="2540"/>
      <c r="E14" s="2541"/>
      <c r="F14" s="2542"/>
      <c r="G14" s="1591"/>
      <c r="H14" s="2551" t="s">
        <v>2426</v>
      </c>
      <c r="I14" s="2564" t="s">
        <v>2419</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2784</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2781</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2782</v>
      </c>
      <c r="C31" s="2544">
        <f ca="1">ROUND((C21+C22+C25+C28)/(1-F23-C26-C29-C30),0)</f>
        <v>0</v>
      </c>
      <c r="D31" s="2545"/>
      <c r="E31" s="2546"/>
      <c r="F31" s="2547"/>
      <c r="G31" s="1592"/>
      <c r="H31" s="823" t="s">
        <v>1834</v>
      </c>
      <c r="I31" s="3012" t="s">
        <v>2783</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62"/>
      <c r="J36" s="2079"/>
      <c r="K36" s="2080"/>
      <c r="L36" s="2079"/>
      <c r="M36" s="2079"/>
    </row>
    <row r="37" spans="1:18" ht="18" customHeight="1">
      <c r="A37" s="815"/>
      <c r="B37" s="793"/>
      <c r="C37" s="69"/>
      <c r="D37" s="816"/>
      <c r="E37" s="784" t="s">
        <v>639</v>
      </c>
      <c r="F37" s="785">
        <f ca="1">INDIRECT("'数据-取费表'!r"&amp;$G$1)</f>
        <v>0</v>
      </c>
      <c r="G37" s="2062"/>
      <c r="H37" s="2065"/>
      <c r="I37" s="3462"/>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0" t="s">
        <v>2910</v>
      </c>
      <c r="F43" s="3121">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7">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2" t="s">
        <v>2912</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8" t="str">
        <f ca="1">IF(M48="住宅",0,IF(L49&gt;J52,L61,J61))</f>
        <v>0</v>
      </c>
      <c r="O47" s="2394" t="s">
        <v>2371</v>
      </c>
      <c r="P47" s="1591"/>
      <c r="Q47" s="1603"/>
      <c r="R47" s="1591"/>
    </row>
    <row r="48" spans="1:18" s="2059" customFormat="1" ht="18" customHeight="1" thickBot="1">
      <c r="A48" s="2084"/>
      <c r="C48" s="2087"/>
      <c r="D48" s="2088"/>
      <c r="E48" s="2088"/>
      <c r="F48" s="2089"/>
      <c r="G48" s="2090"/>
      <c r="I48" s="3148" t="s">
        <v>2305</v>
      </c>
      <c r="J48" s="2381"/>
      <c r="K48" s="3155" t="s">
        <v>2310</v>
      </c>
      <c r="L48" s="3159">
        <f ca="1">INDIRECT("'数据-取费表'!d"&amp;$G$1)</f>
        <v>0</v>
      </c>
      <c r="M48" s="3119"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4" t="s">
        <v>2306</v>
      </c>
      <c r="J49" s="2382"/>
      <c r="K49" s="3156"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4" t="s">
        <v>2307</v>
      </c>
      <c r="J50" s="2383"/>
      <c r="K50" s="3157"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4" t="s">
        <v>2308</v>
      </c>
      <c r="J51" s="3152">
        <f>SUMPRODUCT((I64:I66=J48)*(J63:L63=J49)*(J64:L66))</f>
        <v>0</v>
      </c>
      <c r="K51" s="3157" t="s">
        <v>2314</v>
      </c>
      <c r="L51" s="2384"/>
      <c r="O51" s="2401" t="s">
        <v>2344</v>
      </c>
      <c r="P51" s="2399" t="s">
        <v>2368</v>
      </c>
      <c r="Q51" s="2400">
        <f ca="1">C31</f>
        <v>0</v>
      </c>
      <c r="R51" s="2399" t="s">
        <v>2341</v>
      </c>
    </row>
    <row r="52" spans="1:18" s="2059" customFormat="1" ht="18" customHeight="1" thickBot="1">
      <c r="A52" s="2096"/>
      <c r="F52" s="2085"/>
      <c r="I52" s="3149" t="s">
        <v>2309</v>
      </c>
      <c r="J52" s="3153">
        <f>IF(J50="",J51,J50+J51-YEAR('数据-取费表'!B3))</f>
        <v>0</v>
      </c>
      <c r="K52" s="3124" t="s">
        <v>2315</v>
      </c>
      <c r="L52" s="3160">
        <f ca="1">ROUND(-PV(INDIRECT("'数据-取费表'!h"&amp;$G$1),L49,(C40-C14*J36),0),0)</f>
        <v>0</v>
      </c>
      <c r="O52" s="2401" t="s">
        <v>2345</v>
      </c>
      <c r="P52" s="2399" t="s">
        <v>2346</v>
      </c>
      <c r="Q52" s="2402" t="e">
        <f ca="1">J59</f>
        <v>#VALUE!</v>
      </c>
      <c r="R52" s="2403"/>
    </row>
    <row r="53" spans="1:18" s="2059" customFormat="1" ht="18" customHeight="1" thickBot="1">
      <c r="A53" s="2096"/>
      <c r="F53" s="2085"/>
      <c r="I53" s="3150" t="s">
        <v>2382</v>
      </c>
      <c r="J53" s="2385"/>
      <c r="K53" s="3150" t="s">
        <v>2381</v>
      </c>
      <c r="L53" s="2385"/>
      <c r="O53" s="2401" t="s">
        <v>2347</v>
      </c>
      <c r="P53" s="2399" t="s">
        <v>2348</v>
      </c>
      <c r="Q53" s="2402">
        <f>J53</f>
        <v>0</v>
      </c>
      <c r="R53" s="2403"/>
    </row>
    <row r="54" spans="1:18" s="2059" customFormat="1" ht="30.5" thickBot="1">
      <c r="A54" s="2096"/>
      <c r="I54" s="3151" t="s">
        <v>2926</v>
      </c>
      <c r="J54" s="3154">
        <f ca="1">IF(M48="住宅",MAX(J52,L49-'数据-取费表'!B20),MIN(J52,L49-'数据-取费表'!B20))</f>
        <v>-2</v>
      </c>
      <c r="K54" s="3467"/>
      <c r="L54" s="3468"/>
      <c r="O54" s="2401" t="s">
        <v>2349</v>
      </c>
      <c r="P54" s="2399" t="s">
        <v>2350</v>
      </c>
      <c r="Q54" s="2400">
        <f ca="1">J54</f>
        <v>-2</v>
      </c>
      <c r="R54" s="2399" t="s">
        <v>2351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2352</v>
      </c>
      <c r="P55" s="2399" t="s">
        <v>2369</v>
      </c>
      <c r="Q55" s="2400">
        <f ca="1">Q49+Q50</f>
        <v>0</v>
      </c>
      <c r="R55" s="2403" t="s">
        <v>2353</v>
      </c>
    </row>
    <row r="56" spans="1:18" s="2059" customFormat="1" ht="16" thickBot="1">
      <c r="A56" s="2096"/>
      <c r="B56" s="2097"/>
      <c r="C56" s="2097"/>
      <c r="I56" s="3163" t="s">
        <v>2316</v>
      </c>
      <c r="J56" s="3099" t="e">
        <f ca="1">ROUND(IF(J48="钢混",J58/J51,1-(1-2%)*(J51-J58)/J51),3)</f>
        <v>#VALUE!</v>
      </c>
      <c r="K56" s="3164" t="s">
        <v>2317</v>
      </c>
      <c r="L56" s="2386"/>
      <c r="O56" s="2404" t="s">
        <v>2372</v>
      </c>
      <c r="P56" s="1591"/>
      <c r="Q56" s="1603"/>
      <c r="R56" s="1591"/>
    </row>
    <row r="57" spans="1:18" s="2059" customFormat="1" ht="45.5" thickBot="1">
      <c r="A57" s="2096"/>
      <c r="B57" s="2097"/>
      <c r="C57" s="2097"/>
      <c r="I57" s="3165" t="s">
        <v>2318</v>
      </c>
      <c r="J57" s="3175" t="s">
        <v>1643</v>
      </c>
      <c r="K57" s="3124" t="s">
        <v>2323</v>
      </c>
      <c r="L57" s="1908">
        <f ca="1">IF(L49&lt;J52,"——",L49-J52)</f>
        <v>0</v>
      </c>
      <c r="O57" s="2395" t="s">
        <v>2336</v>
      </c>
      <c r="P57" s="2396" t="s">
        <v>2337</v>
      </c>
      <c r="Q57" s="2397" t="s">
        <v>2338</v>
      </c>
      <c r="R57" s="2396" t="s">
        <v>2339</v>
      </c>
    </row>
    <row r="58" spans="1:18" s="2059" customFormat="1" ht="30.5" thickBot="1">
      <c r="A58" s="2096"/>
      <c r="B58" s="2097"/>
      <c r="C58" s="2097"/>
      <c r="I58" s="3166" t="s">
        <v>2319</v>
      </c>
      <c r="J58" s="3167" t="str">
        <f ca="1">IF(OR(M48="住宅",J52&lt;L49,J57="是"),"——",J52-L49)</f>
        <v>——</v>
      </c>
      <c r="K58" s="3124" t="s">
        <v>2324</v>
      </c>
      <c r="L58" s="1908">
        <f ca="1">IF(L49&lt;J52,"——",IF(L56="比较法",L50,IF(L56="基准地价",L51,L52)))</f>
        <v>0</v>
      </c>
      <c r="O58" s="2398" t="s">
        <v>2340</v>
      </c>
      <c r="P58" s="2399" t="s">
        <v>2366</v>
      </c>
      <c r="Q58" s="2400">
        <f ca="1">C41+J31</f>
        <v>0</v>
      </c>
      <c r="R58" s="2399" t="s">
        <v>2341</v>
      </c>
    </row>
    <row r="59" spans="1:18" s="2059" customFormat="1" ht="30.5" thickBot="1">
      <c r="A59" s="2096"/>
      <c r="B59" s="2097"/>
      <c r="C59" s="2097"/>
      <c r="I59" s="3166" t="s">
        <v>2320</v>
      </c>
      <c r="J59" s="3100" t="e">
        <f ca="1">IF(J56&lt;0.4,0.4,J56)</f>
        <v>#VALUE!</v>
      </c>
      <c r="K59" s="3124"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30.5" thickBot="1">
      <c r="A60" s="2096"/>
      <c r="B60" s="2097"/>
      <c r="C60" s="2097"/>
      <c r="I60" s="3166" t="s">
        <v>2321</v>
      </c>
      <c r="J60" s="3167" t="str">
        <f ca="1">IF(OR(M48="住宅",J52&lt;L49,J57="是"),"——",ROUND(C30*J59,0))</f>
        <v>——</v>
      </c>
      <c r="K60" s="3124"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6" thickBot="1">
      <c r="A61" s="2096"/>
      <c r="B61" s="2097"/>
      <c r="C61" s="2097"/>
      <c r="I61" s="3168" t="s">
        <v>2322</v>
      </c>
      <c r="J61" s="3169" t="str">
        <f ca="1">IF(OR(M48="住宅",J52&lt;L49,J57="是"),"0",ROUND(J60/(1+J53)^J54,0))</f>
        <v>0</v>
      </c>
      <c r="K61" s="3170" t="s">
        <v>2327</v>
      </c>
      <c r="L61" s="3169" t="e">
        <f ca="1">IF(OR(M48="住宅",L49&lt;J52),0,ROUND(L58*(L59/L60-1),0))</f>
        <v>#DIV/0!</v>
      </c>
      <c r="O61" s="2401" t="s">
        <v>2345</v>
      </c>
      <c r="P61" s="2399" t="s">
        <v>2354</v>
      </c>
      <c r="Q61" s="2402">
        <f>L53</f>
        <v>0</v>
      </c>
      <c r="R61" s="2403"/>
    </row>
    <row r="62" spans="1:18" s="2059" customFormat="1" ht="17" thickBot="1">
      <c r="A62" s="2096"/>
      <c r="B62" s="2097"/>
      <c r="C62" s="2097"/>
      <c r="K62" s="2086"/>
      <c r="O62" s="2401" t="s">
        <v>2347</v>
      </c>
      <c r="P62" s="2399" t="s">
        <v>2355</v>
      </c>
      <c r="Q62" s="2400">
        <f ca="1">L59</f>
        <v>0</v>
      </c>
      <c r="R62" s="2403" t="s">
        <v>2356</v>
      </c>
    </row>
    <row r="63" spans="1:18" s="2059" customFormat="1" ht="17" thickBot="1">
      <c r="A63" s="2096"/>
      <c r="B63" s="2097"/>
      <c r="C63" s="2097"/>
      <c r="I63" s="3171" t="s">
        <v>2328</v>
      </c>
      <c r="J63" s="3172" t="s">
        <v>2329</v>
      </c>
      <c r="K63" s="3172" t="s">
        <v>2330</v>
      </c>
      <c r="L63" s="3172" t="s">
        <v>2311</v>
      </c>
      <c r="M63" s="3173" t="s">
        <v>2891</v>
      </c>
      <c r="O63" s="2401" t="s">
        <v>2349</v>
      </c>
      <c r="P63" s="2399" t="s">
        <v>2357</v>
      </c>
      <c r="Q63" s="2400">
        <f ca="1">L60</f>
        <v>0</v>
      </c>
      <c r="R63" s="2403" t="s">
        <v>2358</v>
      </c>
    </row>
    <row r="64" spans="1:18" s="2059" customFormat="1" ht="16" thickBot="1">
      <c r="A64" s="2096"/>
      <c r="B64" s="2097"/>
      <c r="C64" s="2097"/>
      <c r="I64" s="3171" t="s">
        <v>2331</v>
      </c>
      <c r="J64" s="3172">
        <v>70</v>
      </c>
      <c r="K64" s="3172">
        <v>50</v>
      </c>
      <c r="L64" s="3172">
        <v>80</v>
      </c>
      <c r="M64" s="3174">
        <v>0.02</v>
      </c>
      <c r="O64" s="2398" t="s">
        <v>2352</v>
      </c>
      <c r="P64" s="2399" t="s">
        <v>2369</v>
      </c>
      <c r="Q64" s="2400" t="e">
        <f ca="1">Q58+Q59</f>
        <v>#DIV/0!</v>
      </c>
      <c r="R64" s="2403" t="s">
        <v>2353</v>
      </c>
    </row>
    <row r="65" spans="1:18" s="2059" customFormat="1" ht="16" thickBot="1">
      <c r="A65" s="2096"/>
      <c r="B65" s="2097"/>
      <c r="C65" s="2097"/>
      <c r="I65" s="3171" t="s">
        <v>2332</v>
      </c>
      <c r="J65" s="3172">
        <v>50</v>
      </c>
      <c r="K65" s="3172">
        <v>35</v>
      </c>
      <c r="L65" s="3172">
        <v>60</v>
      </c>
      <c r="M65" s="846">
        <v>0</v>
      </c>
      <c r="O65" s="2404" t="s">
        <v>2376</v>
      </c>
      <c r="P65" s="1591"/>
      <c r="Q65" s="1603"/>
      <c r="R65" s="1591"/>
    </row>
    <row r="66" spans="1:18" s="2059" customFormat="1" ht="16" thickBot="1">
      <c r="A66" s="2096"/>
      <c r="B66" s="2097"/>
      <c r="C66" s="2097"/>
      <c r="I66" s="3171" t="s">
        <v>2333</v>
      </c>
      <c r="J66" s="3172">
        <v>40</v>
      </c>
      <c r="K66" s="3172">
        <v>30</v>
      </c>
      <c r="L66" s="3172">
        <v>50</v>
      </c>
      <c r="M66" s="3174">
        <v>0.02</v>
      </c>
      <c r="O66" s="2395" t="s">
        <v>2336</v>
      </c>
      <c r="P66" s="2396" t="s">
        <v>2337</v>
      </c>
      <c r="Q66" s="2397" t="s">
        <v>2338</v>
      </c>
      <c r="R66" s="2396" t="s">
        <v>2339</v>
      </c>
    </row>
    <row r="67" spans="1:18" s="2059" customFormat="1" ht="16" thickBot="1">
      <c r="A67" s="2096"/>
      <c r="B67" s="2097"/>
      <c r="C67" s="2097"/>
      <c r="K67" s="2086"/>
      <c r="O67" s="2398" t="s">
        <v>2340</v>
      </c>
      <c r="P67" s="2399" t="s">
        <v>2366</v>
      </c>
      <c r="Q67" s="2400">
        <f ca="1">C41+J31</f>
        <v>0</v>
      </c>
      <c r="R67" s="2399" t="s">
        <v>2341</v>
      </c>
    </row>
    <row r="68" spans="1:18" s="2059" customFormat="1" ht="17" thickBot="1">
      <c r="A68" s="2096"/>
      <c r="B68" s="2097"/>
      <c r="C68" s="2097"/>
      <c r="K68" s="2086"/>
      <c r="O68" s="2398" t="s">
        <v>2342</v>
      </c>
      <c r="P68" s="2399" t="s">
        <v>2373</v>
      </c>
      <c r="Q68" s="2400" t="e">
        <f ca="1">L61</f>
        <v>#DIV/0!</v>
      </c>
      <c r="R68" s="2403" t="s">
        <v>2375</v>
      </c>
    </row>
    <row r="69" spans="1:18" s="2059" customFormat="1" ht="21" thickBot="1">
      <c r="A69" s="2096"/>
      <c r="B69" s="2097"/>
      <c r="C69" s="2097"/>
      <c r="K69" s="2086"/>
      <c r="O69" s="2401" t="s">
        <v>2344</v>
      </c>
      <c r="P69" s="2399" t="s">
        <v>2374</v>
      </c>
      <c r="Q69" s="2405">
        <f ca="1">L52</f>
        <v>0</v>
      </c>
      <c r="R69" s="2406" t="s">
        <v>2377</v>
      </c>
    </row>
    <row r="70" spans="1:18" s="2059" customFormat="1" ht="17" thickBot="1">
      <c r="A70" s="2096"/>
      <c r="B70" s="2097"/>
      <c r="C70" s="2097"/>
      <c r="K70" s="2086"/>
      <c r="O70" s="2401" t="s">
        <v>2345</v>
      </c>
      <c r="P70" s="2407" t="s">
        <v>2359</v>
      </c>
      <c r="Q70" s="2400">
        <f ca="1">ROUND(Q71-Q72*Q73,0)</f>
        <v>0</v>
      </c>
      <c r="R70" s="2403"/>
    </row>
    <row r="71" spans="1:18" s="2059" customFormat="1" ht="16" thickBot="1">
      <c r="A71" s="2096"/>
      <c r="B71" s="2097"/>
      <c r="C71" s="2097"/>
      <c r="K71" s="2086"/>
      <c r="O71" s="2401" t="s">
        <v>2360</v>
      </c>
      <c r="P71" s="2407" t="s">
        <v>2361</v>
      </c>
      <c r="Q71" s="2400">
        <f ca="1">C42</f>
        <v>0</v>
      </c>
      <c r="R71" s="2399" t="s">
        <v>2341</v>
      </c>
    </row>
    <row r="72" spans="1:18" s="2059" customFormat="1" ht="16" thickBot="1">
      <c r="A72" s="2096"/>
      <c r="B72" s="2097"/>
      <c r="C72" s="2097"/>
      <c r="K72" s="2086"/>
      <c r="O72" s="2401" t="s">
        <v>2362</v>
      </c>
      <c r="P72" s="2407" t="s">
        <v>2363</v>
      </c>
      <c r="Q72" s="2400">
        <f ca="1">C15</f>
        <v>0</v>
      </c>
      <c r="R72" s="2399" t="s">
        <v>2341</v>
      </c>
    </row>
    <row r="73" spans="1:18" s="2059" customFormat="1" ht="16" thickBot="1">
      <c r="A73" s="2096"/>
      <c r="B73" s="2097"/>
      <c r="C73" s="2097"/>
      <c r="K73" s="2086"/>
      <c r="O73" s="2401" t="s">
        <v>2364</v>
      </c>
      <c r="P73" s="2407" t="s">
        <v>2365</v>
      </c>
      <c r="Q73" s="2402">
        <f ca="1">F43</f>
        <v>0</v>
      </c>
      <c r="R73" s="2403"/>
    </row>
    <row r="74" spans="1:18" s="2059" customFormat="1" ht="16" thickBot="1">
      <c r="A74" s="2096"/>
      <c r="B74" s="2097"/>
      <c r="C74" s="2097"/>
      <c r="K74" s="2086"/>
      <c r="O74" s="2401" t="s">
        <v>2347</v>
      </c>
      <c r="P74" s="2399" t="s">
        <v>2354</v>
      </c>
      <c r="Q74" s="2402">
        <f>L53</f>
        <v>0</v>
      </c>
      <c r="R74" s="2403"/>
    </row>
    <row r="75" spans="1:18" s="2059" customFormat="1" ht="17" thickBot="1">
      <c r="A75" s="2096"/>
      <c r="B75" s="2097"/>
      <c r="C75" s="2097"/>
      <c r="K75" s="2086"/>
      <c r="O75" s="2401" t="s">
        <v>2349</v>
      </c>
      <c r="P75" s="2399" t="s">
        <v>2355</v>
      </c>
      <c r="Q75" s="2400">
        <f ca="1">L59</f>
        <v>0</v>
      </c>
      <c r="R75" s="2403" t="s">
        <v>2356</v>
      </c>
    </row>
    <row r="76" spans="1:18" s="2059" customFormat="1" ht="17" thickBot="1">
      <c r="A76" s="2096"/>
      <c r="B76" s="2097"/>
      <c r="C76" s="2097"/>
      <c r="K76" s="2086"/>
      <c r="O76" s="2401" t="s">
        <v>2378</v>
      </c>
      <c r="P76" s="2399" t="s">
        <v>2357</v>
      </c>
      <c r="Q76" s="2400">
        <f ca="1">L60</f>
        <v>0</v>
      </c>
      <c r="R76" s="2403" t="s">
        <v>2358</v>
      </c>
    </row>
    <row r="77" spans="1:18" s="2059" customFormat="1" ht="16"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5"/>
  <cols>
    <col min="1" max="1" width="9" style="2663"/>
    <col min="2" max="6" width="9" style="2663" customWidth="1"/>
    <col min="7" max="7" width="9" style="2679" customWidth="1"/>
    <col min="8" max="12" width="9" style="2663" customWidth="1"/>
    <col min="13" max="13" width="2.1796875" style="2663" customWidth="1"/>
    <col min="14" max="14" width="9" style="2679" customWidth="1"/>
    <col min="15" max="17" width="9" style="2663" customWidth="1"/>
    <col min="18" max="18" width="2.36328125" style="2663" customWidth="1"/>
    <col min="19" max="19" width="7.08984375" style="2679" customWidth="1"/>
    <col min="20" max="22" width="7.08984375" style="2663" customWidth="1"/>
    <col min="23" max="23" width="24" style="2663" customWidth="1"/>
    <col min="24" max="25" width="9" style="2663"/>
    <col min="26" max="27" width="11.6328125" style="2663" customWidth="1"/>
    <col min="28" max="28" width="9" style="2663"/>
    <col min="29" max="29" width="2" style="2663" customWidth="1"/>
    <col min="30" max="16384" width="9" style="2663"/>
  </cols>
  <sheetData>
    <row r="1" spans="1:34" s="2653" customFormat="1" ht="13">
      <c r="B1" s="3471" t="s">
        <v>2535</v>
      </c>
      <c r="C1" s="3471"/>
      <c r="D1" s="3471"/>
      <c r="E1" s="3471"/>
      <c r="F1" s="3471"/>
      <c r="G1" s="3470" t="s">
        <v>2536</v>
      </c>
      <c r="H1" s="3470"/>
      <c r="I1" s="3470"/>
      <c r="J1" s="3470"/>
      <c r="K1" s="3470"/>
      <c r="L1" s="3470"/>
      <c r="N1" s="3470" t="s">
        <v>2537</v>
      </c>
      <c r="O1" s="3470"/>
      <c r="P1" s="3470"/>
      <c r="Q1" s="3470"/>
      <c r="R1" s="2654"/>
      <c r="S1" s="3470" t="s">
        <v>2538</v>
      </c>
      <c r="T1" s="3470"/>
      <c r="U1" s="3470"/>
      <c r="V1" s="3470"/>
      <c r="X1" s="3469" t="s">
        <v>2598</v>
      </c>
      <c r="Y1" s="3470"/>
      <c r="Z1" s="3470"/>
      <c r="AA1" s="3470"/>
      <c r="AB1" s="3470"/>
      <c r="AD1" s="3469" t="s">
        <v>2602</v>
      </c>
      <c r="AE1" s="3470"/>
      <c r="AF1" s="3470"/>
      <c r="AG1" s="3470"/>
      <c r="AH1" s="3470"/>
    </row>
    <row r="2" spans="1:34" s="2756" customFormat="1" ht="14.5" thickBot="1">
      <c r="B2" s="2764" t="s">
        <v>2539</v>
      </c>
      <c r="C2" s="2764" t="s">
        <v>2600</v>
      </c>
      <c r="D2" s="2757" t="s">
        <v>1609</v>
      </c>
      <c r="E2" s="2757" t="s">
        <v>1913</v>
      </c>
      <c r="F2" s="2764" t="s">
        <v>2601</v>
      </c>
      <c r="G2" s="2760"/>
      <c r="H2" s="2759"/>
      <c r="I2" s="2764" t="s">
        <v>2904</v>
      </c>
      <c r="J2" s="2757" t="s">
        <v>2906</v>
      </c>
      <c r="K2" s="2757" t="s">
        <v>2907</v>
      </c>
      <c r="L2" s="2764" t="s">
        <v>2908</v>
      </c>
      <c r="N2" s="2764" t="s">
        <v>2539</v>
      </c>
      <c r="O2" s="2757" t="s">
        <v>2905</v>
      </c>
      <c r="P2" s="2757" t="s">
        <v>1913</v>
      </c>
      <c r="Q2" s="2764" t="s">
        <v>2601</v>
      </c>
      <c r="R2" s="2758"/>
      <c r="S2" s="2764" t="s">
        <v>2539</v>
      </c>
      <c r="T2" s="2757" t="s">
        <v>2905</v>
      </c>
      <c r="U2" s="2757" t="s">
        <v>1913</v>
      </c>
      <c r="V2" s="2764" t="s">
        <v>2601</v>
      </c>
      <c r="X2" s="2764" t="s">
        <v>2539</v>
      </c>
      <c r="Y2" s="2764" t="s">
        <v>2600</v>
      </c>
      <c r="Z2" s="2757" t="s">
        <v>1609</v>
      </c>
      <c r="AA2" s="2757" t="s">
        <v>1913</v>
      </c>
      <c r="AB2" s="2764" t="s">
        <v>2601</v>
      </c>
      <c r="AD2" s="2764" t="s">
        <v>2539</v>
      </c>
      <c r="AE2" s="2764" t="s">
        <v>2600</v>
      </c>
      <c r="AF2" s="2757" t="s">
        <v>1609</v>
      </c>
      <c r="AG2" s="2757" t="s">
        <v>1913</v>
      </c>
      <c r="AH2" s="2764" t="s">
        <v>2601</v>
      </c>
    </row>
    <row r="3" spans="1:34" s="3132" customFormat="1" ht="14">
      <c r="A3" s="3144" t="s">
        <v>2916</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ht="13">
      <c r="A5" s="3111" t="s">
        <v>2927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2917</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2928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2923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ht="13">
      <c r="A8" s="2655" t="s">
        <v>2914</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2918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ht="13">
      <c r="A10" s="2655" t="s">
        <v>2540</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2541</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ht="13">
      <c r="A12" s="2655" t="s">
        <v>936</v>
      </c>
      <c r="B12" s="2661">
        <v>392</v>
      </c>
      <c r="C12" s="2661">
        <v>302</v>
      </c>
      <c r="D12" s="2661">
        <f t="shared" si="23"/>
        <v>302</v>
      </c>
      <c r="E12" s="2661">
        <v>553</v>
      </c>
      <c r="F12" s="2662">
        <v>266</v>
      </c>
      <c r="G12" s="347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73"/>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73"/>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74"/>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933</v>
      </c>
      <c r="B16" s="2661">
        <v>333</v>
      </c>
      <c r="C16" s="2661">
        <v>277</v>
      </c>
      <c r="D16" s="2661">
        <f t="shared" si="45"/>
        <v>277</v>
      </c>
      <c r="E16" s="2661">
        <v>459</v>
      </c>
      <c r="F16" s="2662">
        <v>249</v>
      </c>
      <c r="G16" s="3472">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73"/>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73"/>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74"/>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929</v>
      </c>
      <c r="B20" s="2683">
        <v>318</v>
      </c>
      <c r="C20" s="2683">
        <v>268</v>
      </c>
      <c r="D20" s="2683">
        <f t="shared" si="45"/>
        <v>268</v>
      </c>
      <c r="E20" s="2683">
        <v>437</v>
      </c>
      <c r="F20" s="2684">
        <v>237</v>
      </c>
      <c r="G20" s="3472">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73"/>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73"/>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74"/>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2599</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2542</v>
      </c>
      <c r="B24" s="2661">
        <v>299</v>
      </c>
      <c r="C24" s="2661">
        <v>252</v>
      </c>
      <c r="D24" s="2661">
        <f t="shared" si="45"/>
        <v>252</v>
      </c>
      <c r="E24" s="2661">
        <v>409</v>
      </c>
      <c r="F24" s="2662">
        <v>227</v>
      </c>
      <c r="G24" s="3475">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2543</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76"/>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ht="13">
      <c r="A26" s="2655" t="s">
        <v>2544</v>
      </c>
      <c r="B26" s="2669">
        <f t="shared" si="54"/>
        <v>288.2649053828776</v>
      </c>
      <c r="C26" s="2669">
        <f t="shared" si="54"/>
        <v>243.64564425013293</v>
      </c>
      <c r="D26" s="2669">
        <f t="shared" si="45"/>
        <v>243.64564425013293</v>
      </c>
      <c r="E26" s="2669">
        <f t="shared" si="55"/>
        <v>393.31080825986544</v>
      </c>
      <c r="F26" s="2669">
        <f t="shared" si="55"/>
        <v>223.07903790551154</v>
      </c>
      <c r="G26" s="3476"/>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2545</v>
      </c>
      <c r="B27" s="2669">
        <f t="shared" si="54"/>
        <v>282.50186729015837</v>
      </c>
      <c r="C27" s="2669">
        <f t="shared" si="54"/>
        <v>238.09796174155468</v>
      </c>
      <c r="D27" s="2669">
        <f t="shared" si="45"/>
        <v>238.09796174155468</v>
      </c>
      <c r="E27" s="2669">
        <f t="shared" si="55"/>
        <v>385.33438646014054</v>
      </c>
      <c r="F27" s="2669">
        <f t="shared" si="55"/>
        <v>221.55034055567739</v>
      </c>
      <c r="G27" s="3477"/>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2546</v>
      </c>
      <c r="B28" s="2699">
        <v>278</v>
      </c>
      <c r="C28" s="2699">
        <v>234</v>
      </c>
      <c r="D28" s="2699">
        <f t="shared" si="45"/>
        <v>234</v>
      </c>
      <c r="E28" s="2699">
        <v>379</v>
      </c>
      <c r="F28" s="2700">
        <v>220</v>
      </c>
      <c r="G28" s="3472">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2547</v>
      </c>
      <c r="B29" s="2669">
        <f>B28/(1+N28)</f>
        <v>275.49301357645425</v>
      </c>
      <c r="C29" s="2669">
        <f>C28/(1+O28)</f>
        <v>232.41954707985698</v>
      </c>
      <c r="D29" s="2669">
        <f t="shared" si="45"/>
        <v>232.41954707985698</v>
      </c>
      <c r="E29" s="2669">
        <f t="shared" ref="E29:F31" si="56">E28/(1+P28)</f>
        <v>375.32184591008121</v>
      </c>
      <c r="F29" s="2669">
        <f t="shared" si="56"/>
        <v>218.03766105054513</v>
      </c>
      <c r="G29" s="3473"/>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2548</v>
      </c>
      <c r="B30" s="2669">
        <f>B29/(1+N29)</f>
        <v>275.24529281292263</v>
      </c>
      <c r="C30" s="2669">
        <f>C29/(1+O29)</f>
        <v>231.74747938962707</v>
      </c>
      <c r="D30" s="2669">
        <f t="shared" si="45"/>
        <v>231.74747938962707</v>
      </c>
      <c r="E30" s="2669">
        <f t="shared" si="56"/>
        <v>375.35938184826603</v>
      </c>
      <c r="F30" s="2669">
        <f t="shared" si="56"/>
        <v>216.78033510692495</v>
      </c>
      <c r="G30" s="3473"/>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 thickBot="1">
      <c r="A31" s="2655" t="s">
        <v>2549</v>
      </c>
      <c r="B31" s="2669">
        <f>B30/(1+N30)</f>
        <v>275.19025476197027</v>
      </c>
      <c r="C31" s="2701">
        <v>232</v>
      </c>
      <c r="D31" s="2701">
        <f t="shared" si="45"/>
        <v>232</v>
      </c>
      <c r="E31" s="2669">
        <f t="shared" si="56"/>
        <v>375.65990977608692</v>
      </c>
      <c r="F31" s="2669">
        <f t="shared" si="56"/>
        <v>214.12518283971252</v>
      </c>
      <c r="G31" s="3474"/>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2550</v>
      </c>
      <c r="B32" s="2661">
        <v>275</v>
      </c>
      <c r="C32" s="2661">
        <v>232</v>
      </c>
      <c r="D32" s="2661">
        <f t="shared" si="45"/>
        <v>232</v>
      </c>
      <c r="E32" s="2661">
        <v>376</v>
      </c>
      <c r="F32" s="2662">
        <v>213</v>
      </c>
      <c r="G32" s="3472">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2551</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73">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2552</v>
      </c>
      <c r="B34" s="2669">
        <f t="shared" si="57"/>
        <v>275.19335084830601</v>
      </c>
      <c r="C34" s="2669">
        <f t="shared" si="57"/>
        <v>230.18088050139744</v>
      </c>
      <c r="D34" s="2669">
        <f t="shared" si="45"/>
        <v>230.18088050139744</v>
      </c>
      <c r="E34" s="2669">
        <f t="shared" si="58"/>
        <v>377.58482925212331</v>
      </c>
      <c r="F34" s="2669">
        <f t="shared" si="58"/>
        <v>210.90687997847917</v>
      </c>
      <c r="G34" s="3473">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 thickBot="1">
      <c r="A35" s="2655" t="s">
        <v>2553</v>
      </c>
      <c r="B35" s="2669">
        <f t="shared" si="57"/>
        <v>276.29854502841971</v>
      </c>
      <c r="C35" s="2669">
        <f t="shared" si="57"/>
        <v>229.79023709833027</v>
      </c>
      <c r="D35" s="2669">
        <f t="shared" si="45"/>
        <v>229.79023709833027</v>
      </c>
      <c r="E35" s="2669">
        <f t="shared" si="58"/>
        <v>379.78759731655936</v>
      </c>
      <c r="F35" s="2669">
        <f t="shared" si="58"/>
        <v>211.32953905659235</v>
      </c>
      <c r="G35" s="3474">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2554</v>
      </c>
      <c r="B36" s="2661">
        <v>269</v>
      </c>
      <c r="C36" s="2661">
        <v>221</v>
      </c>
      <c r="D36" s="2661">
        <f t="shared" si="45"/>
        <v>221</v>
      </c>
      <c r="E36" s="2661">
        <v>373</v>
      </c>
      <c r="F36" s="2662">
        <v>196</v>
      </c>
      <c r="G36" s="3472">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2555</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73">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2556</v>
      </c>
      <c r="B38" s="2669">
        <f t="shared" si="59"/>
        <v>242.95398227588385</v>
      </c>
      <c r="C38" s="2669">
        <f t="shared" si="59"/>
        <v>199.59137053614126</v>
      </c>
      <c r="D38" s="2669">
        <f t="shared" si="45"/>
        <v>199.59137053614126</v>
      </c>
      <c r="E38" s="2669">
        <f t="shared" si="60"/>
        <v>335.92189522342125</v>
      </c>
      <c r="F38" s="2669">
        <f t="shared" si="60"/>
        <v>183.10139991109489</v>
      </c>
      <c r="G38" s="3473">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 thickBot="1">
      <c r="A39" s="2655" t="s">
        <v>2557</v>
      </c>
      <c r="B39" s="2669">
        <f t="shared" si="59"/>
        <v>232.06990378821649</v>
      </c>
      <c r="C39" s="2669">
        <f t="shared" si="59"/>
        <v>192.74878854286936</v>
      </c>
      <c r="D39" s="2669">
        <f t="shared" si="45"/>
        <v>192.74878854286936</v>
      </c>
      <c r="E39" s="2669">
        <f t="shared" si="60"/>
        <v>319.71247284992984</v>
      </c>
      <c r="F39" s="2669">
        <f t="shared" si="60"/>
        <v>175.67053622862409</v>
      </c>
      <c r="G39" s="3474">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2558</v>
      </c>
      <c r="B40" s="2661">
        <v>220</v>
      </c>
      <c r="C40" s="2661">
        <v>187</v>
      </c>
      <c r="D40" s="2661">
        <f t="shared" si="45"/>
        <v>187</v>
      </c>
      <c r="E40" s="2661">
        <v>301</v>
      </c>
      <c r="F40" s="2662">
        <v>168</v>
      </c>
      <c r="G40" s="3472">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2559</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73">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2560</v>
      </c>
      <c r="B42" s="2669">
        <f t="shared" si="61"/>
        <v>210.630522469011</v>
      </c>
      <c r="C42" s="2669">
        <f t="shared" si="61"/>
        <v>181.69567812247232</v>
      </c>
      <c r="D42" s="2669">
        <f t="shared" si="45"/>
        <v>181.69567812247232</v>
      </c>
      <c r="E42" s="2669">
        <f t="shared" si="62"/>
        <v>286.13517466736738</v>
      </c>
      <c r="F42" s="2669">
        <f t="shared" si="62"/>
        <v>165.47535084591149</v>
      </c>
      <c r="G42" s="3473">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2561</v>
      </c>
      <c r="B43" s="2669">
        <f t="shared" si="61"/>
        <v>208.83454537875372</v>
      </c>
      <c r="C43" s="2669">
        <f t="shared" si="61"/>
        <v>183.77230517090351</v>
      </c>
      <c r="D43" s="2669">
        <f t="shared" si="45"/>
        <v>183.77230517090351</v>
      </c>
      <c r="E43" s="2669">
        <f t="shared" si="62"/>
        <v>281.10342338870947</v>
      </c>
      <c r="F43" s="2669">
        <f t="shared" si="62"/>
        <v>168.97309388942256</v>
      </c>
      <c r="G43" s="3474">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2562</v>
      </c>
      <c r="B44" s="2699">
        <v>214</v>
      </c>
      <c r="C44" s="2699">
        <v>188</v>
      </c>
      <c r="D44" s="2699">
        <f t="shared" si="45"/>
        <v>188</v>
      </c>
      <c r="E44" s="2699">
        <v>289</v>
      </c>
      <c r="F44" s="2700">
        <v>166</v>
      </c>
      <c r="G44" s="3472">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2563</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73">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2564</v>
      </c>
      <c r="B46" s="2669">
        <f t="shared" si="63"/>
        <v>206.31694671589116</v>
      </c>
      <c r="C46" s="2669">
        <f t="shared" si="63"/>
        <v>183.61041121036101</v>
      </c>
      <c r="D46" s="2669">
        <f t="shared" si="45"/>
        <v>183.61041121036101</v>
      </c>
      <c r="E46" s="2669">
        <f t="shared" si="64"/>
        <v>276.66850301795557</v>
      </c>
      <c r="F46" s="2669">
        <f t="shared" si="64"/>
        <v>165.1360938278614</v>
      </c>
      <c r="G46" s="3473">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 thickBot="1">
      <c r="A47" s="2655" t="s">
        <v>2565</v>
      </c>
      <c r="B47" s="2702">
        <f t="shared" si="63"/>
        <v>196.62341248059772</v>
      </c>
      <c r="C47" s="2702">
        <f t="shared" si="63"/>
        <v>170.99125648199012</v>
      </c>
      <c r="D47" s="2702">
        <f t="shared" si="45"/>
        <v>170.99125648199012</v>
      </c>
      <c r="E47" s="2702">
        <f t="shared" si="64"/>
        <v>266.07857570490052</v>
      </c>
      <c r="F47" s="2702">
        <f t="shared" si="64"/>
        <v>154.53499328828505</v>
      </c>
      <c r="G47" s="3474">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2566</v>
      </c>
      <c r="B48" s="2661">
        <v>188</v>
      </c>
      <c r="C48" s="2661">
        <v>165</v>
      </c>
      <c r="D48" s="2661">
        <f t="shared" si="45"/>
        <v>165</v>
      </c>
      <c r="E48" s="2661">
        <v>254</v>
      </c>
      <c r="F48" s="2662">
        <v>148</v>
      </c>
      <c r="G48" s="3472">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2567</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73">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2568</v>
      </c>
      <c r="B50" s="2669">
        <f t="shared" si="67"/>
        <v>168.82017748715555</v>
      </c>
      <c r="C50" s="2669">
        <f t="shared" si="67"/>
        <v>148.06267029972753</v>
      </c>
      <c r="D50" s="2669">
        <f t="shared" si="45"/>
        <v>148.06267029972753</v>
      </c>
      <c r="E50" s="2669">
        <f t="shared" si="68"/>
        <v>216.46288379323747</v>
      </c>
      <c r="F50" s="2669">
        <f t="shared" si="68"/>
        <v>134.23529411764704</v>
      </c>
      <c r="G50" s="3473">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2569</v>
      </c>
      <c r="B51" s="2669">
        <f t="shared" si="67"/>
        <v>163.84913591779542</v>
      </c>
      <c r="C51" s="2669">
        <f t="shared" si="67"/>
        <v>145.0283378746594</v>
      </c>
      <c r="D51" s="2669">
        <f t="shared" si="45"/>
        <v>145.0283378746594</v>
      </c>
      <c r="E51" s="2669">
        <f t="shared" si="68"/>
        <v>204.95180722891567</v>
      </c>
      <c r="F51" s="2669">
        <f t="shared" si="68"/>
        <v>125.95920303605313</v>
      </c>
      <c r="G51" s="3474">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2570</v>
      </c>
      <c r="B52" s="2683">
        <v>159</v>
      </c>
      <c r="C52" s="2683">
        <v>141</v>
      </c>
      <c r="D52" s="2683">
        <f t="shared" si="45"/>
        <v>141</v>
      </c>
      <c r="E52" s="2683">
        <v>195</v>
      </c>
      <c r="F52" s="2684">
        <v>122</v>
      </c>
      <c r="G52" s="3472">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2571</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73">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2572</v>
      </c>
      <c r="B54" s="2669">
        <f t="shared" si="71"/>
        <v>146.57412060301507</v>
      </c>
      <c r="C54" s="2669">
        <f t="shared" si="71"/>
        <v>136.46831955922866</v>
      </c>
      <c r="D54" s="2669">
        <f t="shared" si="45"/>
        <v>136.46831955922866</v>
      </c>
      <c r="E54" s="2669">
        <f t="shared" si="72"/>
        <v>166.73864894795128</v>
      </c>
      <c r="F54" s="2669">
        <f t="shared" si="72"/>
        <v>115.05882352941177</v>
      </c>
      <c r="G54" s="3473">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2573</v>
      </c>
      <c r="B55" s="2669">
        <f t="shared" si="71"/>
        <v>144.04145728643215</v>
      </c>
      <c r="C55" s="2669">
        <f t="shared" si="71"/>
        <v>136.12396694214877</v>
      </c>
      <c r="D55" s="2669">
        <f t="shared" si="45"/>
        <v>136.12396694214877</v>
      </c>
      <c r="E55" s="2669">
        <f t="shared" si="72"/>
        <v>158.32225913621264</v>
      </c>
      <c r="F55" s="2669">
        <f t="shared" si="72"/>
        <v>114.04278074866311</v>
      </c>
      <c r="G55" s="3474">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2574</v>
      </c>
      <c r="B56" s="2683">
        <v>138</v>
      </c>
      <c r="C56" s="2683">
        <v>131</v>
      </c>
      <c r="D56" s="2683">
        <f t="shared" si="45"/>
        <v>131</v>
      </c>
      <c r="E56" s="2683">
        <v>155</v>
      </c>
      <c r="F56" s="2684">
        <v>114</v>
      </c>
      <c r="G56" s="3472">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2575</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73">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2576</v>
      </c>
      <c r="B58" s="2669">
        <f t="shared" si="75"/>
        <v>124.29032258064517</v>
      </c>
      <c r="C58" s="2669">
        <f t="shared" si="75"/>
        <v>123.8968609865471</v>
      </c>
      <c r="D58" s="2669">
        <f t="shared" si="45"/>
        <v>123.8968609865471</v>
      </c>
      <c r="E58" s="2669">
        <f t="shared" si="76"/>
        <v>138.00507614213197</v>
      </c>
      <c r="F58" s="2669">
        <f t="shared" si="76"/>
        <v>107.96106557377048</v>
      </c>
      <c r="G58" s="3473">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2577</v>
      </c>
      <c r="B59" s="2669">
        <f t="shared" si="75"/>
        <v>122.57204301075269</v>
      </c>
      <c r="C59" s="2669">
        <f t="shared" si="75"/>
        <v>123.4932735426009</v>
      </c>
      <c r="D59" s="2669">
        <f t="shared" si="45"/>
        <v>123.4932735426009</v>
      </c>
      <c r="E59" s="2669">
        <f t="shared" si="76"/>
        <v>129.82233502538071</v>
      </c>
      <c r="F59" s="2669">
        <f t="shared" si="76"/>
        <v>107.39446721311475</v>
      </c>
      <c r="G59" s="3474">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2578</v>
      </c>
      <c r="B60" s="2699">
        <v>121</v>
      </c>
      <c r="C60" s="2699">
        <v>122</v>
      </c>
      <c r="D60" s="2699">
        <f t="shared" si="45"/>
        <v>122</v>
      </c>
      <c r="E60" s="2699">
        <v>124</v>
      </c>
      <c r="F60" s="2700">
        <v>107</v>
      </c>
      <c r="G60" s="3472">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2579</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73">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2580</v>
      </c>
      <c r="B62" s="2669">
        <f t="shared" si="79"/>
        <v>116.99099099099099</v>
      </c>
      <c r="C62" s="2669">
        <f t="shared" si="79"/>
        <v>118.84848484848486</v>
      </c>
      <c r="D62" s="2669">
        <f t="shared" si="45"/>
        <v>118.84848484848486</v>
      </c>
      <c r="E62" s="2669">
        <f t="shared" si="80"/>
        <v>117.60960960960961</v>
      </c>
      <c r="F62" s="2669">
        <f t="shared" si="80"/>
        <v>104</v>
      </c>
      <c r="G62" s="3473">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 thickBot="1">
      <c r="A63" s="2655" t="s">
        <v>2581</v>
      </c>
      <c r="B63" s="2702">
        <f t="shared" si="79"/>
        <v>112.48648648648648</v>
      </c>
      <c r="C63" s="2702">
        <f t="shared" si="79"/>
        <v>115.21212121212122</v>
      </c>
      <c r="D63" s="2702">
        <f t="shared" si="45"/>
        <v>115.21212121212122</v>
      </c>
      <c r="E63" s="2702">
        <f t="shared" si="80"/>
        <v>110.4024024024024</v>
      </c>
      <c r="F63" s="2702">
        <f t="shared" si="80"/>
        <v>104</v>
      </c>
      <c r="G63" s="3474">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2582</v>
      </c>
      <c r="B64" s="2720">
        <v>111</v>
      </c>
      <c r="C64" s="2720">
        <v>114</v>
      </c>
      <c r="D64" s="2720">
        <f t="shared" si="45"/>
        <v>114</v>
      </c>
      <c r="E64" s="2720">
        <v>108</v>
      </c>
      <c r="F64" s="2721">
        <v>104</v>
      </c>
      <c r="G64" s="3472">
        <v>2003</v>
      </c>
      <c r="H64" s="2710">
        <v>4</v>
      </c>
      <c r="I64" s="2722"/>
      <c r="J64" s="2722"/>
      <c r="K64" s="2722"/>
      <c r="L64" s="2722"/>
      <c r="N64" s="2723"/>
      <c r="O64" s="2722"/>
      <c r="P64" s="2722"/>
      <c r="Q64" s="2722"/>
      <c r="S64" s="2723"/>
      <c r="T64" s="2722"/>
      <c r="U64" s="2722"/>
      <c r="V64" s="2722"/>
      <c r="X64" s="2714"/>
      <c r="Y64" s="2714"/>
      <c r="Z64" s="2714"/>
    </row>
    <row r="65" spans="1:26">
      <c r="A65" s="2655" t="s">
        <v>2583</v>
      </c>
      <c r="B65" s="2724">
        <f t="shared" ref="B65:C67" si="81">B66+(B$64-B$68)/4</f>
        <v>109.75</v>
      </c>
      <c r="C65" s="2724">
        <f t="shared" si="81"/>
        <v>112.25</v>
      </c>
      <c r="D65" s="2724">
        <f t="shared" si="45"/>
        <v>112.25</v>
      </c>
      <c r="E65" s="2724">
        <f t="shared" ref="E65:F67" si="82">E66+(E$64-E$68)/4</f>
        <v>107.25</v>
      </c>
      <c r="F65" s="2724">
        <f t="shared" si="82"/>
        <v>103.5</v>
      </c>
      <c r="G65" s="3473">
        <v>2003</v>
      </c>
      <c r="H65" s="2680">
        <v>3</v>
      </c>
      <c r="I65" s="2722"/>
      <c r="J65" s="2722"/>
      <c r="K65" s="2722"/>
      <c r="L65" s="2722"/>
      <c r="X65" s="2714"/>
      <c r="Y65" s="2714"/>
      <c r="Z65" s="2714"/>
    </row>
    <row r="66" spans="1:26">
      <c r="A66" s="2655" t="s">
        <v>2584</v>
      </c>
      <c r="B66" s="2724">
        <f t="shared" si="81"/>
        <v>108.5</v>
      </c>
      <c r="C66" s="2724">
        <f t="shared" si="81"/>
        <v>110.5</v>
      </c>
      <c r="D66" s="2724">
        <f t="shared" si="45"/>
        <v>110.5</v>
      </c>
      <c r="E66" s="2724">
        <f t="shared" si="82"/>
        <v>106.5</v>
      </c>
      <c r="F66" s="2724">
        <f t="shared" si="82"/>
        <v>103</v>
      </c>
      <c r="G66" s="3473">
        <v>2003</v>
      </c>
      <c r="H66" s="2660">
        <v>2</v>
      </c>
      <c r="I66" s="2722"/>
      <c r="J66" s="2722"/>
      <c r="K66" s="2722"/>
      <c r="L66" s="2722"/>
      <c r="X66" s="2714"/>
      <c r="Y66" s="2714"/>
      <c r="Z66" s="2714"/>
    </row>
    <row r="67" spans="1:26" ht="13" thickBot="1">
      <c r="A67" s="2655" t="s">
        <v>2585</v>
      </c>
      <c r="B67" s="2724">
        <f t="shared" si="81"/>
        <v>107.25</v>
      </c>
      <c r="C67" s="2724">
        <f t="shared" si="81"/>
        <v>108.75</v>
      </c>
      <c r="D67" s="2724">
        <f t="shared" si="45"/>
        <v>108.75</v>
      </c>
      <c r="E67" s="2724">
        <f t="shared" si="82"/>
        <v>105.75</v>
      </c>
      <c r="F67" s="2724">
        <f t="shared" si="82"/>
        <v>102.5</v>
      </c>
      <c r="G67" s="3474">
        <v>2003</v>
      </c>
      <c r="H67" s="2725">
        <v>1</v>
      </c>
      <c r="I67" s="2722"/>
      <c r="J67" s="2722"/>
      <c r="K67" s="2722"/>
      <c r="L67" s="2722"/>
      <c r="S67" s="2664"/>
      <c r="T67" s="2665"/>
      <c r="U67" s="2665"/>
      <c r="X67" s="2714"/>
      <c r="Y67" s="2714"/>
      <c r="Z67" s="2714"/>
    </row>
    <row r="68" spans="1:26" ht="13.5" thickBot="1">
      <c r="A68" s="2655" t="s">
        <v>2586</v>
      </c>
      <c r="B68" s="2726">
        <v>106</v>
      </c>
      <c r="C68" s="2726">
        <v>107</v>
      </c>
      <c r="D68" s="2726">
        <f t="shared" si="45"/>
        <v>107</v>
      </c>
      <c r="E68" s="2726">
        <v>105</v>
      </c>
      <c r="F68" s="2727">
        <v>102</v>
      </c>
      <c r="G68" s="3472">
        <v>2002</v>
      </c>
      <c r="H68" s="2675">
        <v>4</v>
      </c>
      <c r="I68" s="2722"/>
      <c r="J68" s="2722"/>
      <c r="K68" s="2722"/>
      <c r="L68" s="2722"/>
      <c r="N68" s="2723"/>
      <c r="O68" s="2722"/>
      <c r="P68" s="2722"/>
      <c r="Q68" s="2722"/>
      <c r="S68" s="2723"/>
      <c r="T68" s="2722"/>
      <c r="U68" s="2722"/>
      <c r="V68" s="2722"/>
      <c r="X68" s="2714"/>
      <c r="Y68" s="2714"/>
      <c r="Z68" s="2714"/>
    </row>
    <row r="69" spans="1:26">
      <c r="A69" s="2655" t="s">
        <v>2587</v>
      </c>
      <c r="B69" s="2724">
        <f t="shared" ref="B69:C71" si="83">B70+(B$68-B$72)/4</f>
        <v>105</v>
      </c>
      <c r="C69" s="2724">
        <f t="shared" si="83"/>
        <v>106</v>
      </c>
      <c r="D69" s="2724">
        <f t="shared" si="45"/>
        <v>106</v>
      </c>
      <c r="E69" s="2724">
        <f t="shared" ref="E69:F71" si="84">E70+(E$68-E$72)/4</f>
        <v>104.5</v>
      </c>
      <c r="F69" s="2724">
        <f t="shared" si="84"/>
        <v>101.5</v>
      </c>
      <c r="G69" s="3473">
        <v>2002</v>
      </c>
      <c r="H69" s="2680">
        <v>3</v>
      </c>
      <c r="I69" s="2722"/>
      <c r="J69" s="2722"/>
      <c r="K69" s="2722"/>
      <c r="L69" s="2722"/>
      <c r="X69" s="2714"/>
      <c r="Y69" s="2714"/>
      <c r="Z69" s="2714"/>
    </row>
    <row r="70" spans="1:26">
      <c r="A70" s="2655" t="s">
        <v>2588</v>
      </c>
      <c r="B70" s="2724">
        <f t="shared" si="83"/>
        <v>104</v>
      </c>
      <c r="C70" s="2724">
        <f t="shared" si="83"/>
        <v>105</v>
      </c>
      <c r="D70" s="2724">
        <f t="shared" si="45"/>
        <v>105</v>
      </c>
      <c r="E70" s="2724">
        <f t="shared" si="84"/>
        <v>104</v>
      </c>
      <c r="F70" s="2724">
        <f t="shared" si="84"/>
        <v>101</v>
      </c>
      <c r="G70" s="3473">
        <v>2002</v>
      </c>
      <c r="H70" s="2660">
        <v>2</v>
      </c>
      <c r="I70" s="2722"/>
      <c r="J70" s="2722"/>
      <c r="K70" s="2722"/>
      <c r="L70" s="2722"/>
      <c r="X70" s="2714"/>
      <c r="Y70" s="2714"/>
      <c r="Z70" s="2714"/>
    </row>
    <row r="71" spans="1:26" s="2691" customFormat="1" ht="13" thickBot="1">
      <c r="A71" s="2687" t="s">
        <v>2589</v>
      </c>
      <c r="B71" s="2728">
        <f t="shared" si="83"/>
        <v>103</v>
      </c>
      <c r="C71" s="2728">
        <f t="shared" si="83"/>
        <v>104</v>
      </c>
      <c r="D71" s="2728">
        <f t="shared" si="45"/>
        <v>104</v>
      </c>
      <c r="E71" s="2728">
        <f t="shared" si="84"/>
        <v>103.5</v>
      </c>
      <c r="F71" s="2728">
        <f t="shared" si="84"/>
        <v>100.5</v>
      </c>
      <c r="G71" s="3474">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ht="13">
      <c r="A74" s="2736" t="s">
        <v>2590</v>
      </c>
      <c r="G74" s="2738"/>
      <c r="N74" s="2738"/>
      <c r="S74" s="2738"/>
    </row>
    <row r="75" spans="1:26" s="2737" customFormat="1" ht="13">
      <c r="A75" s="2737" t="s">
        <v>2591</v>
      </c>
      <c r="G75" s="2738"/>
      <c r="N75" s="2738"/>
      <c r="S75" s="2738"/>
    </row>
    <row r="76" spans="1:26" s="2737" customFormat="1" ht="13">
      <c r="A76" s="2737" t="s">
        <v>2592</v>
      </c>
      <c r="G76" s="2738"/>
      <c r="I76" s="2739"/>
      <c r="J76" s="2739"/>
      <c r="K76" s="2739"/>
      <c r="L76" s="2739"/>
      <c r="N76" s="2740"/>
      <c r="O76" s="2739"/>
      <c r="P76" s="2739"/>
      <c r="Q76" s="2739"/>
      <c r="S76" s="2740"/>
      <c r="T76" s="2739"/>
      <c r="U76" s="2739"/>
      <c r="V76" s="2739"/>
    </row>
    <row r="77" spans="1:26" s="2737" customFormat="1" ht="13">
      <c r="A77" s="2737" t="s">
        <v>2593</v>
      </c>
      <c r="G77" s="2738"/>
      <c r="N77" s="2738"/>
      <c r="S77" s="2738"/>
    </row>
    <row r="84" spans="7:22" ht="13" thickBot="1"/>
    <row r="85" spans="7:22" ht="13">
      <c r="G85" s="2663"/>
      <c r="S85" s="2741" t="s">
        <v>2594</v>
      </c>
      <c r="T85" s="2742" t="s">
        <v>2595</v>
      </c>
      <c r="U85" s="2742" t="s">
        <v>2596</v>
      </c>
      <c r="V85" s="2742" t="s">
        <v>2597</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78" customWidth="1"/>
    <col min="2" max="2" width="9" style="1778"/>
    <col min="3" max="4" width="9.6328125" style="1778" customWidth="1"/>
    <col min="5" max="16384" width="9" style="1778"/>
  </cols>
  <sheetData>
    <row r="1" spans="1:4" ht="23">
      <c r="A1" s="1777" t="s">
        <v>1866</v>
      </c>
    </row>
    <row r="2" spans="1:4">
      <c r="A2" s="1779"/>
    </row>
    <row r="3" spans="1:4" ht="17.5">
      <c r="A3" s="1797" t="str">
        <f>项目基本情况!B5&amp;"："</f>
        <v>：</v>
      </c>
    </row>
    <row r="4" spans="1:4" ht="3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5">
      <c r="A5" s="1794" t="s">
        <v>1867</v>
      </c>
    </row>
    <row r="6" spans="1:4" ht="70">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7" spans="1:4" ht="52.5">
      <c r="A7" s="1795" t="s">
        <v>2706</v>
      </c>
    </row>
    <row r="8" spans="1:4" ht="17.5">
      <c r="A8" s="1794" t="s">
        <v>1868</v>
      </c>
    </row>
    <row r="9" spans="1:4" ht="70">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5">
      <c r="A10" s="1797" t="s">
        <v>1988</v>
      </c>
    </row>
    <row r="11" spans="1:4" ht="17.5">
      <c r="A11" s="1780" t="str">
        <f>TEXT(项目基本情况!D3,"yyyy年m月d日;;")&amp;IF(项目基本情况!B3=项目基本情况!D3,"（评估专业人员勘察现场之日）","")</f>
        <v>2020年3月9日（评估专业人员勘察现场之日）</v>
      </c>
    </row>
    <row r="12" spans="1:4" ht="17.5">
      <c r="A12" s="1797" t="s">
        <v>1987</v>
      </c>
    </row>
    <row r="13" spans="1:4" ht="17.5">
      <c r="A13" s="1791" t="s">
        <v>2890</v>
      </c>
    </row>
    <row r="14" spans="1:4" ht="17.5">
      <c r="A14" s="1791" t="str">
        <f>"根据"&amp;项目基本情况!F12&amp;"，本次评估估价对象证载（地类）用途为"&amp;项目基本情况!B12&amp;"。"</f>
        <v>根据，本次评估估价对象证载（地类）用途为。</v>
      </c>
      <c r="C14" s="1781"/>
      <c r="D14" s="1782"/>
    </row>
    <row r="15" spans="1:4" ht="1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5">
      <c r="A16" s="1791" t="s">
        <v>2034</v>
      </c>
    </row>
    <row r="17" spans="1:1" ht="5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791" t="s">
        <v>2035</v>
      </c>
    </row>
    <row r="20" spans="1:1" ht="5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根据《建设用地规划许可证》，估价对象（分摊）出让国有建设用地使用权面积为10423.25平方米。根据《建设用地规划许可证》，估价对象规划建筑面积为124364.83平方米。</v>
      </c>
    </row>
    <row r="21" spans="1:1" ht="17.5">
      <c r="A21" s="1791" t="s">
        <v>2036</v>
      </c>
    </row>
    <row r="22" spans="1:1" ht="5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本次估价对象为出让国有建设用地使用权，证载土地终止日期为商业2059年6月4日、办公2059年6月4日、地下车库2059年6月4日。截至估价期日，出让国有建设用地使用权剩余土地使用年限为。</v>
      </c>
    </row>
    <row r="23" spans="1:1" ht="17.5">
      <c r="A23" s="1791" t="str">
        <f>IF(项目基本情况!B16="出让","本次评估设定估价对象剩余土地使用年限为"&amp;项目基本情况!D20&amp;"。","")</f>
        <v>本次评估设定估价对象剩余土地使用年限为。</v>
      </c>
    </row>
    <row r="24" spans="1:1" ht="17.5">
      <c r="A24" s="1791" t="s">
        <v>2037</v>
      </c>
    </row>
    <row r="25" spans="1:1" ht="87.5">
      <c r="A25" s="1791"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26" spans="1:1" ht="3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91" t="str">
        <f>IF(项目基本情况!B9="市场价格","——",IF(项目基本情况!E9="——","",定义!C57))</f>
        <v/>
      </c>
    </row>
    <row r="29" spans="1:1" ht="17.5">
      <c r="A29" s="1797" t="s">
        <v>1989</v>
      </c>
    </row>
    <row r="30" spans="1:1" ht="70">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5">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70" zoomScaleNormal="70" workbookViewId="0">
      <selection activeCell="C43" sqref="C43"/>
    </sheetView>
  </sheetViews>
  <sheetFormatPr defaultColWidth="9" defaultRowHeight="15.5"/>
  <cols>
    <col min="1" max="1" width="9" style="2060"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4.906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5.90625" style="2059" customWidth="1"/>
    <col min="16" max="16" width="27.6328125" style="2059" customWidth="1"/>
    <col min="17" max="17" width="13.81640625" style="2097" customWidth="1"/>
    <col min="18" max="18" width="23.453125" style="2059" customWidth="1"/>
    <col min="19" max="19" width="1.453125" style="2059" customWidth="1"/>
    <col min="20" max="33" width="9" style="2059"/>
    <col min="34" max="16384" width="9" style="2060"/>
  </cols>
  <sheetData>
    <row r="1" spans="1:33" s="2054" customFormat="1" ht="21">
      <c r="A1" s="832" t="s">
        <v>1687</v>
      </c>
      <c r="B1" s="738"/>
      <c r="C1" s="773" t="s">
        <v>2959</v>
      </c>
      <c r="D1" s="3123" t="s">
        <v>3104</v>
      </c>
      <c r="E1" s="2387" t="s">
        <v>2335</v>
      </c>
      <c r="F1" s="2388">
        <f ca="1">J53</f>
        <v>37.26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334485</v>
      </c>
      <c r="C2" s="2057"/>
      <c r="D2" s="2055"/>
      <c r="E2" s="2056"/>
      <c r="F2" s="2056"/>
      <c r="G2" s="1589"/>
      <c r="H2" s="2057"/>
      <c r="I2" s="2057"/>
      <c r="J2" s="2057"/>
      <c r="K2" s="2058"/>
      <c r="L2" s="2057"/>
      <c r="M2" s="2057"/>
    </row>
    <row r="3" spans="1:33" ht="18" customHeight="1" thickBot="1">
      <c r="A3" s="833" t="s">
        <v>1689</v>
      </c>
      <c r="B3" s="834">
        <f ca="1">IF(ISERROR(B2*10000/F43),0,ROUND(B2*10000/F43,0))</f>
        <v>94407</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2417</v>
      </c>
      <c r="C5" s="55">
        <f ca="1">C6+C10+C12</f>
        <v>21209</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21183</v>
      </c>
      <c r="D6" s="2497" t="s">
        <v>2421</v>
      </c>
      <c r="E6" s="784" t="s">
        <v>1700</v>
      </c>
      <c r="F6" s="785">
        <f ca="1">INDIRECT("'数据-取费表'!u"&amp;$G$1)</f>
        <v>18.2</v>
      </c>
      <c r="G6" s="1591"/>
      <c r="H6" s="2504" t="s">
        <v>2427</v>
      </c>
      <c r="I6" s="3463" t="s">
        <v>2422</v>
      </c>
      <c r="J6" s="783">
        <f ca="1">ROUND(M6*M8*M7*(1-M9)/10000,0)</f>
        <v>0</v>
      </c>
      <c r="K6" s="341" t="s">
        <v>1699</v>
      </c>
      <c r="L6" s="784" t="s">
        <v>1700</v>
      </c>
      <c r="M6" s="785">
        <f ca="1">INDIRECT("'数据-取费表'!z"&amp;$G$1)</f>
        <v>0</v>
      </c>
    </row>
    <row r="7" spans="1:33" ht="18" customHeight="1">
      <c r="A7" s="2500"/>
      <c r="B7" s="3464"/>
      <c r="C7" s="788"/>
      <c r="D7" s="789"/>
      <c r="E7" s="784" t="s">
        <v>1701</v>
      </c>
      <c r="F7" s="785">
        <f ca="1">IF(INDIRECT("'数据-取费表'!ah"&amp;$G$1)="",INDIRECT("'数据-取费表'!k"&amp;$G$1),INDIRECT("'数据-取费表'!ah"&amp;$G$1))</f>
        <v>35430</v>
      </c>
      <c r="G7" s="1591"/>
      <c r="H7" s="2489"/>
      <c r="I7" s="3464"/>
      <c r="J7" s="788"/>
      <c r="K7" s="789"/>
      <c r="L7" s="784" t="s">
        <v>1701</v>
      </c>
      <c r="M7" s="785">
        <f ca="1">F7</f>
        <v>35430</v>
      </c>
    </row>
    <row r="8" spans="1:33" ht="18" customHeight="1">
      <c r="A8" s="2493"/>
      <c r="B8" s="3465"/>
      <c r="C8" s="788"/>
      <c r="D8" s="789"/>
      <c r="E8" s="784" t="s">
        <v>1702</v>
      </c>
      <c r="F8" s="785">
        <f ca="1">INDIRECT("'数据-取费表'!ai"&amp;$G$1)</f>
        <v>365</v>
      </c>
      <c r="G8" s="1591"/>
      <c r="H8" s="2489"/>
      <c r="I8" s="3465"/>
      <c r="J8" s="788"/>
      <c r="K8" s="789"/>
      <c r="L8" s="784" t="s">
        <v>1702</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2425</v>
      </c>
      <c r="B10" s="2494" t="s">
        <v>2418</v>
      </c>
      <c r="C10" s="799">
        <f ca="1">ROUND(IF(F10="押一",C6/12*F11,IF(F10="押二",C6/12*2*F11,IF(F10="押三",C6/12*3*F11,C11*F11))),0)</f>
        <v>26</v>
      </c>
      <c r="D10" s="2501" t="s">
        <v>2921</v>
      </c>
      <c r="E10" s="2498" t="s">
        <v>2423</v>
      </c>
      <c r="F10" s="2621" t="s">
        <v>3101</v>
      </c>
      <c r="G10" s="1591"/>
      <c r="H10" s="2561" t="s">
        <v>2428</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2424</v>
      </c>
      <c r="F11" s="796">
        <f ca="1">'数据-取费表'!B39</f>
        <v>1.4999999999999999E-2</v>
      </c>
      <c r="G11" s="1591"/>
      <c r="H11" s="2562"/>
      <c r="I11" s="2495" t="s">
        <v>2532</v>
      </c>
      <c r="J11" s="2499"/>
      <c r="K11" s="2563"/>
      <c r="L11" s="2498" t="s">
        <v>2424</v>
      </c>
      <c r="M11" s="2492">
        <f ca="1">'数据-取费表'!B39</f>
        <v>1.4999999999999999E-2</v>
      </c>
    </row>
    <row r="12" spans="1:33" ht="18" customHeight="1" thickBot="1">
      <c r="A12" s="2537" t="s">
        <v>2426</v>
      </c>
      <c r="B12" s="2538" t="s">
        <v>2419</v>
      </c>
      <c r="C12" s="2539"/>
      <c r="D12" s="2540"/>
      <c r="E12" s="2541"/>
      <c r="F12" s="2542"/>
      <c r="G12" s="1591"/>
      <c r="H12" s="2551" t="s">
        <v>2429</v>
      </c>
      <c r="I12" s="2564" t="s">
        <v>2419</v>
      </c>
      <c r="J12" s="2565"/>
      <c r="K12" s="2540"/>
      <c r="L12" s="2541"/>
      <c r="M12" s="2554"/>
    </row>
    <row r="13" spans="1:33" ht="18" customHeight="1" thickTop="1">
      <c r="A13" s="1829">
        <v>2</v>
      </c>
      <c r="B13" s="1827" t="s">
        <v>1704</v>
      </c>
      <c r="C13" s="792">
        <f ca="1">ROUND(C29*F13,0)</f>
        <v>22363</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13885</v>
      </c>
      <c r="D14" s="1979" t="s">
        <v>1707</v>
      </c>
      <c r="E14" s="1980"/>
      <c r="F14" s="805"/>
      <c r="G14" s="1591"/>
      <c r="H14" s="1648" t="s">
        <v>1792</v>
      </c>
      <c r="I14" s="2231" t="s">
        <v>2785</v>
      </c>
      <c r="J14" s="53">
        <f ca="1">C29</f>
        <v>22363</v>
      </c>
      <c r="K14" s="26"/>
      <c r="L14" s="801"/>
      <c r="M14" s="802"/>
    </row>
    <row r="15" spans="1:33" s="2064" customFormat="1" ht="18" customHeight="1" thickBot="1">
      <c r="A15" s="1647" t="s">
        <v>1847</v>
      </c>
      <c r="B15" s="784" t="s">
        <v>612</v>
      </c>
      <c r="C15" s="53">
        <f ca="1">ROUND(C14*F15,0)</f>
        <v>694</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2330</v>
      </c>
      <c r="K16" s="1821" t="s">
        <v>1712</v>
      </c>
      <c r="L16" s="2486"/>
      <c r="M16" s="2491"/>
    </row>
    <row r="17" spans="1:33" s="2064" customFormat="1" ht="18" customHeight="1">
      <c r="A17" s="1647" t="s">
        <v>1849</v>
      </c>
      <c r="B17" s="784" t="s">
        <v>618</v>
      </c>
      <c r="C17" s="53">
        <f ca="1">ROUND(F17*(F43+INDIRECT("'数据-取费表'!S"&amp;$G$1))/10000,0)</f>
        <v>771</v>
      </c>
      <c r="D17" s="784" t="s">
        <v>1713</v>
      </c>
      <c r="E17" s="784" t="s">
        <v>1714</v>
      </c>
      <c r="F17" s="56">
        <f>'数据-取费表'!B35</f>
        <v>200</v>
      </c>
      <c r="G17" s="1592"/>
      <c r="H17" s="1648" t="s">
        <v>1792</v>
      </c>
      <c r="I17" s="784" t="s">
        <v>621</v>
      </c>
      <c r="J17" s="53">
        <f ca="1">ROUND(IF(项目基本情况!B11="自然人",J5*M17,J18+J19+J20),0)</f>
        <v>1883</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208</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15558</v>
      </c>
      <c r="D19" s="261" t="s">
        <v>1719</v>
      </c>
      <c r="E19" s="1982"/>
      <c r="F19" s="56"/>
      <c r="G19" s="1591"/>
      <c r="H19" s="1647" t="s">
        <v>1847</v>
      </c>
      <c r="I19" s="784" t="s">
        <v>1720</v>
      </c>
      <c r="J19" s="53">
        <f ca="1">IF(K19="按租金收入计税",ROUND(J5*M19,1),ROUND(C29*F33*0.7,1))</f>
        <v>1878.5</v>
      </c>
      <c r="K19" s="811" t="s">
        <v>630</v>
      </c>
      <c r="L19" s="784" t="s">
        <v>1709</v>
      </c>
      <c r="M19" s="809">
        <f>IF(K19="按租金收入计税",'数据-取费表'!B51,'数据-取费表'!B50)</f>
        <v>1.2E-2</v>
      </c>
    </row>
    <row r="20" spans="1:33" s="2064" customFormat="1" ht="18" customHeight="1">
      <c r="A20" s="1648" t="s">
        <v>1851</v>
      </c>
      <c r="B20" s="784" t="s">
        <v>631</v>
      </c>
      <c r="C20" s="53">
        <f ca="1">ROUND(C19*F20,0)</f>
        <v>311</v>
      </c>
      <c r="D20" s="812" t="s">
        <v>1721</v>
      </c>
      <c r="E20" s="784" t="s">
        <v>1709</v>
      </c>
      <c r="F20" s="809">
        <f>'数据-取费表'!B37</f>
        <v>0.02</v>
      </c>
      <c r="G20" s="1592"/>
      <c r="H20" s="1650" t="s">
        <v>1842</v>
      </c>
      <c r="I20" s="341" t="s">
        <v>1722</v>
      </c>
      <c r="J20" s="54">
        <f ca="1">ROUND(M20*M21/10000,0)</f>
        <v>4</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3232.47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447</v>
      </c>
      <c r="K22" s="2484" t="s">
        <v>1731</v>
      </c>
      <c r="L22" s="784" t="s">
        <v>1709</v>
      </c>
      <c r="M22" s="817">
        <f ca="1">INDIRECT("'数据-取费表'!Ak"&amp;$G$1)</f>
        <v>0.02</v>
      </c>
    </row>
    <row r="23" spans="1:33" s="2064" customFormat="1" ht="18" customHeight="1">
      <c r="A23" s="1647" t="s">
        <v>1793</v>
      </c>
      <c r="B23" s="784" t="s">
        <v>2494</v>
      </c>
      <c r="C23" s="53">
        <f ca="1">ROUND(IF('数据-取费表'!B22&lt;=1,(C19+C20)*F24*F23/2,(C19+C20)*(POWER((1+F24),F23/2)-1)),0)</f>
        <v>754</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0.03</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2781</v>
      </c>
      <c r="J25" s="792">
        <f ca="1">J5-J16</f>
        <v>-2330</v>
      </c>
      <c r="K25" s="2548" t="s">
        <v>1739</v>
      </c>
      <c r="L25" s="2549"/>
      <c r="M25" s="2550"/>
    </row>
    <row r="26" spans="1:33" ht="18" customHeight="1">
      <c r="A26" s="1647" t="s">
        <v>1793</v>
      </c>
      <c r="B26" s="784" t="s">
        <v>2399</v>
      </c>
      <c r="C26" s="53">
        <f ca="1">ROUND((C19+C20)*F26,0)</f>
        <v>3967</v>
      </c>
      <c r="D26" s="812" t="s">
        <v>1740</v>
      </c>
      <c r="E26" s="795" t="s">
        <v>1741</v>
      </c>
      <c r="F26" s="794">
        <f ca="1">INDIRECT("'数据-取费表'!q"&amp;$G$1)</f>
        <v>0.25</v>
      </c>
      <c r="G26" s="1591"/>
      <c r="H26" s="2502" t="s">
        <v>1742</v>
      </c>
      <c r="I26" s="2232" t="s">
        <v>2786</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22363</v>
      </c>
      <c r="D29" s="2545"/>
      <c r="E29" s="2546"/>
      <c r="F29" s="2547"/>
      <c r="G29" s="1592"/>
      <c r="H29" s="823" t="s">
        <v>1749</v>
      </c>
      <c r="I29" s="824" t="s">
        <v>1750</v>
      </c>
      <c r="J29" s="825">
        <f ca="1">ROUND(J26/(1+F40)^F41,0)</f>
        <v>0</v>
      </c>
      <c r="K29" s="826" t="s">
        <v>1751</v>
      </c>
      <c r="L29" s="827"/>
      <c r="M29" s="828">
        <f ca="1">INDIRECT("'数据-取费表'!k"&amp;$G$1)</f>
        <v>35430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4808</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3680.1</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1131.0999999999999</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2545.1</v>
      </c>
      <c r="D33" s="811" t="s">
        <v>3102</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3.9</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3232.47</v>
      </c>
      <c r="G35" s="2062"/>
      <c r="H35" s="2065"/>
      <c r="I35" s="837" t="s">
        <v>1776</v>
      </c>
      <c r="J35" s="838">
        <f ca="1">ROUND(C13*J36,0)</f>
        <v>1901</v>
      </c>
      <c r="K35" s="2078"/>
      <c r="L35" s="2077"/>
      <c r="M35" s="2077"/>
    </row>
    <row r="36" spans="1:18" ht="18" customHeight="1">
      <c r="A36" s="1648" t="s">
        <v>1851</v>
      </c>
      <c r="B36" s="784" t="s">
        <v>1764</v>
      </c>
      <c r="C36" s="53">
        <f ca="1">ROUND(C29*F36,1)</f>
        <v>447.3</v>
      </c>
      <c r="D36" s="1977" t="s">
        <v>1765</v>
      </c>
      <c r="E36" s="784" t="s">
        <v>1758</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44.7</v>
      </c>
      <c r="D37" s="1977" t="s">
        <v>1766</v>
      </c>
      <c r="E37" s="784" t="s">
        <v>1758</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636.29999999999995</v>
      </c>
      <c r="D38" s="2545" t="s">
        <v>1767</v>
      </c>
      <c r="E38" s="2546" t="s">
        <v>1758</v>
      </c>
      <c r="F38" s="2542">
        <f ca="1">INDIRECT("'数据-取费表'!Am"&amp;$G$1)</f>
        <v>0.03</v>
      </c>
      <c r="G38" s="2062"/>
      <c r="H38" s="2077"/>
      <c r="I38" s="843" t="s">
        <v>1779</v>
      </c>
      <c r="J38" s="844"/>
      <c r="K38" s="2083"/>
      <c r="L38" s="2077"/>
      <c r="M38" s="2077"/>
    </row>
    <row r="39" spans="1:18" ht="24.65" customHeight="1" thickTop="1">
      <c r="A39" s="1829" t="s">
        <v>1856</v>
      </c>
      <c r="B39" s="3010" t="s">
        <v>2781</v>
      </c>
      <c r="C39" s="792">
        <f ca="1">C5-C30</f>
        <v>16401</v>
      </c>
      <c r="D39" s="2548" t="s">
        <v>1768</v>
      </c>
      <c r="E39" s="2549"/>
      <c r="F39" s="2550"/>
      <c r="G39" s="2062"/>
      <c r="H39" s="2077"/>
      <c r="I39" s="837" t="s">
        <v>1780</v>
      </c>
      <c r="J39" s="845">
        <f ca="1">ROUND(J35/C39,3)</f>
        <v>0.11600000000000001</v>
      </c>
      <c r="K39" s="2083"/>
      <c r="L39" s="2077"/>
      <c r="M39" s="2077"/>
    </row>
    <row r="40" spans="1:18" ht="18" customHeight="1">
      <c r="A40" s="781" t="s">
        <v>1857</v>
      </c>
      <c r="B40" s="2232" t="s">
        <v>2263</v>
      </c>
      <c r="C40" s="783">
        <f ca="1">ROUND(C39*(1-((1+F42)/(1+F40))^F41)/(F40-F42),0)</f>
        <v>334485</v>
      </c>
      <c r="D40" s="814" t="s">
        <v>1769</v>
      </c>
      <c r="E40" s="784" t="s">
        <v>2380</v>
      </c>
      <c r="F40" s="794">
        <f ca="1">INDIRECT("'数据-取费表'!I"&amp;$G$1)</f>
        <v>0.06</v>
      </c>
      <c r="G40" s="2062"/>
      <c r="H40" s="2062"/>
      <c r="I40" s="837" t="s">
        <v>1781</v>
      </c>
      <c r="J40" s="845">
        <f ca="1">1-J39</f>
        <v>0.88400000000000001</v>
      </c>
      <c r="K40" s="2083"/>
      <c r="L40" s="2062"/>
      <c r="M40" s="2062"/>
    </row>
    <row r="41" spans="1:18" ht="18" customHeight="1">
      <c r="A41" s="786"/>
      <c r="B41" s="787"/>
      <c r="C41" s="788"/>
      <c r="D41" s="821" t="s">
        <v>1770</v>
      </c>
      <c r="E41" s="784" t="s">
        <v>2911</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6.7000000000000004E-2</v>
      </c>
      <c r="K42" s="2082"/>
      <c r="L42" s="1988"/>
      <c r="M42" s="1988"/>
    </row>
    <row r="43" spans="1:18" ht="18" customHeight="1" thickBot="1">
      <c r="A43" s="823" t="s">
        <v>1749</v>
      </c>
      <c r="B43" s="824" t="s">
        <v>1772</v>
      </c>
      <c r="C43" s="825">
        <f ca="1">ROUND(C40*10000/F43,0)</f>
        <v>94407</v>
      </c>
      <c r="D43" s="826" t="s">
        <v>1773</v>
      </c>
      <c r="E43" s="827" t="s">
        <v>1774</v>
      </c>
      <c r="F43" s="828">
        <f ca="1">INDIRECT("'数据-取费表'!k"&amp;$G$1)</f>
        <v>35430</v>
      </c>
      <c r="G43" s="2062"/>
      <c r="H43" s="1988"/>
      <c r="I43" s="847" t="s">
        <v>1784</v>
      </c>
      <c r="J43" s="848">
        <f ca="1">1-J42</f>
        <v>0.93300000000000005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-341809</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2496</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334485</v>
      </c>
      <c r="R48" s="2399" t="s">
        <v>2341</v>
      </c>
    </row>
    <row r="49" spans="1:18" s="2059" customFormat="1" ht="18" customHeight="1" thickBot="1">
      <c r="A49" s="786"/>
      <c r="B49" s="787"/>
      <c r="C49" s="788"/>
      <c r="D49" s="789"/>
      <c r="E49" s="784" t="s">
        <v>1701</v>
      </c>
      <c r="F49" s="785">
        <f ca="1">F7</f>
        <v>35430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4" t="s">
        <v>2308</v>
      </c>
      <c r="J50" s="3152">
        <f>SUMPRODUCT((I63:I65=J47)*(J62:L62=J48)*(J63:L65))</f>
        <v>60</v>
      </c>
      <c r="K50" s="3157" t="s">
        <v>2314</v>
      </c>
      <c r="L50" s="2384"/>
      <c r="O50" s="2401" t="s">
        <v>2344</v>
      </c>
      <c r="P50" s="2399" t="s">
        <v>2368</v>
      </c>
      <c r="Q50" s="2400">
        <f ca="1">C29</f>
        <v>22363</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264991</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2922</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334485</v>
      </c>
      <c r="R54" s="2403" t="s">
        <v>2353</v>
      </c>
    </row>
    <row r="55" spans="1:18" s="2059" customFormat="1" ht="18" customHeight="1" thickTop="1" thickBot="1">
      <c r="A55" s="797">
        <v>2</v>
      </c>
      <c r="B55" s="798" t="s">
        <v>609</v>
      </c>
      <c r="C55" s="799">
        <f ca="1">C13</f>
        <v>22363</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2264</v>
      </c>
      <c r="C56" s="53">
        <f ca="1">C29</f>
        <v>22363</v>
      </c>
      <c r="D56" s="263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496</v>
      </c>
      <c r="D57" s="26" t="s">
        <v>1712</v>
      </c>
      <c r="E57" s="2640"/>
      <c r="F57" s="56"/>
      <c r="I57" s="3166" t="s">
        <v>2319</v>
      </c>
      <c r="J57" s="3167" t="str">
        <f ca="1">IF(OR(M47="住宅",J51&lt;L48,J56="是"),"——",J51-L48)</f>
        <v>——</v>
      </c>
      <c r="K57" s="3124" t="s">
        <v>2324</v>
      </c>
      <c r="L57" s="1908" t="str">
        <f ca="1">IF(L48&lt;J51,"——",IF(L55="比较法",L49,IF(L55="基准地价",L50,L51)))</f>
        <v>——</v>
      </c>
      <c r="O57" s="2398" t="s">
        <v>2340</v>
      </c>
      <c r="P57" s="2399" t="s">
        <v>2370</v>
      </c>
      <c r="Q57" s="2400">
        <f ca="1">C40+J29</f>
        <v>334485</v>
      </c>
      <c r="R57" s="2399" t="s">
        <v>2341</v>
      </c>
    </row>
    <row r="58" spans="1:18" s="2059" customFormat="1" ht="28.5" customHeight="1" thickBot="1">
      <c r="A58" s="1648" t="s">
        <v>1786</v>
      </c>
      <c r="B58" s="784" t="s">
        <v>621</v>
      </c>
      <c r="C58" s="53">
        <f ca="1">ROUND(IF(项目基本情况!B11="自然人",C47*F58,C59+C60+C61),1)</f>
        <v>3.9</v>
      </c>
      <c r="D58" s="2638" t="s">
        <v>622</v>
      </c>
      <c r="E58" s="263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3.9</v>
      </c>
      <c r="D61" s="814" t="s">
        <v>634</v>
      </c>
      <c r="E61" s="784" t="s">
        <v>635</v>
      </c>
      <c r="F61" s="640">
        <f t="shared" si="0"/>
        <v>12</v>
      </c>
      <c r="K61" s="2086"/>
      <c r="O61" s="2401" t="s">
        <v>2347</v>
      </c>
      <c r="P61" s="2399" t="s">
        <v>2355</v>
      </c>
      <c r="Q61" s="2400" t="e">
        <f ca="1">L58</f>
        <v>#DIV/0!</v>
      </c>
      <c r="R61" s="2403" t="s">
        <v>2356</v>
      </c>
    </row>
    <row r="62" spans="1:18" s="2059" customFormat="1" ht="16" thickBot="1">
      <c r="A62" s="815"/>
      <c r="B62" s="793"/>
      <c r="C62" s="69"/>
      <c r="D62" s="816"/>
      <c r="E62" s="784" t="s">
        <v>639</v>
      </c>
      <c r="F62" s="785">
        <f t="shared" ca="1" si="0"/>
        <v>3232.47</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6" thickBot="1">
      <c r="A63" s="1648" t="s">
        <v>1851</v>
      </c>
      <c r="B63" s="784" t="s">
        <v>641</v>
      </c>
      <c r="C63" s="53">
        <f ca="1">ROUND(C56*F63,1)</f>
        <v>447.3</v>
      </c>
      <c r="D63" s="2639" t="s">
        <v>1765</v>
      </c>
      <c r="E63" s="784" t="s">
        <v>1709</v>
      </c>
      <c r="F63" s="817">
        <f t="shared" ca="1" si="0"/>
        <v>0.02</v>
      </c>
      <c r="I63" s="3171" t="s">
        <v>2331</v>
      </c>
      <c r="J63" s="3172">
        <v>70</v>
      </c>
      <c r="K63" s="3172">
        <v>50</v>
      </c>
      <c r="L63" s="3172">
        <v>80</v>
      </c>
      <c r="M63" s="3174">
        <v>0.02</v>
      </c>
      <c r="O63" s="2398" t="s">
        <v>2352</v>
      </c>
      <c r="P63" s="2399" t="s">
        <v>2369</v>
      </c>
      <c r="Q63" s="2400">
        <f ca="1">Q57+Q58</f>
        <v>334485</v>
      </c>
      <c r="R63" s="2403" t="s">
        <v>2353</v>
      </c>
    </row>
    <row r="64" spans="1:18" s="2059" customFormat="1" ht="16" thickBot="1">
      <c r="A64" s="1648" t="s">
        <v>1852</v>
      </c>
      <c r="B64" s="784" t="s">
        <v>644</v>
      </c>
      <c r="C64" s="53">
        <f ca="1">ROUND(C55*F64,1)</f>
        <v>44.7</v>
      </c>
      <c r="D64" s="263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6" thickBot="1">
      <c r="A65" s="1648" t="s">
        <v>1853</v>
      </c>
      <c r="B65" s="784" t="s">
        <v>631</v>
      </c>
      <c r="C65" s="53">
        <f ca="1">ROUND(C47*F65,1)</f>
        <v>0</v>
      </c>
      <c r="D65" s="2639" t="s">
        <v>648</v>
      </c>
      <c r="E65" s="784" t="s">
        <v>1709</v>
      </c>
      <c r="F65" s="794">
        <f t="shared" ca="1" si="0"/>
        <v>0.03</v>
      </c>
      <c r="I65" s="3171" t="s">
        <v>2333</v>
      </c>
      <c r="J65" s="3172">
        <v>40</v>
      </c>
      <c r="K65" s="3172">
        <v>30</v>
      </c>
      <c r="L65" s="3172">
        <v>50</v>
      </c>
      <c r="M65" s="3174">
        <v>0.02</v>
      </c>
      <c r="O65" s="2395" t="s">
        <v>2336</v>
      </c>
      <c r="P65" s="2396" t="s">
        <v>2337</v>
      </c>
      <c r="Q65" s="2397" t="s">
        <v>2338</v>
      </c>
      <c r="R65" s="2396" t="s">
        <v>2339</v>
      </c>
    </row>
    <row r="66" spans="1:18" s="2059" customFormat="1" ht="26.5" thickBot="1">
      <c r="A66" s="797" t="s">
        <v>1738</v>
      </c>
      <c r="B66" s="3011" t="s">
        <v>2781</v>
      </c>
      <c r="C66" s="799">
        <f ca="1">C47-C57</f>
        <v>-496</v>
      </c>
      <c r="D66" s="2638" t="s">
        <v>665</v>
      </c>
      <c r="E66" s="2637"/>
      <c r="F66" s="820"/>
      <c r="K66" s="2086"/>
      <c r="O66" s="2398" t="s">
        <v>2340</v>
      </c>
      <c r="P66" s="2399" t="s">
        <v>2370</v>
      </c>
      <c r="Q66" s="2400">
        <f ca="1">C40+J29</f>
        <v>334485</v>
      </c>
      <c r="R66" s="2399" t="s">
        <v>2341</v>
      </c>
    </row>
    <row r="67" spans="1:18" s="2059" customFormat="1" ht="17" thickBot="1">
      <c r="A67" s="781" t="s">
        <v>1742</v>
      </c>
      <c r="B67" s="2232" t="s">
        <v>2263</v>
      </c>
      <c r="C67" s="783">
        <f ca="1">ROUND(C66*(1-((1+F69)/(1+F67))^F68)/(F67-F69),0)</f>
        <v>-7324</v>
      </c>
      <c r="D67" s="814" t="s">
        <v>669</v>
      </c>
      <c r="E67" s="784" t="s">
        <v>670</v>
      </c>
      <c r="F67" s="794">
        <f ca="1">F40</f>
        <v>0.06</v>
      </c>
      <c r="K67" s="2086"/>
      <c r="O67" s="2398" t="s">
        <v>2342</v>
      </c>
      <c r="P67" s="2399" t="s">
        <v>2373</v>
      </c>
      <c r="Q67" s="2400">
        <f ca="1">L60</f>
        <v>0</v>
      </c>
      <c r="R67" s="2403" t="s">
        <v>2375</v>
      </c>
    </row>
    <row r="68" spans="1:18" ht="21" thickBot="1">
      <c r="A68" s="786"/>
      <c r="B68" s="787"/>
      <c r="C68" s="788"/>
      <c r="D68" s="821" t="s">
        <v>1770</v>
      </c>
      <c r="E68" s="784" t="s">
        <v>1746</v>
      </c>
      <c r="F68" s="822">
        <f ca="1">F41</f>
        <v>37.26</v>
      </c>
      <c r="O68" s="2401" t="s">
        <v>2344</v>
      </c>
      <c r="P68" s="2399" t="s">
        <v>2374</v>
      </c>
      <c r="Q68" s="2405">
        <f ca="1">L51</f>
        <v>264991</v>
      </c>
      <c r="R68" s="2406" t="s">
        <v>2377</v>
      </c>
    </row>
    <row r="69" spans="1:18" ht="17" thickBot="1">
      <c r="A69" s="790"/>
      <c r="B69" s="791"/>
      <c r="C69" s="792"/>
      <c r="D69" s="816"/>
      <c r="E69" s="784" t="s">
        <v>675</v>
      </c>
      <c r="F69" s="2371"/>
      <c r="O69" s="2401" t="s">
        <v>2345</v>
      </c>
      <c r="P69" s="2407" t="s">
        <v>2359</v>
      </c>
      <c r="Q69" s="2400">
        <f ca="1">ROUND(Q70-Q71*Q72,0)</f>
        <v>14500</v>
      </c>
      <c r="R69" s="2403"/>
    </row>
    <row r="70" spans="1:18" ht="16" thickBot="1">
      <c r="A70" s="823" t="s">
        <v>1749</v>
      </c>
      <c r="B70" s="824" t="s">
        <v>1772</v>
      </c>
      <c r="C70" s="825">
        <f ca="1">ROUND(C67*10000/F70,0)</f>
        <v>-2067</v>
      </c>
      <c r="D70" s="826" t="s">
        <v>1773</v>
      </c>
      <c r="E70" s="827" t="s">
        <v>1774</v>
      </c>
      <c r="F70" s="828">
        <f ca="1">F43</f>
        <v>35430</v>
      </c>
      <c r="O70" s="2401" t="s">
        <v>2360</v>
      </c>
      <c r="P70" s="2407" t="s">
        <v>2361</v>
      </c>
      <c r="Q70" s="2400">
        <f ca="1">C39</f>
        <v>16401</v>
      </c>
      <c r="R70" s="2399" t="s">
        <v>2341</v>
      </c>
    </row>
    <row r="71" spans="1:18" ht="16" thickBot="1">
      <c r="O71" s="2401" t="s">
        <v>2362</v>
      </c>
      <c r="P71" s="2407" t="s">
        <v>2363</v>
      </c>
      <c r="Q71" s="2400">
        <f ca="1">C13</f>
        <v>22363</v>
      </c>
      <c r="R71" s="2399" t="s">
        <v>2341</v>
      </c>
    </row>
    <row r="72" spans="1:18" ht="16" thickBot="1">
      <c r="O72" s="2401" t="s">
        <v>2364</v>
      </c>
      <c r="P72" s="2407" t="s">
        <v>2365</v>
      </c>
      <c r="Q72" s="2402">
        <f ca="1">J36</f>
        <v>8.5000000000000006E-2</v>
      </c>
      <c r="R72" s="2403"/>
    </row>
    <row r="73" spans="1:18" ht="16" thickBot="1">
      <c r="O73" s="2401" t="s">
        <v>2347</v>
      </c>
      <c r="P73" s="2399" t="s">
        <v>2354</v>
      </c>
      <c r="Q73" s="2402">
        <f>L52</f>
        <v>0</v>
      </c>
      <c r="R73" s="2403"/>
    </row>
    <row r="74" spans="1:18" ht="17" thickBot="1">
      <c r="O74" s="2401" t="s">
        <v>2349</v>
      </c>
      <c r="P74" s="2399" t="s">
        <v>2355</v>
      </c>
      <c r="Q74" s="2400" t="e">
        <f ca="1">L58</f>
        <v>#DIV/0!</v>
      </c>
      <c r="R74" s="2403" t="s">
        <v>2356</v>
      </c>
    </row>
    <row r="75" spans="1:18" ht="16" thickBot="1">
      <c r="O75" s="2401" t="s">
        <v>2378</v>
      </c>
      <c r="P75" s="2399" t="str">
        <f>K59</f>
        <v>建设期及建筑物耐用年限下的土地年期修正系数Kn</v>
      </c>
      <c r="Q75" s="2400" t="e">
        <f ca="1">L59</f>
        <v>#DIV/0!</v>
      </c>
      <c r="R75" s="2403" t="s">
        <v>2358</v>
      </c>
    </row>
    <row r="76" spans="1:18" ht="16" thickBot="1">
      <c r="O76" s="2398" t="s">
        <v>2352</v>
      </c>
      <c r="P76" s="2399" t="s">
        <v>2369</v>
      </c>
      <c r="Q76" s="2400">
        <f ca="1">Q66+Q67</f>
        <v>334485</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
  <cols>
    <col min="1" max="1" width="10.453125" customWidth="1"/>
    <col min="2" max="2" width="12.90625" customWidth="1"/>
    <col min="3" max="3" width="8.81640625" customWidth="1"/>
  </cols>
  <sheetData>
    <row r="1" spans="1:9" ht="15">
      <c r="A1" s="3497" t="s">
        <v>2430</v>
      </c>
      <c r="B1" s="3498"/>
      <c r="C1" s="3499"/>
      <c r="D1" s="3500">
        <f>SUM(I10,I15,I20,I21,I23)</f>
        <v>0</v>
      </c>
      <c r="E1" s="3500"/>
      <c r="F1" s="3500"/>
      <c r="G1" s="3500"/>
      <c r="H1" s="3500"/>
      <c r="I1" s="3501"/>
    </row>
    <row r="2" spans="1:9">
      <c r="A2" s="3487" t="s">
        <v>2431</v>
      </c>
      <c r="B2" s="3488" t="s">
        <v>2432</v>
      </c>
      <c r="C2" s="3488"/>
      <c r="D2" s="2507" t="s">
        <v>2433</v>
      </c>
      <c r="E2" s="2507" t="s">
        <v>2434</v>
      </c>
      <c r="F2" s="2507" t="s">
        <v>2435</v>
      </c>
      <c r="G2" s="2507" t="s">
        <v>2436</v>
      </c>
      <c r="H2" s="2507" t="s">
        <v>2437</v>
      </c>
      <c r="I2" s="2508" t="s">
        <v>2438</v>
      </c>
    </row>
    <row r="3" spans="1:9">
      <c r="A3" s="3487"/>
      <c r="B3" s="3488" t="s">
        <v>2439</v>
      </c>
      <c r="C3" s="3488"/>
      <c r="D3" s="2509"/>
      <c r="E3" s="2507"/>
      <c r="F3" s="2510"/>
      <c r="G3" s="2510"/>
      <c r="H3" s="2511"/>
      <c r="I3" s="2512">
        <f>ROUND(D3*E3*F3*G3*H3/10000,0)</f>
        <v>0</v>
      </c>
    </row>
    <row r="4" spans="1:9">
      <c r="A4" s="3487"/>
      <c r="B4" s="3488" t="s">
        <v>2440</v>
      </c>
      <c r="C4" s="3488"/>
      <c r="D4" s="2509"/>
      <c r="E4" s="2507"/>
      <c r="F4" s="2510"/>
      <c r="G4" s="2510"/>
      <c r="H4" s="2511"/>
      <c r="I4" s="2512">
        <f t="shared" ref="I4:I9" si="0">ROUND(D4*E4*F4*G4*H4/10000,0)</f>
        <v>0</v>
      </c>
    </row>
    <row r="5" spans="1:9">
      <c r="A5" s="3487"/>
      <c r="B5" s="3488" t="s">
        <v>2441</v>
      </c>
      <c r="C5" s="3488"/>
      <c r="D5" s="2509"/>
      <c r="E5" s="2507"/>
      <c r="F5" s="2510"/>
      <c r="G5" s="2510"/>
      <c r="H5" s="2511"/>
      <c r="I5" s="2512">
        <f t="shared" si="0"/>
        <v>0</v>
      </c>
    </row>
    <row r="6" spans="1:9">
      <c r="A6" s="3487"/>
      <c r="B6" s="3488" t="s">
        <v>2442</v>
      </c>
      <c r="C6" s="3488"/>
      <c r="D6" s="2509"/>
      <c r="E6" s="2507"/>
      <c r="F6" s="2510"/>
      <c r="G6" s="2510"/>
      <c r="H6" s="2511"/>
      <c r="I6" s="2512">
        <f t="shared" si="0"/>
        <v>0</v>
      </c>
    </row>
    <row r="7" spans="1:9">
      <c r="A7" s="3487"/>
      <c r="B7" s="3488" t="s">
        <v>2443</v>
      </c>
      <c r="C7" s="3488"/>
      <c r="D7" s="2509"/>
      <c r="E7" s="2507"/>
      <c r="F7" s="2510"/>
      <c r="G7" s="2510"/>
      <c r="H7" s="2511"/>
      <c r="I7" s="2512">
        <f t="shared" si="0"/>
        <v>0</v>
      </c>
    </row>
    <row r="8" spans="1:9">
      <c r="A8" s="3487"/>
      <c r="B8" s="3488" t="s">
        <v>2444</v>
      </c>
      <c r="C8" s="3488"/>
      <c r="D8" s="2509"/>
      <c r="E8" s="2507"/>
      <c r="F8" s="2510"/>
      <c r="G8" s="2510"/>
      <c r="H8" s="2511"/>
      <c r="I8" s="2512">
        <f t="shared" si="0"/>
        <v>0</v>
      </c>
    </row>
    <row r="9" spans="1:9">
      <c r="A9" s="3487"/>
      <c r="B9" s="3488" t="s">
        <v>2445</v>
      </c>
      <c r="C9" s="3488"/>
      <c r="D9" s="2509"/>
      <c r="E9" s="2507"/>
      <c r="F9" s="2510"/>
      <c r="G9" s="2510"/>
      <c r="H9" s="2511"/>
      <c r="I9" s="2512">
        <f t="shared" si="0"/>
        <v>0</v>
      </c>
    </row>
    <row r="10" spans="1:9">
      <c r="A10" s="3487"/>
      <c r="B10" s="3489" t="s">
        <v>2446</v>
      </c>
      <c r="C10" s="3489"/>
      <c r="D10" s="2513">
        <v>527</v>
      </c>
      <c r="E10" s="2513" t="e">
        <f>ROUND(D1*10000/D10/H9,0)</f>
        <v>#DIV/0!</v>
      </c>
      <c r="F10" s="2514"/>
      <c r="G10" s="2514"/>
      <c r="H10" s="2515"/>
      <c r="I10" s="2516">
        <f>SUM(I3:I9)</f>
        <v>0</v>
      </c>
    </row>
    <row r="11" spans="1:9" ht="15">
      <c r="A11" s="3487" t="s">
        <v>2447</v>
      </c>
      <c r="B11" s="3488" t="s">
        <v>2448</v>
      </c>
      <c r="C11" s="3488"/>
      <c r="D11" s="2509" t="s">
        <v>2449</v>
      </c>
      <c r="E11" s="2509" t="s">
        <v>2450</v>
      </c>
      <c r="F11" s="2510" t="s">
        <v>2451</v>
      </c>
      <c r="G11" s="2510" t="s">
        <v>2452</v>
      </c>
      <c r="H11" s="2517" t="s">
        <v>2453</v>
      </c>
      <c r="I11" s="2508" t="s">
        <v>2454</v>
      </c>
    </row>
    <row r="12" spans="1:9">
      <c r="A12" s="3487"/>
      <c r="B12" s="3488" t="s">
        <v>2455</v>
      </c>
      <c r="C12" s="3488"/>
      <c r="D12" s="2509"/>
      <c r="E12" s="2509"/>
      <c r="F12" s="2510"/>
      <c r="G12" s="2511"/>
      <c r="H12" s="2518"/>
      <c r="I12" s="2508">
        <f>ROUND(D12*E12*F12*G12/10000,0)</f>
        <v>0</v>
      </c>
    </row>
    <row r="13" spans="1:9">
      <c r="A13" s="3487"/>
      <c r="B13" s="3488" t="s">
        <v>2456</v>
      </c>
      <c r="C13" s="3488"/>
      <c r="D13" s="2509"/>
      <c r="E13" s="2509"/>
      <c r="F13" s="2510"/>
      <c r="G13" s="2511"/>
      <c r="H13" s="2518"/>
      <c r="I13" s="2508">
        <f>ROUND(D13*E13*F13*G13/10000,0)</f>
        <v>0</v>
      </c>
    </row>
    <row r="14" spans="1:9">
      <c r="A14" s="3487"/>
      <c r="B14" s="3488" t="s">
        <v>2457</v>
      </c>
      <c r="C14" s="3488"/>
      <c r="D14" s="2509"/>
      <c r="E14" s="2509"/>
      <c r="F14" s="2510"/>
      <c r="G14" s="2511"/>
      <c r="H14" s="2518"/>
      <c r="I14" s="2508">
        <f>ROUND(D14*E14*F14*G14/10000,0)</f>
        <v>0</v>
      </c>
    </row>
    <row r="15" spans="1:9">
      <c r="A15" s="3487"/>
      <c r="B15" s="3489" t="s">
        <v>2446</v>
      </c>
      <c r="C15" s="3489"/>
      <c r="D15" s="2513"/>
      <c r="E15" s="2513">
        <f>SUM(E12:E14)</f>
        <v>0</v>
      </c>
      <c r="F15" s="2514"/>
      <c r="G15" s="2511"/>
      <c r="H15" s="2518"/>
      <c r="I15" s="2519">
        <f>SUM(I12:I14)</f>
        <v>0</v>
      </c>
    </row>
    <row r="16" spans="1:9" ht="26">
      <c r="A16" s="3487" t="s">
        <v>2458</v>
      </c>
      <c r="B16" s="3488" t="s">
        <v>2459</v>
      </c>
      <c r="C16" s="3488"/>
      <c r="D16" s="2509" t="s">
        <v>2460</v>
      </c>
      <c r="E16" s="2520" t="s">
        <v>2461</v>
      </c>
      <c r="F16" s="2510" t="s">
        <v>2462</v>
      </c>
      <c r="G16" s="2511" t="s">
        <v>2452</v>
      </c>
      <c r="H16" s="2517" t="s">
        <v>2453</v>
      </c>
      <c r="I16" s="2508" t="s">
        <v>2454</v>
      </c>
    </row>
    <row r="17" spans="1:9" ht="15">
      <c r="A17" s="3487"/>
      <c r="B17" s="3488" t="s">
        <v>2463</v>
      </c>
      <c r="C17" s="3488"/>
      <c r="D17" s="2509"/>
      <c r="E17" s="2509"/>
      <c r="F17" s="2510"/>
      <c r="G17" s="2511"/>
      <c r="H17" s="2521"/>
      <c r="I17" s="2522">
        <f>ROUND(D17*E17*F17*G17/10000,0)</f>
        <v>0</v>
      </c>
    </row>
    <row r="18" spans="1:9" ht="15">
      <c r="A18" s="3487"/>
      <c r="B18" s="3488" t="s">
        <v>2464</v>
      </c>
      <c r="C18" s="3488"/>
      <c r="D18" s="2509"/>
      <c r="E18" s="2509"/>
      <c r="F18" s="2510"/>
      <c r="G18" s="2511"/>
      <c r="H18" s="2521"/>
      <c r="I18" s="2522">
        <f>ROUND(D18*E18*F18*G18/10000,0)</f>
        <v>0</v>
      </c>
    </row>
    <row r="19" spans="1:9" ht="15">
      <c r="A19" s="3487"/>
      <c r="B19" s="3488" t="s">
        <v>2465</v>
      </c>
      <c r="C19" s="3488"/>
      <c r="D19" s="2509"/>
      <c r="E19" s="2509"/>
      <c r="F19" s="2510"/>
      <c r="G19" s="2511"/>
      <c r="H19" s="2521"/>
      <c r="I19" s="2522">
        <f>ROUND(D19*E19*F19*G19/10000,0)</f>
        <v>0</v>
      </c>
    </row>
    <row r="20" spans="1:9">
      <c r="A20" s="3487"/>
      <c r="B20" s="3489" t="s">
        <v>2446</v>
      </c>
      <c r="C20" s="3489"/>
      <c r="D20" s="2513">
        <f>SUM(D17:D19)</f>
        <v>0</v>
      </c>
      <c r="E20" s="2513"/>
      <c r="F20" s="2514"/>
      <c r="G20" s="2511"/>
      <c r="H20" s="2518"/>
      <c r="I20" s="2519">
        <f>SUM(I17:I19)</f>
        <v>0</v>
      </c>
    </row>
    <row r="21" spans="1:9">
      <c r="A21" s="3487" t="s">
        <v>2466</v>
      </c>
      <c r="B21" s="3490"/>
      <c r="C21" s="3490"/>
      <c r="D21" s="3490"/>
      <c r="E21" s="3490"/>
      <c r="F21" s="3490"/>
      <c r="G21" s="3490"/>
      <c r="H21" s="2523">
        <v>0.1</v>
      </c>
      <c r="I21" s="2516">
        <f>ROUND(I10*H21,0)</f>
        <v>0</v>
      </c>
    </row>
    <row r="22" spans="1:9" ht="15">
      <c r="A22" s="3491" t="s">
        <v>2467</v>
      </c>
      <c r="B22" s="3492"/>
      <c r="C22" s="3493"/>
      <c r="D22" s="2524" t="s">
        <v>2468</v>
      </c>
      <c r="E22" s="2524" t="s">
        <v>2469</v>
      </c>
      <c r="F22" s="2525" t="s">
        <v>2470</v>
      </c>
      <c r="G22" s="2525" t="s">
        <v>2471</v>
      </c>
      <c r="H22" s="2517" t="s">
        <v>2472</v>
      </c>
      <c r="I22" s="2508" t="s">
        <v>2473</v>
      </c>
    </row>
    <row r="23" spans="1:9" ht="14.5" thickBot="1">
      <c r="A23" s="3494"/>
      <c r="B23" s="3495"/>
      <c r="C23" s="3496"/>
      <c r="D23" s="2526"/>
      <c r="E23" s="2526"/>
      <c r="F23" s="2526"/>
      <c r="G23" s="2527"/>
      <c r="H23" s="2528"/>
      <c r="I23" s="2529">
        <f>ROUND(E23*D23*F23*(1-G23)/10000,0)</f>
        <v>0</v>
      </c>
    </row>
    <row r="26" spans="1:9">
      <c r="A26" s="2530" t="s">
        <v>2474</v>
      </c>
      <c r="B26" s="2530"/>
      <c r="C26" s="2530"/>
      <c r="D26" s="2530"/>
      <c r="E26" s="3484">
        <f>C27-C30-C31-C32</f>
        <v>0</v>
      </c>
      <c r="F26" s="3484"/>
      <c r="G26" s="3484"/>
      <c r="H26" s="3043" t="s">
        <v>2802</v>
      </c>
    </row>
    <row r="27" spans="1:9">
      <c r="A27" s="2531">
        <v>1</v>
      </c>
      <c r="B27" s="2532" t="s">
        <v>2475</v>
      </c>
      <c r="C27" s="2532"/>
      <c r="D27" s="2532"/>
      <c r="E27" s="3485"/>
      <c r="F27" s="3485"/>
      <c r="G27" s="3485"/>
    </row>
    <row r="28" spans="1:9">
      <c r="A28" s="2533" t="s">
        <v>2476</v>
      </c>
      <c r="B28" s="2532" t="s">
        <v>2477</v>
      </c>
      <c r="C28" s="2532"/>
      <c r="D28" s="2532"/>
      <c r="E28" s="3485"/>
      <c r="F28" s="3485"/>
      <c r="G28" s="3485"/>
    </row>
    <row r="29" spans="1:9">
      <c r="A29" s="2533" t="s">
        <v>2478</v>
      </c>
      <c r="B29" s="2532" t="s">
        <v>2419</v>
      </c>
      <c r="C29" s="2532"/>
      <c r="D29" s="2532"/>
      <c r="E29" s="2532" t="s">
        <v>2479</v>
      </c>
      <c r="F29" s="2532"/>
      <c r="G29" s="2532"/>
    </row>
    <row r="30" spans="1:9">
      <c r="A30" s="2531">
        <v>2</v>
      </c>
      <c r="B30" s="2532" t="s">
        <v>2480</v>
      </c>
      <c r="C30" s="2532">
        <f>C27*D30</f>
        <v>0</v>
      </c>
      <c r="D30" s="2534">
        <v>0.2</v>
      </c>
      <c r="E30" s="2532" t="s">
        <v>2481</v>
      </c>
      <c r="F30" s="2532"/>
      <c r="G30" s="2532"/>
    </row>
    <row r="31" spans="1:9">
      <c r="A31" s="2531">
        <v>3</v>
      </c>
      <c r="B31" s="2532" t="s">
        <v>2482</v>
      </c>
      <c r="C31" s="2532">
        <f>C25*D31</f>
        <v>0</v>
      </c>
      <c r="D31" s="2534">
        <v>0.15</v>
      </c>
      <c r="E31" s="2532" t="s">
        <v>2483</v>
      </c>
      <c r="F31" s="2532"/>
      <c r="G31" s="2532"/>
    </row>
    <row r="32" spans="1:9">
      <c r="A32" s="2531">
        <v>4</v>
      </c>
      <c r="B32" s="2532" t="s">
        <v>2484</v>
      </c>
      <c r="C32" s="2532">
        <f>C27*D32</f>
        <v>0</v>
      </c>
      <c r="D32" s="2534">
        <v>0.05</v>
      </c>
      <c r="E32" s="3486"/>
      <c r="F32" s="3486"/>
      <c r="G32" s="3486"/>
    </row>
    <row r="33" spans="1:7" hidden="1">
      <c r="A33" s="3481" t="s">
        <v>2485</v>
      </c>
      <c r="B33" s="3482"/>
      <c r="C33" s="3482"/>
      <c r="D33" s="3483"/>
      <c r="E33" s="3484"/>
      <c r="F33" s="3484"/>
      <c r="G33" s="3484"/>
    </row>
    <row r="34" spans="1:7" hidden="1">
      <c r="A34" s="2535">
        <v>1</v>
      </c>
      <c r="B34" s="2532" t="s">
        <v>2486</v>
      </c>
      <c r="C34" s="2532"/>
      <c r="D34" s="2532"/>
      <c r="E34" s="3485"/>
      <c r="F34" s="3485"/>
      <c r="G34" s="3485"/>
    </row>
    <row r="35" spans="1:7" hidden="1">
      <c r="A35" s="2535">
        <v>2</v>
      </c>
      <c r="B35" s="2532" t="s">
        <v>2487</v>
      </c>
      <c r="C35" s="2532"/>
      <c r="D35" s="2532"/>
      <c r="E35" s="3485"/>
      <c r="F35" s="3485"/>
      <c r="G35" s="3485"/>
    </row>
    <row r="36" spans="1:7" hidden="1">
      <c r="A36" s="2535">
        <v>3</v>
      </c>
      <c r="B36" s="2532" t="s">
        <v>2488</v>
      </c>
      <c r="C36" s="2532"/>
      <c r="D36" s="2532"/>
      <c r="E36" s="3485"/>
      <c r="F36" s="3485"/>
      <c r="G36" s="3485"/>
    </row>
    <row r="37" spans="1:7" hidden="1">
      <c r="A37" s="2535">
        <v>4</v>
      </c>
      <c r="B37" s="2532" t="s">
        <v>2489</v>
      </c>
      <c r="C37" s="2532"/>
      <c r="D37" s="2532"/>
      <c r="E37" s="3485"/>
      <c r="F37" s="3485"/>
      <c r="G37" s="3485"/>
    </row>
    <row r="38" spans="1:7" hidden="1">
      <c r="A38" s="3481" t="s">
        <v>2490</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6328125" defaultRowHeight="12.5"/>
  <cols>
    <col min="1" max="1" width="9.36328125" style="2185" customWidth="1"/>
    <col min="2" max="2" width="26.6328125" style="2186" customWidth="1"/>
    <col min="3" max="3" width="11.08984375" style="2186" customWidth="1"/>
    <col min="4" max="5" width="11.08984375" style="2187" customWidth="1"/>
    <col min="6" max="6" width="9.453125" style="2186" customWidth="1"/>
    <col min="7" max="7" width="31.90625" style="2186" customWidth="1"/>
    <col min="8" max="25" width="9" style="2188" customWidth="1"/>
    <col min="26" max="254" width="9" style="2186" customWidth="1"/>
    <col min="255" max="16384" width="8.36328125" style="2186"/>
  </cols>
  <sheetData>
    <row r="1" spans="1:25" s="2059" customFormat="1" ht="21">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9">
      <c r="A10" s="2469">
        <v>2</v>
      </c>
      <c r="B10" s="748" t="s">
        <v>578</v>
      </c>
      <c r="C10" s="749">
        <f>C11+C14+C15</f>
        <v>0</v>
      </c>
      <c r="D10" s="760">
        <f>'数据-汇总表'!E3</f>
        <v>124364.83</v>
      </c>
      <c r="E10" s="749">
        <f>'数据-取费表'!B31</f>
        <v>200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2674</v>
      </c>
      <c r="D13" s="758">
        <f>'数据-汇总表'!E6</f>
        <v>124364.83</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52">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0.18</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6.5">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ht="13">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0.82199999999999995</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C33" sqref="C33:J33"/>
    </sheetView>
  </sheetViews>
  <sheetFormatPr defaultColWidth="9" defaultRowHeight="14"/>
  <cols>
    <col min="1" max="1" width="10.453125" style="1336" customWidth="1"/>
    <col min="2" max="2" width="15.81640625" style="1336" customWidth="1"/>
    <col min="3" max="3" width="15.08984375" style="1336" customWidth="1"/>
    <col min="4" max="4" width="12.1796875" style="1336" customWidth="1"/>
    <col min="5" max="5" width="16.08984375" style="1336" customWidth="1"/>
    <col min="6" max="6" width="12.1796875" style="1336" customWidth="1"/>
    <col min="7" max="7" width="16.1796875" style="1336" customWidth="1"/>
    <col min="8" max="8" width="12.1796875" style="1336" customWidth="1"/>
    <col min="9" max="9" width="15.906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2623" t="s">
        <v>684</v>
      </c>
      <c r="C1" s="2624" t="s">
        <v>685</v>
      </c>
      <c r="D1" s="2625" t="s">
        <v>2963</v>
      </c>
      <c r="E1" s="2626"/>
      <c r="F1" s="2807" t="s">
        <v>3125</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234284</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108465</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c r="A4" s="512" t="s">
        <v>486</v>
      </c>
      <c r="B4" s="513"/>
      <c r="C4" s="3406" t="s">
        <v>487</v>
      </c>
      <c r="D4" s="3407"/>
      <c r="E4" s="3432" t="s">
        <v>488</v>
      </c>
      <c r="F4" s="3433"/>
      <c r="G4" s="3406" t="s">
        <v>489</v>
      </c>
      <c r="H4" s="3407"/>
      <c r="I4" s="3406" t="s">
        <v>490</v>
      </c>
      <c r="J4" s="3407"/>
      <c r="K4" s="853" t="s">
        <v>491</v>
      </c>
      <c r="L4" s="2133"/>
      <c r="M4" s="2134"/>
      <c r="N4" s="2134"/>
      <c r="O4" s="2134"/>
      <c r="P4" s="3408" t="s">
        <v>492</v>
      </c>
      <c r="Q4" s="3409"/>
      <c r="R4" s="3394" t="s">
        <v>488</v>
      </c>
      <c r="S4" s="3395"/>
      <c r="T4" s="3394" t="s">
        <v>489</v>
      </c>
      <c r="U4" s="3395"/>
      <c r="V4" s="3414" t="s">
        <v>490</v>
      </c>
      <c r="W4" s="3414"/>
      <c r="X4" s="1566"/>
      <c r="Y4" s="3394" t="s">
        <v>492</v>
      </c>
      <c r="Z4" s="3395"/>
      <c r="AA4" s="3389" t="s">
        <v>488</v>
      </c>
      <c r="AB4" s="3389" t="s">
        <v>489</v>
      </c>
      <c r="AC4" s="3389" t="s">
        <v>490</v>
      </c>
    </row>
    <row r="5" spans="1:29">
      <c r="A5" s="515"/>
      <c r="B5" s="516"/>
      <c r="C5" s="3417" t="s">
        <v>3124</v>
      </c>
      <c r="D5" s="3418"/>
      <c r="E5" s="3502" t="s">
        <v>3257</v>
      </c>
      <c r="F5" s="3435"/>
      <c r="G5" s="3417" t="s">
        <v>3258</v>
      </c>
      <c r="H5" s="3418"/>
      <c r="I5" s="3417" t="s">
        <v>3259</v>
      </c>
      <c r="J5" s="3418"/>
      <c r="K5" s="854"/>
      <c r="L5" s="2133"/>
      <c r="M5" s="2134"/>
      <c r="N5" s="2134"/>
      <c r="O5" s="2134"/>
      <c r="P5" s="3410"/>
      <c r="Q5" s="3411"/>
      <c r="R5" s="3396"/>
      <c r="S5" s="3397"/>
      <c r="T5" s="3396"/>
      <c r="U5" s="3397"/>
      <c r="V5" s="3414"/>
      <c r="W5" s="3414"/>
      <c r="X5" s="1566"/>
      <c r="Y5" s="3396"/>
      <c r="Z5" s="3397"/>
      <c r="AA5" s="3390"/>
      <c r="AB5" s="3390"/>
      <c r="AC5" s="3390"/>
    </row>
    <row r="6" spans="1:29" ht="15" thickBot="1">
      <c r="A6" s="517"/>
      <c r="B6" s="518"/>
      <c r="C6" s="3415" t="s">
        <v>2880</v>
      </c>
      <c r="D6" s="3416"/>
      <c r="E6" s="3437" t="s">
        <v>2880</v>
      </c>
      <c r="F6" s="3438"/>
      <c r="G6" s="3415" t="s">
        <v>2880</v>
      </c>
      <c r="H6" s="3416"/>
      <c r="I6" s="3415" t="s">
        <v>2880</v>
      </c>
      <c r="J6" s="3416"/>
      <c r="K6" s="854" t="s">
        <v>493</v>
      </c>
      <c r="L6" s="2133"/>
      <c r="M6" s="2134"/>
      <c r="N6" s="2134"/>
      <c r="O6" s="2134"/>
      <c r="P6" s="3412"/>
      <c r="Q6" s="3413"/>
      <c r="R6" s="3396"/>
      <c r="S6" s="3397"/>
      <c r="T6" s="3398"/>
      <c r="U6" s="3399"/>
      <c r="V6" s="3414"/>
      <c r="W6" s="3414"/>
      <c r="X6" s="1566"/>
      <c r="Y6" s="3398"/>
      <c r="Z6" s="3399"/>
      <c r="AA6" s="3391"/>
      <c r="AB6" s="3391"/>
      <c r="AC6" s="3391"/>
    </row>
    <row r="7" spans="1:29" s="1219" customFormat="1" ht="14.5" thickBot="1">
      <c r="A7" s="2912"/>
      <c r="B7" s="2919" t="s">
        <v>494</v>
      </c>
      <c r="C7" s="519">
        <f>'数据-取费表'!B2</f>
        <v>43899</v>
      </c>
      <c r="D7" s="520">
        <v>100</v>
      </c>
      <c r="E7" s="521">
        <f>C7</f>
        <v>43899</v>
      </c>
      <c r="F7" s="522">
        <f>SUMIF(58:58,YEAR(E7)&amp;"-"&amp;MONTH(E7),59:59)</f>
        <v>100</v>
      </c>
      <c r="G7" s="523">
        <f>E7</f>
        <v>43899</v>
      </c>
      <c r="H7" s="520">
        <f>SUMIF(58:58,YEAR(G7)&amp;"-"&amp;MONTH(G7),59:59)</f>
        <v>100</v>
      </c>
      <c r="I7" s="523">
        <f>C7</f>
        <v>43899</v>
      </c>
      <c r="J7" s="520">
        <f>SUMIF(58:58,YEAR(I7)&amp;"-"&amp;MONTH(I7),59:59)</f>
        <v>100</v>
      </c>
      <c r="K7" s="855"/>
      <c r="L7" s="2135"/>
      <c r="M7" s="2136"/>
      <c r="N7" s="2136"/>
      <c r="O7" s="2136"/>
      <c r="P7" s="3392" t="s">
        <v>495</v>
      </c>
      <c r="Q7" s="3401"/>
      <c r="R7" s="1567" t="s">
        <v>12</v>
      </c>
      <c r="S7" s="1568">
        <f t="shared" ref="S7:S15" si="0">F7</f>
        <v>100</v>
      </c>
      <c r="T7" s="1567" t="s">
        <v>12</v>
      </c>
      <c r="U7" s="1568">
        <f t="shared" ref="U7:U15" si="1">H7</f>
        <v>100</v>
      </c>
      <c r="V7" s="1567" t="s">
        <v>12</v>
      </c>
      <c r="W7" s="1568">
        <f t="shared" ref="W7:W15" si="2">J7</f>
        <v>100</v>
      </c>
      <c r="X7" s="1569"/>
      <c r="Y7" s="3392" t="s">
        <v>495</v>
      </c>
      <c r="Z7" s="3393"/>
      <c r="AA7" s="1570">
        <f>D7/F7</f>
        <v>1</v>
      </c>
      <c r="AB7" s="1570">
        <f>D7/H7</f>
        <v>1</v>
      </c>
      <c r="AC7" s="1570">
        <f>D7/J7</f>
        <v>1</v>
      </c>
    </row>
    <row r="8" spans="1:29" s="1219" customFormat="1" ht="14.5" thickBot="1">
      <c r="A8" s="2913"/>
      <c r="B8" s="2920" t="s">
        <v>496</v>
      </c>
      <c r="C8" s="525" t="s">
        <v>541</v>
      </c>
      <c r="D8" s="520">
        <v>100</v>
      </c>
      <c r="E8" s="856" t="s">
        <v>2954</v>
      </c>
      <c r="F8" s="522">
        <f>SUMIF(61:61,E8,62:62)-SUMIF(61:61,C8,62:62)+100</f>
        <v>100</v>
      </c>
      <c r="G8" s="856" t="s">
        <v>2954</v>
      </c>
      <c r="H8" s="520">
        <f>SUMIF(61:61,G8,62:62)-SUMIF(61:61,C8,62:62)+100</f>
        <v>100</v>
      </c>
      <c r="I8" s="856" t="s">
        <v>2954</v>
      </c>
      <c r="J8" s="520">
        <f>SUMIF(61:61,I8,62:62)-SUMIF(61:61,C8,62:62)+100</f>
        <v>100</v>
      </c>
      <c r="K8" s="855"/>
      <c r="L8" s="2135"/>
      <c r="M8" s="2136"/>
      <c r="N8" s="2136"/>
      <c r="O8" s="2136"/>
      <c r="P8" s="3392" t="s">
        <v>498</v>
      </c>
      <c r="Q8" s="3393"/>
      <c r="R8" s="1567" t="s">
        <v>12</v>
      </c>
      <c r="S8" s="1568">
        <f t="shared" si="0"/>
        <v>100</v>
      </c>
      <c r="T8" s="1567" t="s">
        <v>12</v>
      </c>
      <c r="U8" s="1568">
        <f t="shared" si="1"/>
        <v>100</v>
      </c>
      <c r="V8" s="1567" t="s">
        <v>12</v>
      </c>
      <c r="W8" s="1568">
        <f t="shared" si="2"/>
        <v>100</v>
      </c>
      <c r="X8" s="1569"/>
      <c r="Y8" s="3392" t="s">
        <v>498</v>
      </c>
      <c r="Z8" s="3393"/>
      <c r="AA8" s="1570">
        <f t="shared" ref="AA8:AA46" si="3">D8/F8</f>
        <v>1</v>
      </c>
      <c r="AB8" s="1570">
        <f t="shared" ref="AB8:AB46" si="4">D8/H8</f>
        <v>1</v>
      </c>
      <c r="AC8" s="1570">
        <f t="shared" ref="AC8:AC46" si="5">D8/J8</f>
        <v>1</v>
      </c>
    </row>
    <row r="9" spans="1:29" s="1219" customFormat="1">
      <c r="A9" s="2914"/>
      <c r="B9" s="2921" t="s">
        <v>2715</v>
      </c>
      <c r="C9" s="3198" t="s">
        <v>3136</v>
      </c>
      <c r="D9" s="254">
        <v>100</v>
      </c>
      <c r="E9" s="858" t="s">
        <v>2932</v>
      </c>
      <c r="F9" s="859">
        <f>SUMIF(63:63,E9,64:64)-SUMIF(63:63,C9,64:64)+100</f>
        <v>100</v>
      </c>
      <c r="G9" s="858" t="s">
        <v>2932</v>
      </c>
      <c r="H9" s="254">
        <f>SUMIF(63:63,G9,64:64)-SUMIF(63:63,C9,64:64)+100</f>
        <v>100</v>
      </c>
      <c r="I9" s="858" t="s">
        <v>2932</v>
      </c>
      <c r="J9" s="254">
        <f>SUMIF(63:63,I9,64:64)-SUMIF(63:63,C9,64:64)+100</f>
        <v>100</v>
      </c>
      <c r="K9" s="855"/>
      <c r="L9" s="2135"/>
      <c r="M9" s="2136"/>
      <c r="N9" s="2136"/>
      <c r="O9" s="2137"/>
      <c r="P9" s="3400" t="s">
        <v>500</v>
      </c>
      <c r="Q9" s="1150" t="str">
        <f t="shared" ref="Q9:Q15" si="6">B9</f>
        <v>用途</v>
      </c>
      <c r="R9" s="1567" t="s">
        <v>8</v>
      </c>
      <c r="S9" s="1568">
        <f t="shared" si="0"/>
        <v>100</v>
      </c>
      <c r="T9" s="1567" t="s">
        <v>8</v>
      </c>
      <c r="U9" s="1568">
        <f t="shared" si="1"/>
        <v>100</v>
      </c>
      <c r="V9" s="1567" t="s">
        <v>8</v>
      </c>
      <c r="W9" s="1568">
        <f t="shared" si="2"/>
        <v>100</v>
      </c>
      <c r="X9" s="1569"/>
      <c r="Y9" s="3357" t="s">
        <v>501</v>
      </c>
      <c r="Z9" s="1149" t="str">
        <f t="shared" ref="Z9:Z15" si="7">Q9</f>
        <v>用途</v>
      </c>
      <c r="AA9" s="1570">
        <f t="shared" si="3"/>
        <v>1</v>
      </c>
      <c r="AB9" s="1570">
        <f t="shared" si="4"/>
        <v>1</v>
      </c>
      <c r="AC9" s="1570">
        <f t="shared" si="5"/>
        <v>1</v>
      </c>
    </row>
    <row r="10" spans="1:29" s="1337" customFormat="1" ht="28">
      <c r="A10" s="2915"/>
      <c r="B10" s="2920" t="s">
        <v>2716</v>
      </c>
      <c r="C10" s="861" t="s">
        <v>3137</v>
      </c>
      <c r="D10" s="255">
        <v>100</v>
      </c>
      <c r="E10" s="862" t="s">
        <v>3137</v>
      </c>
      <c r="F10" s="863">
        <f>SUMIF(65:65,E10,66:66)-SUMIF(65:65,C10,66:66)+100</f>
        <v>100</v>
      </c>
      <c r="G10" s="862" t="s">
        <v>3137</v>
      </c>
      <c r="H10" s="255">
        <f>SUMIF(65:65,G10,66:66)-SUMIF(65:65,C10,66:66)+100</f>
        <v>100</v>
      </c>
      <c r="I10" s="862" t="s">
        <v>3137</v>
      </c>
      <c r="J10" s="255">
        <f>SUMIF(65:65,I10,66:66)-SUMIF(65:65,C10,66:66)+100</f>
        <v>100</v>
      </c>
      <c r="K10" s="864">
        <v>1</v>
      </c>
      <c r="L10" s="2138"/>
      <c r="M10" s="2178"/>
      <c r="N10" s="2178"/>
      <c r="O10" s="2139"/>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6"/>
      <c r="B11" s="2920" t="s">
        <v>2717</v>
      </c>
      <c r="C11" s="533">
        <f>'数据-汇总表'!I4</f>
        <v>8.6199999999999992</v>
      </c>
      <c r="D11" s="255">
        <v>100</v>
      </c>
      <c r="E11" s="534">
        <v>6.79</v>
      </c>
      <c r="F11" s="863">
        <f>LOOKUP(E11,68:68,69:69)-LOOKUP(C11,68:68,69:69)+100</f>
        <v>102</v>
      </c>
      <c r="G11" s="533">
        <v>6.52</v>
      </c>
      <c r="H11" s="255">
        <f>LOOKUP(G11,68:68,69:69)-LOOKUP(C11,68:68,69:69)+100</f>
        <v>102</v>
      </c>
      <c r="I11" s="533">
        <v>7.6</v>
      </c>
      <c r="J11" s="255">
        <f>LOOKUP(I11,68:68,69:69)-LOOKUP(C11,68:68,69:69)+100</f>
        <v>101</v>
      </c>
      <c r="K11" s="864">
        <v>1</v>
      </c>
      <c r="L11" s="2140"/>
      <c r="M11" s="2134"/>
      <c r="N11" s="2134"/>
      <c r="O11" s="2141"/>
      <c r="P11" s="3400"/>
      <c r="Q11" s="1150" t="str">
        <f t="shared" si="6"/>
        <v>容积率</v>
      </c>
      <c r="R11" s="1567" t="s">
        <v>11</v>
      </c>
      <c r="S11" s="1568">
        <f t="shared" si="0"/>
        <v>102</v>
      </c>
      <c r="T11" s="1567" t="s">
        <v>11</v>
      </c>
      <c r="U11" s="1568">
        <f t="shared" si="1"/>
        <v>102</v>
      </c>
      <c r="V11" s="1567" t="s">
        <v>11</v>
      </c>
      <c r="W11" s="1568">
        <f t="shared" si="2"/>
        <v>101</v>
      </c>
      <c r="X11" s="1569"/>
      <c r="Y11" s="3357"/>
      <c r="Z11" s="1149" t="str">
        <f t="shared" si="7"/>
        <v>容积率</v>
      </c>
      <c r="AA11" s="1570">
        <f t="shared" si="3"/>
        <v>0.98039215686274506</v>
      </c>
      <c r="AB11" s="1570">
        <f t="shared" si="4"/>
        <v>0.98039215686274506</v>
      </c>
      <c r="AC11" s="1570">
        <f t="shared" si="5"/>
        <v>0.99009900990099009</v>
      </c>
    </row>
    <row r="12" spans="1:29" s="1219" customFormat="1" ht="15.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0"/>
      <c r="Q12" s="1150">
        <f t="shared" si="6"/>
        <v>0</v>
      </c>
      <c r="R12" s="1567" t="s">
        <v>11</v>
      </c>
      <c r="S12" s="1568">
        <f t="shared" si="0"/>
        <v>100</v>
      </c>
      <c r="T12" s="1567" t="s">
        <v>11</v>
      </c>
      <c r="U12" s="1568">
        <f t="shared" si="1"/>
        <v>100</v>
      </c>
      <c r="V12" s="1567" t="s">
        <v>11</v>
      </c>
      <c r="W12" s="1568">
        <f t="shared" si="2"/>
        <v>100</v>
      </c>
      <c r="X12" s="1569"/>
      <c r="Y12" s="3357"/>
      <c r="Z12" s="1149">
        <f t="shared" si="7"/>
        <v>0</v>
      </c>
      <c r="AA12" s="1570">
        <f>D12/F12</f>
        <v>1</v>
      </c>
      <c r="AB12" s="1570">
        <f>D12/H12</f>
        <v>1</v>
      </c>
      <c r="AC12" s="1570">
        <f>D12/J12</f>
        <v>1</v>
      </c>
    </row>
    <row r="13" spans="1:29" ht="15.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0"/>
      <c r="Q13" s="1150">
        <f t="shared" si="6"/>
        <v>0</v>
      </c>
      <c r="R13" s="1567" t="s">
        <v>11</v>
      </c>
      <c r="S13" s="1568">
        <f t="shared" si="0"/>
        <v>100</v>
      </c>
      <c r="T13" s="1567" t="s">
        <v>11</v>
      </c>
      <c r="U13" s="1568">
        <f t="shared" si="1"/>
        <v>100</v>
      </c>
      <c r="V13" s="1567" t="s">
        <v>11</v>
      </c>
      <c r="W13" s="1568">
        <f t="shared" si="2"/>
        <v>100</v>
      </c>
      <c r="X13" s="1569"/>
      <c r="Y13" s="3357"/>
      <c r="Z13" s="1149">
        <f t="shared" si="7"/>
        <v>0</v>
      </c>
      <c r="AA13" s="1570">
        <f t="shared" si="3"/>
        <v>1</v>
      </c>
      <c r="AB13" s="1570">
        <f t="shared" si="4"/>
        <v>1</v>
      </c>
      <c r="AC13" s="1570">
        <f t="shared" si="5"/>
        <v>1</v>
      </c>
    </row>
    <row r="14" spans="1:29" ht="16"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0"/>
      <c r="Q14" s="1150">
        <f t="shared" si="6"/>
        <v>0</v>
      </c>
      <c r="R14" s="1567" t="s">
        <v>11</v>
      </c>
      <c r="S14" s="1568">
        <f t="shared" si="0"/>
        <v>100</v>
      </c>
      <c r="T14" s="1567" t="s">
        <v>11</v>
      </c>
      <c r="U14" s="1568">
        <f t="shared" si="1"/>
        <v>100</v>
      </c>
      <c r="V14" s="1567" t="s">
        <v>11</v>
      </c>
      <c r="W14" s="1568">
        <f t="shared" si="2"/>
        <v>100</v>
      </c>
      <c r="X14" s="1569"/>
      <c r="Y14" s="3357"/>
      <c r="Z14" s="1149">
        <f t="shared" si="7"/>
        <v>0</v>
      </c>
      <c r="AA14" s="1570">
        <f t="shared" si="3"/>
        <v>1</v>
      </c>
      <c r="AB14" s="1570">
        <f t="shared" si="4"/>
        <v>1</v>
      </c>
      <c r="AC14" s="1570">
        <f t="shared" si="5"/>
        <v>1</v>
      </c>
    </row>
    <row r="15" spans="1:29" ht="35.25" customHeight="1">
      <c r="A15" s="2910" t="s">
        <v>2713</v>
      </c>
      <c r="B15" s="166" t="s">
        <v>260</v>
      </c>
      <c r="C15" s="867" t="str">
        <f>估价对象房地状况!C3</f>
        <v>周边居住社区成熟度较好</v>
      </c>
      <c r="D15" s="549">
        <v>100</v>
      </c>
      <c r="E15" s="550" t="s">
        <v>3138</v>
      </c>
      <c r="F15" s="551">
        <f>SUMIF(76:76,E16,77:77)-SUMIF(76:76,C16,77:77)+100</f>
        <v>100</v>
      </c>
      <c r="G15" s="550" t="s">
        <v>3138</v>
      </c>
      <c r="H15" s="549">
        <f>SUMIF(76:76,G16,77:77)-SUMIF(76:76,C16,77:77)+100</f>
        <v>100</v>
      </c>
      <c r="I15" s="550" t="s">
        <v>3138</v>
      </c>
      <c r="J15" s="549">
        <f>SUMIF(76:76,I16,77:77)-SUMIF(76:76,C16,77:77)+100</f>
        <v>100</v>
      </c>
      <c r="K15" s="868">
        <v>1</v>
      </c>
      <c r="L15" s="2142"/>
      <c r="M15" s="2134"/>
      <c r="N15" s="2134"/>
      <c r="O15" s="2141"/>
      <c r="P15" s="3402" t="s">
        <v>505</v>
      </c>
      <c r="Q15" s="1571" t="str">
        <f t="shared" si="6"/>
        <v>居住社区成熟度</v>
      </c>
      <c r="R15" s="1572" t="s">
        <v>11</v>
      </c>
      <c r="S15" s="1573">
        <f t="shared" si="0"/>
        <v>100</v>
      </c>
      <c r="T15" s="1572" t="s">
        <v>11</v>
      </c>
      <c r="U15" s="1573">
        <f t="shared" si="1"/>
        <v>100</v>
      </c>
      <c r="V15" s="1572" t="s">
        <v>11</v>
      </c>
      <c r="W15" s="1573">
        <f t="shared" si="2"/>
        <v>100</v>
      </c>
      <c r="X15" s="1566"/>
      <c r="Y15" s="3402" t="s">
        <v>505</v>
      </c>
      <c r="Z15" s="1574" t="str">
        <f t="shared" si="7"/>
        <v>居住社区成熟度</v>
      </c>
      <c r="AA15" s="1575">
        <f t="shared" si="3"/>
        <v>1</v>
      </c>
      <c r="AB15" s="1575">
        <f t="shared" si="4"/>
        <v>1</v>
      </c>
      <c r="AC15" s="1575">
        <f t="shared" si="5"/>
        <v>1</v>
      </c>
    </row>
    <row r="16" spans="1:29" ht="15.5">
      <c r="A16" s="532"/>
      <c r="B16" s="869"/>
      <c r="C16" s="576" t="s">
        <v>2935</v>
      </c>
      <c r="D16" s="555"/>
      <c r="E16" s="556" t="s">
        <v>2935</v>
      </c>
      <c r="F16" s="557"/>
      <c r="G16" s="556" t="s">
        <v>2935</v>
      </c>
      <c r="H16" s="559"/>
      <c r="I16" s="556" t="s">
        <v>2935</v>
      </c>
      <c r="J16" s="555"/>
      <c r="K16" s="870"/>
      <c r="L16" s="2142"/>
      <c r="M16" s="2134"/>
      <c r="N16" s="2134"/>
      <c r="O16" s="2141"/>
      <c r="P16" s="3403"/>
      <c r="Q16" s="1571"/>
      <c r="R16" s="1572"/>
      <c r="S16" s="1573"/>
      <c r="T16" s="1572"/>
      <c r="U16" s="1573"/>
      <c r="V16" s="1572"/>
      <c r="W16" s="1573"/>
      <c r="X16" s="1566"/>
      <c r="Y16" s="3403"/>
      <c r="Z16" s="1574"/>
      <c r="AA16" s="1575">
        <v>1</v>
      </c>
      <c r="AB16" s="1575">
        <v>1</v>
      </c>
      <c r="AC16" s="1575">
        <v>1</v>
      </c>
    </row>
    <row r="17" spans="1:29" ht="113">
      <c r="A17" s="532"/>
      <c r="B17" s="871" t="s">
        <v>261</v>
      </c>
      <c r="C17" s="872" t="str">
        <f>估价对象房地状况!C6</f>
        <v>估价对象周边道路状况好、公共交通通达情况好、停车便捷程度好，周边有2号线、7号线华强北站，综合评价交通便捷度好</v>
      </c>
      <c r="D17" s="559">
        <v>100</v>
      </c>
      <c r="E17" s="3200" t="s">
        <v>3142</v>
      </c>
      <c r="F17" s="563">
        <f>SUMIF(78:78,E18,79:79)-SUMIF(78:78,C18,79:79)+100</f>
        <v>100</v>
      </c>
      <c r="G17" s="562" t="s">
        <v>3145</v>
      </c>
      <c r="H17" s="565">
        <f>SUMIF(78:78,G18,79:79)-SUMIF(78:78,C18,79:79)+100</f>
        <v>100</v>
      </c>
      <c r="I17" s="562" t="s">
        <v>3144</v>
      </c>
      <c r="J17" s="565">
        <f>SUMIF(78:78,I18,79:79)-SUMIF(78:78,C18,79:79)+100</f>
        <v>100</v>
      </c>
      <c r="K17" s="868">
        <v>1</v>
      </c>
      <c r="L17" s="2142"/>
      <c r="M17" s="2134"/>
      <c r="N17" s="2134"/>
      <c r="O17" s="2141"/>
      <c r="P17" s="3403"/>
      <c r="Q17" s="1571" t="str">
        <f>B17</f>
        <v>交通便捷度</v>
      </c>
      <c r="R17" s="1572" t="s">
        <v>11</v>
      </c>
      <c r="S17" s="1573">
        <f>F17</f>
        <v>100</v>
      </c>
      <c r="T17" s="1572" t="s">
        <v>11</v>
      </c>
      <c r="U17" s="1573">
        <f>H17</f>
        <v>100</v>
      </c>
      <c r="V17" s="1572" t="s">
        <v>11</v>
      </c>
      <c r="W17" s="1573">
        <f>J17</f>
        <v>100</v>
      </c>
      <c r="X17" s="1566"/>
      <c r="Y17" s="3403"/>
      <c r="Z17" s="1574" t="str">
        <f>Q17</f>
        <v>交通便捷度</v>
      </c>
      <c r="AA17" s="1575">
        <f t="shared" si="3"/>
        <v>1</v>
      </c>
      <c r="AB17" s="1575">
        <f t="shared" si="4"/>
        <v>1</v>
      </c>
      <c r="AC17" s="1575">
        <f t="shared" si="5"/>
        <v>1</v>
      </c>
    </row>
    <row r="18" spans="1:29" ht="15.5">
      <c r="A18" s="532"/>
      <c r="B18" s="595"/>
      <c r="C18" s="873" t="s">
        <v>3091</v>
      </c>
      <c r="D18" s="559"/>
      <c r="E18" s="568" t="s">
        <v>3091</v>
      </c>
      <c r="F18" s="563"/>
      <c r="G18" s="568" t="s">
        <v>3091</v>
      </c>
      <c r="H18" s="555"/>
      <c r="I18" s="568" t="s">
        <v>3091</v>
      </c>
      <c r="J18" s="555"/>
      <c r="K18" s="870"/>
      <c r="L18" s="2142"/>
      <c r="M18" s="2134"/>
      <c r="N18" s="2134"/>
      <c r="O18" s="2141"/>
      <c r="P18" s="3403"/>
      <c r="Q18" s="1571"/>
      <c r="R18" s="1572"/>
      <c r="S18" s="1573"/>
      <c r="T18" s="1572"/>
      <c r="U18" s="1573"/>
      <c r="V18" s="1572"/>
      <c r="W18" s="1573"/>
      <c r="X18" s="1566"/>
      <c r="Y18" s="3403"/>
      <c r="Z18" s="1574"/>
      <c r="AA18" s="1575">
        <v>1</v>
      </c>
      <c r="AB18" s="1575">
        <v>1</v>
      </c>
      <c r="AC18" s="1575">
        <v>1</v>
      </c>
    </row>
    <row r="19" spans="1:29" ht="42">
      <c r="A19" s="532"/>
      <c r="B19" s="2600" t="s">
        <v>2505</v>
      </c>
      <c r="C19" s="872" t="str">
        <f>估价对象房地状况!C7</f>
        <v>估价对象所在区域公共配套设施齐备情况好</v>
      </c>
      <c r="D19" s="565">
        <v>100</v>
      </c>
      <c r="E19" s="570" t="s">
        <v>2989</v>
      </c>
      <c r="F19" s="571">
        <f>SUMIF(80:80,E20,81:81)-SUMIF(80:80,C20,81:81)+100</f>
        <v>100</v>
      </c>
      <c r="G19" s="570" t="s">
        <v>2989</v>
      </c>
      <c r="H19" s="559">
        <f>SUMIF(80:80,G20,81:81)-SUMIF(80:80,C20,81:81)+100</f>
        <v>100</v>
      </c>
      <c r="I19" s="570" t="s">
        <v>2989</v>
      </c>
      <c r="J19" s="559">
        <f>SUMIF(80:80,I20,81:81)-SUMIF(80:80,C20,81:81)+100</f>
        <v>100</v>
      </c>
      <c r="K19" s="868">
        <v>1</v>
      </c>
      <c r="L19" s="2142"/>
      <c r="M19" s="2134"/>
      <c r="N19" s="2134"/>
      <c r="O19" s="2141"/>
      <c r="P19" s="3403"/>
      <c r="Q19" s="1571" t="str">
        <f>B19</f>
        <v>公共配套设施</v>
      </c>
      <c r="R19" s="1572" t="s">
        <v>11</v>
      </c>
      <c r="S19" s="1573">
        <f>F19</f>
        <v>100</v>
      </c>
      <c r="T19" s="1572" t="s">
        <v>11</v>
      </c>
      <c r="U19" s="1573">
        <f>H19</f>
        <v>100</v>
      </c>
      <c r="V19" s="1572" t="s">
        <v>11</v>
      </c>
      <c r="W19" s="1573">
        <f>J19</f>
        <v>100</v>
      </c>
      <c r="X19" s="1566"/>
      <c r="Y19" s="3403"/>
      <c r="Z19" s="1574" t="str">
        <f>Q19</f>
        <v>公共配套设施</v>
      </c>
      <c r="AA19" s="1575">
        <f t="shared" si="3"/>
        <v>1</v>
      </c>
      <c r="AB19" s="1575">
        <f t="shared" si="4"/>
        <v>1</v>
      </c>
      <c r="AC19" s="1575">
        <f t="shared" si="5"/>
        <v>1</v>
      </c>
    </row>
    <row r="20" spans="1:29" ht="15.5">
      <c r="A20" s="532"/>
      <c r="B20" s="595"/>
      <c r="C20" s="576" t="s">
        <v>3091</v>
      </c>
      <c r="D20" s="555"/>
      <c r="E20" s="556" t="s">
        <v>3091</v>
      </c>
      <c r="F20" s="557"/>
      <c r="G20" s="556" t="s">
        <v>3091</v>
      </c>
      <c r="H20" s="555"/>
      <c r="I20" s="556" t="s">
        <v>3091</v>
      </c>
      <c r="J20" s="555"/>
      <c r="K20" s="870"/>
      <c r="L20" s="2142"/>
      <c r="M20" s="2134"/>
      <c r="N20" s="2134"/>
      <c r="O20" s="2141"/>
      <c r="P20" s="3403"/>
      <c r="Q20" s="1571"/>
      <c r="R20" s="1572"/>
      <c r="S20" s="1573"/>
      <c r="T20" s="1572"/>
      <c r="U20" s="1573"/>
      <c r="V20" s="1572"/>
      <c r="W20" s="1573"/>
      <c r="X20" s="1566"/>
      <c r="Y20" s="3403"/>
      <c r="Z20" s="1574"/>
      <c r="AA20" s="1575">
        <v>1</v>
      </c>
      <c r="AB20" s="1575">
        <v>1</v>
      </c>
      <c r="AC20" s="1575">
        <v>1</v>
      </c>
    </row>
    <row r="21" spans="1:29" ht="42">
      <c r="A21" s="532"/>
      <c r="B21" s="2593" t="s">
        <v>2517</v>
      </c>
      <c r="C21" s="872" t="str">
        <f>估价对象房地状况!C8</f>
        <v>估价对象所在区域基础设施水平高</v>
      </c>
      <c r="D21" s="565">
        <v>100</v>
      </c>
      <c r="E21" s="572" t="s">
        <v>2991</v>
      </c>
      <c r="F21" s="571">
        <f>SUMIF(82:82,E22,83:83)-SUMIF(82:82,C22,83:83)+100</f>
        <v>100</v>
      </c>
      <c r="G21" s="572" t="s">
        <v>2991</v>
      </c>
      <c r="H21" s="565">
        <f>SUMIF(82:82,G22,83:83)-SUMIF(82:82,C22,83:83)+100</f>
        <v>100</v>
      </c>
      <c r="I21" s="572" t="s">
        <v>2991</v>
      </c>
      <c r="J21" s="565">
        <f>SUMIF(82:82,I22,83:83)-SUMIF(82:82,C22,83:83)+100</f>
        <v>100</v>
      </c>
      <c r="K21" s="868">
        <v>1</v>
      </c>
      <c r="L21" s="2142"/>
      <c r="M21" s="2134"/>
      <c r="N21" s="2134"/>
      <c r="O21" s="2141"/>
      <c r="P21" s="3403"/>
      <c r="Q21" s="2579" t="str">
        <f>B21</f>
        <v>基础设施水平</v>
      </c>
      <c r="R21" s="1572" t="s">
        <v>11</v>
      </c>
      <c r="S21" s="1573">
        <f>F21</f>
        <v>100</v>
      </c>
      <c r="T21" s="1572" t="s">
        <v>11</v>
      </c>
      <c r="U21" s="1573">
        <f>H21</f>
        <v>100</v>
      </c>
      <c r="V21" s="1572" t="s">
        <v>11</v>
      </c>
      <c r="W21" s="1573">
        <f>J21</f>
        <v>100</v>
      </c>
      <c r="X21" s="2581"/>
      <c r="Y21" s="3403"/>
      <c r="Z21" s="2580" t="str">
        <f>Q21</f>
        <v>基础设施水平</v>
      </c>
      <c r="AA21" s="1575">
        <f t="shared" ref="AA21" si="8">D21/F21</f>
        <v>1</v>
      </c>
      <c r="AB21" s="1575">
        <f t="shared" ref="AB21" si="9">D21/H21</f>
        <v>1</v>
      </c>
      <c r="AC21" s="1575">
        <f t="shared" ref="AC21" si="10">D21/J21</f>
        <v>1</v>
      </c>
    </row>
    <row r="22" spans="1:29" ht="15.5">
      <c r="A22" s="532"/>
      <c r="B22" s="922"/>
      <c r="C22" s="873" t="s">
        <v>2936</v>
      </c>
      <c r="D22" s="555"/>
      <c r="E22" s="576" t="s">
        <v>2936</v>
      </c>
      <c r="F22" s="557"/>
      <c r="G22" s="576" t="s">
        <v>2936</v>
      </c>
      <c r="H22" s="555"/>
      <c r="I22" s="576" t="s">
        <v>2936</v>
      </c>
      <c r="J22" s="555"/>
      <c r="K22" s="2599"/>
      <c r="L22" s="2142"/>
      <c r="M22" s="2134"/>
      <c r="N22" s="2134"/>
      <c r="O22" s="2141"/>
      <c r="P22" s="3403"/>
      <c r="Q22" s="2579"/>
      <c r="R22" s="1572"/>
      <c r="S22" s="1573"/>
      <c r="T22" s="1572"/>
      <c r="U22" s="1573"/>
      <c r="V22" s="1572"/>
      <c r="W22" s="1573"/>
      <c r="X22" s="2581"/>
      <c r="Y22" s="3403"/>
      <c r="Z22" s="2580"/>
      <c r="AA22" s="1575">
        <v>1</v>
      </c>
      <c r="AB22" s="1575">
        <v>1</v>
      </c>
      <c r="AC22" s="1575">
        <v>1</v>
      </c>
    </row>
    <row r="23" spans="1:29" ht="84">
      <c r="A23" s="532"/>
      <c r="B23" s="871" t="s">
        <v>262</v>
      </c>
      <c r="C23" s="872" t="str">
        <f>估价对象房地状况!C9</f>
        <v>区域自然环境及人文环境好，周边有深圳城市学院、深圳中心公园；综合评价环境状况好</v>
      </c>
      <c r="D23" s="559">
        <v>100</v>
      </c>
      <c r="E23" s="562" t="s">
        <v>3141</v>
      </c>
      <c r="F23" s="563">
        <f>SUMIF(84:84,E24,85:85)-SUMIF(84:84,C24,85:85)+100</f>
        <v>100</v>
      </c>
      <c r="G23" s="562" t="s">
        <v>3141</v>
      </c>
      <c r="H23" s="559">
        <f>SUMIF(84:84,G24,85:85)-SUMIF(84:84,C24,85:85)+100</f>
        <v>100</v>
      </c>
      <c r="I23" s="562" t="s">
        <v>3141</v>
      </c>
      <c r="J23" s="559">
        <f>SUMIF(84:84,I24,85:85)-SUMIF(84:84,C24,85:85)+100</f>
        <v>100</v>
      </c>
      <c r="K23" s="868">
        <v>1</v>
      </c>
      <c r="L23" s="2142"/>
      <c r="M23" s="2134"/>
      <c r="N23" s="2134"/>
      <c r="O23" s="2141"/>
      <c r="P23" s="3403"/>
      <c r="Q23" s="1571" t="str">
        <f>B23</f>
        <v>自然及人文环境</v>
      </c>
      <c r="R23" s="1572" t="s">
        <v>11</v>
      </c>
      <c r="S23" s="1573">
        <f>F23</f>
        <v>100</v>
      </c>
      <c r="T23" s="1572" t="s">
        <v>11</v>
      </c>
      <c r="U23" s="1573">
        <f>H23</f>
        <v>100</v>
      </c>
      <c r="V23" s="1572" t="s">
        <v>11</v>
      </c>
      <c r="W23" s="1573">
        <f>J23</f>
        <v>100</v>
      </c>
      <c r="X23" s="1566"/>
      <c r="Y23" s="3403"/>
      <c r="Z23" s="1574" t="str">
        <f>Q23</f>
        <v>自然及人文环境</v>
      </c>
      <c r="AA23" s="1575">
        <f t="shared" si="3"/>
        <v>1</v>
      </c>
      <c r="AB23" s="1575">
        <f t="shared" si="4"/>
        <v>1</v>
      </c>
      <c r="AC23" s="1575">
        <f t="shared" si="5"/>
        <v>1</v>
      </c>
    </row>
    <row r="24" spans="1:29" ht="15.5">
      <c r="A24" s="532"/>
      <c r="B24" s="595"/>
      <c r="C24" s="576" t="s">
        <v>3091</v>
      </c>
      <c r="D24" s="555"/>
      <c r="E24" s="556" t="s">
        <v>3091</v>
      </c>
      <c r="F24" s="557"/>
      <c r="G24" s="556" t="s">
        <v>3091</v>
      </c>
      <c r="H24" s="555"/>
      <c r="I24" s="556" t="s">
        <v>3091</v>
      </c>
      <c r="J24" s="555"/>
      <c r="K24" s="870"/>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5">
      <c r="A25" s="532"/>
      <c r="B25" s="1895" t="s">
        <v>2218</v>
      </c>
      <c r="C25" s="574" t="s">
        <v>3126</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403"/>
      <c r="Q25" s="1571" t="str">
        <f t="shared" ref="Q25:Q46" si="11">B25</f>
        <v>楼层-1</v>
      </c>
      <c r="R25" s="1572" t="s">
        <v>11</v>
      </c>
      <c r="S25" s="1573">
        <f>F25</f>
        <v>100</v>
      </c>
      <c r="T25" s="1572" t="s">
        <v>11</v>
      </c>
      <c r="U25" s="1573">
        <f>H25</f>
        <v>100</v>
      </c>
      <c r="V25" s="1572" t="s">
        <v>11</v>
      </c>
      <c r="W25" s="1573">
        <f>J25</f>
        <v>100</v>
      </c>
      <c r="X25" s="1566"/>
      <c r="Y25" s="3403"/>
      <c r="Z25" s="1574" t="str">
        <f>Q25</f>
        <v>楼层-1</v>
      </c>
      <c r="AA25" s="1575">
        <f t="shared" si="3"/>
        <v>1</v>
      </c>
      <c r="AB25" s="1575">
        <f t="shared" si="4"/>
        <v>1</v>
      </c>
      <c r="AC25" s="1575">
        <f t="shared" si="5"/>
        <v>1</v>
      </c>
    </row>
    <row r="26" spans="1:29" ht="15.5">
      <c r="A26" s="532"/>
      <c r="B26" s="527" t="s">
        <v>688</v>
      </c>
      <c r="C26" s="574" t="s">
        <v>3126</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403"/>
      <c r="Q26" s="1571" t="str">
        <f t="shared" si="11"/>
        <v>朝向</v>
      </c>
      <c r="R26" s="1572" t="s">
        <v>11</v>
      </c>
      <c r="S26" s="1573">
        <f>F26</f>
        <v>100</v>
      </c>
      <c r="T26" s="1572" t="s">
        <v>11</v>
      </c>
      <c r="U26" s="1573">
        <f>H26</f>
        <v>100</v>
      </c>
      <c r="V26" s="1572" t="s">
        <v>11</v>
      </c>
      <c r="W26" s="1573">
        <f>J26</f>
        <v>100</v>
      </c>
      <c r="X26" s="1566"/>
      <c r="Y26" s="3403"/>
      <c r="Z26" s="1574" t="str">
        <f>Q26</f>
        <v>朝向</v>
      </c>
      <c r="AA26" s="1575">
        <f t="shared" si="3"/>
        <v>1</v>
      </c>
      <c r="AB26" s="1575">
        <f t="shared" si="4"/>
        <v>1</v>
      </c>
      <c r="AC26" s="1575">
        <f t="shared" si="5"/>
        <v>1</v>
      </c>
    </row>
    <row r="27" spans="1:29" s="1219" customFormat="1" ht="15.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3"/>
      <c r="Q27" s="1150" t="str">
        <f t="shared" si="11"/>
        <v>道路级别</v>
      </c>
      <c r="R27" s="1567" t="s">
        <v>11</v>
      </c>
      <c r="S27" s="1568">
        <f>F27</f>
        <v>100</v>
      </c>
      <c r="T27" s="1567" t="s">
        <v>11</v>
      </c>
      <c r="U27" s="1568">
        <f>H27</f>
        <v>100</v>
      </c>
      <c r="V27" s="1567" t="s">
        <v>11</v>
      </c>
      <c r="W27" s="1568">
        <f>J27</f>
        <v>100</v>
      </c>
      <c r="X27" s="1569"/>
      <c r="Y27" s="3403"/>
      <c r="Z27" s="1149" t="str">
        <f>Q27</f>
        <v>道路级别</v>
      </c>
      <c r="AA27" s="1575">
        <f>D27/F27</f>
        <v>1</v>
      </c>
      <c r="AB27" s="1575">
        <f>D27/H27</f>
        <v>1</v>
      </c>
      <c r="AC27" s="1575">
        <f>D27/J27</f>
        <v>1</v>
      </c>
    </row>
    <row r="28" spans="1:29" ht="15.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3"/>
      <c r="Q28" s="1571">
        <f t="shared" si="11"/>
        <v>0</v>
      </c>
      <c r="R28" s="1572" t="s">
        <v>11</v>
      </c>
      <c r="S28" s="1573">
        <f t="shared" ref="S28:S46" si="12">F28</f>
        <v>100</v>
      </c>
      <c r="T28" s="1572" t="s">
        <v>11</v>
      </c>
      <c r="U28" s="1573">
        <f t="shared" ref="U28:U46" si="13">H28</f>
        <v>100</v>
      </c>
      <c r="V28" s="1572" t="s">
        <v>11</v>
      </c>
      <c r="W28" s="1573">
        <f t="shared" ref="W28:W46" si="14">J28</f>
        <v>100</v>
      </c>
      <c r="X28" s="1566"/>
      <c r="Y28" s="3403"/>
      <c r="Z28" s="1574">
        <f t="shared" ref="Z28:Z46" si="15">Q28</f>
        <v>0</v>
      </c>
      <c r="AA28" s="1575">
        <f t="shared" si="3"/>
        <v>1</v>
      </c>
      <c r="AB28" s="1575">
        <f t="shared" si="4"/>
        <v>1</v>
      </c>
      <c r="AC28" s="1575">
        <f t="shared" si="5"/>
        <v>1</v>
      </c>
    </row>
    <row r="29" spans="1:29" ht="15.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3"/>
      <c r="Q29" s="1571">
        <f t="shared" si="11"/>
        <v>0</v>
      </c>
      <c r="R29" s="1572" t="s">
        <v>11</v>
      </c>
      <c r="S29" s="1573">
        <f t="shared" si="12"/>
        <v>100</v>
      </c>
      <c r="T29" s="1572" t="s">
        <v>11</v>
      </c>
      <c r="U29" s="1573">
        <f t="shared" si="13"/>
        <v>100</v>
      </c>
      <c r="V29" s="1572" t="s">
        <v>11</v>
      </c>
      <c r="W29" s="1573">
        <f t="shared" si="14"/>
        <v>100</v>
      </c>
      <c r="X29" s="1566"/>
      <c r="Y29" s="3403"/>
      <c r="Z29" s="1574">
        <f t="shared" si="15"/>
        <v>0</v>
      </c>
      <c r="AA29" s="1575">
        <f t="shared" si="3"/>
        <v>1</v>
      </c>
      <c r="AB29" s="1575">
        <f t="shared" si="4"/>
        <v>1</v>
      </c>
      <c r="AC29" s="1575">
        <f t="shared" si="5"/>
        <v>1</v>
      </c>
    </row>
    <row r="30" spans="1:29" ht="15.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3"/>
      <c r="Q30" s="1571">
        <f t="shared" si="11"/>
        <v>0</v>
      </c>
      <c r="R30" s="1572" t="s">
        <v>11</v>
      </c>
      <c r="S30" s="1573">
        <f t="shared" si="12"/>
        <v>100</v>
      </c>
      <c r="T30" s="1572" t="s">
        <v>11</v>
      </c>
      <c r="U30" s="1573">
        <f t="shared" si="13"/>
        <v>100</v>
      </c>
      <c r="V30" s="1572" t="s">
        <v>11</v>
      </c>
      <c r="W30" s="1573">
        <f t="shared" si="14"/>
        <v>100</v>
      </c>
      <c r="X30" s="1566"/>
      <c r="Y30" s="3403"/>
      <c r="Z30" s="1574">
        <f t="shared" si="15"/>
        <v>0</v>
      </c>
      <c r="AA30" s="1575">
        <f t="shared" si="3"/>
        <v>1</v>
      </c>
      <c r="AB30" s="1575">
        <f t="shared" si="4"/>
        <v>1</v>
      </c>
      <c r="AC30" s="1575">
        <f t="shared" si="5"/>
        <v>1</v>
      </c>
    </row>
    <row r="31" spans="1:29" ht="16"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3"/>
      <c r="Q31" s="1571">
        <f t="shared" si="11"/>
        <v>0</v>
      </c>
      <c r="R31" s="1572" t="s">
        <v>11</v>
      </c>
      <c r="S31" s="1573">
        <f t="shared" si="12"/>
        <v>100</v>
      </c>
      <c r="T31" s="1572" t="s">
        <v>11</v>
      </c>
      <c r="U31" s="1573">
        <f t="shared" si="13"/>
        <v>100</v>
      </c>
      <c r="V31" s="1572" t="s">
        <v>11</v>
      </c>
      <c r="W31" s="1573">
        <f t="shared" si="14"/>
        <v>100</v>
      </c>
      <c r="X31" s="1566"/>
      <c r="Y31" s="3403"/>
      <c r="Z31" s="1574">
        <f t="shared" si="15"/>
        <v>0</v>
      </c>
      <c r="AA31" s="1575">
        <f t="shared" si="3"/>
        <v>1</v>
      </c>
      <c r="AB31" s="1575">
        <f t="shared" si="4"/>
        <v>1</v>
      </c>
      <c r="AC31" s="1575">
        <f t="shared" si="5"/>
        <v>1</v>
      </c>
    </row>
    <row r="32" spans="1:29" ht="15.5">
      <c r="A32" s="2907" t="s">
        <v>2714</v>
      </c>
      <c r="B32" s="172" t="s">
        <v>690</v>
      </c>
      <c r="C32" s="878" t="s">
        <v>3253</v>
      </c>
      <c r="D32" s="597">
        <v>100</v>
      </c>
      <c r="E32" s="879" t="s">
        <v>3251</v>
      </c>
      <c r="F32" s="575">
        <f>SUMIF(100:100,E32,101:101)-SUMIF(100:100,C32,101:101)+100</f>
        <v>102</v>
      </c>
      <c r="G32" s="879" t="s">
        <v>3251</v>
      </c>
      <c r="H32" s="597">
        <f>SUMIF(100:100,G32,101:101)-SUMIF(100:100,C32,101:101)+100</f>
        <v>102</v>
      </c>
      <c r="I32" s="879" t="s">
        <v>3251</v>
      </c>
      <c r="J32" s="540">
        <f>SUMIF(100:100,I32,101:101)-SUMIF(100:100,C32,101:101)+100</f>
        <v>102</v>
      </c>
      <c r="K32" s="864">
        <v>2</v>
      </c>
      <c r="L32" s="2142"/>
      <c r="M32" s="2134"/>
      <c r="N32" s="2134"/>
      <c r="O32" s="2141"/>
      <c r="P32" s="3404" t="s">
        <v>515</v>
      </c>
      <c r="Q32" s="1571" t="str">
        <f t="shared" si="11"/>
        <v>建筑类型</v>
      </c>
      <c r="R32" s="1572" t="s">
        <v>11</v>
      </c>
      <c r="S32" s="1573">
        <f t="shared" si="12"/>
        <v>102</v>
      </c>
      <c r="T32" s="1572" t="s">
        <v>11</v>
      </c>
      <c r="U32" s="1573">
        <f t="shared" si="13"/>
        <v>102</v>
      </c>
      <c r="V32" s="1572" t="s">
        <v>11</v>
      </c>
      <c r="W32" s="1573">
        <f t="shared" si="14"/>
        <v>102</v>
      </c>
      <c r="X32" s="1566"/>
      <c r="Y32" s="3405" t="s">
        <v>515</v>
      </c>
      <c r="Z32" s="1574" t="str">
        <f t="shared" si="15"/>
        <v>建筑类型</v>
      </c>
      <c r="AA32" s="1575">
        <f t="shared" si="3"/>
        <v>0.98039215686274506</v>
      </c>
      <c r="AB32" s="1575">
        <f t="shared" si="4"/>
        <v>0.98039215686274506</v>
      </c>
      <c r="AC32" s="1575">
        <f t="shared" si="5"/>
        <v>0.98039215686274506</v>
      </c>
    </row>
    <row r="33" spans="1:29" s="1338" customFormat="1" ht="15.5">
      <c r="A33" s="603"/>
      <c r="B33" s="527" t="s">
        <v>691</v>
      </c>
      <c r="C33" s="880">
        <f>'数据-基础表'!B3</f>
        <v>124364.83</v>
      </c>
      <c r="D33" s="255">
        <v>100</v>
      </c>
      <c r="E33" s="534">
        <v>360000</v>
      </c>
      <c r="F33" s="863">
        <f>LOOKUP(E33,103:103,104:104)-LOOKUP(C33,103:103,104:104)+100</f>
        <v>102</v>
      </c>
      <c r="G33" s="534">
        <v>1200000</v>
      </c>
      <c r="H33" s="255">
        <f>LOOKUP(G33,103:103,104:104)-LOOKUP(C33,103:103,104:104)+100</f>
        <v>102</v>
      </c>
      <c r="I33" s="534">
        <v>100124.38</v>
      </c>
      <c r="J33" s="255">
        <f>LOOKUP(I33,103:103,104:104)-LOOKUP(C33,103:103,104:104)+100</f>
        <v>100</v>
      </c>
      <c r="K33" s="865"/>
      <c r="L33" s="2140"/>
      <c r="M33" s="2171"/>
      <c r="N33" s="2171"/>
      <c r="O33" s="2143"/>
      <c r="P33" s="3405"/>
      <c r="Q33" s="1604" t="str">
        <f t="shared" si="11"/>
        <v>项目建筑规模</v>
      </c>
      <c r="R33" s="1576" t="s">
        <v>11</v>
      </c>
      <c r="S33" s="1577">
        <f t="shared" si="12"/>
        <v>102</v>
      </c>
      <c r="T33" s="1576" t="s">
        <v>11</v>
      </c>
      <c r="U33" s="1577">
        <f t="shared" si="13"/>
        <v>102</v>
      </c>
      <c r="V33" s="1576" t="s">
        <v>11</v>
      </c>
      <c r="W33" s="1577">
        <f t="shared" si="14"/>
        <v>100</v>
      </c>
      <c r="X33" s="1578"/>
      <c r="Y33" s="3405"/>
      <c r="Z33" s="1579" t="str">
        <f t="shared" si="15"/>
        <v>项目建筑规模</v>
      </c>
      <c r="AA33" s="1575">
        <f t="shared" si="3"/>
        <v>0.98039215686274506</v>
      </c>
      <c r="AB33" s="1575">
        <f t="shared" si="4"/>
        <v>0.98039215686274506</v>
      </c>
      <c r="AC33" s="1575">
        <f t="shared" si="5"/>
        <v>1</v>
      </c>
    </row>
    <row r="34" spans="1:29" ht="15.5">
      <c r="A34" s="594"/>
      <c r="B34" s="527" t="s">
        <v>692</v>
      </c>
      <c r="C34" s="881" t="s">
        <v>3103</v>
      </c>
      <c r="D34" s="540">
        <v>100</v>
      </c>
      <c r="E34" s="882" t="s">
        <v>3103</v>
      </c>
      <c r="F34" s="575">
        <f>SUMIF(105:105,E34,106:106)-SUMIF(105:105,C34,106:106)+100</f>
        <v>100</v>
      </c>
      <c r="G34" s="882" t="s">
        <v>3103</v>
      </c>
      <c r="H34" s="540">
        <f>SUMIF(105:105,G34,106:106)-SUMIF(105:105,C34,106:106)+100</f>
        <v>100</v>
      </c>
      <c r="I34" s="882" t="s">
        <v>3103</v>
      </c>
      <c r="J34" s="540">
        <f>SUMIF(105:105,I34,106:106)-SUMIF(105:105,C34,106:106)+100</f>
        <v>100</v>
      </c>
      <c r="K34" s="864">
        <v>1</v>
      </c>
      <c r="L34" s="2142"/>
      <c r="M34" s="2134"/>
      <c r="N34" s="2134"/>
      <c r="O34" s="2141"/>
      <c r="P34" s="3405"/>
      <c r="Q34" s="1571" t="str">
        <f t="shared" si="11"/>
        <v>建筑结构</v>
      </c>
      <c r="R34" s="1572" t="s">
        <v>11</v>
      </c>
      <c r="S34" s="1573">
        <f t="shared" si="12"/>
        <v>100</v>
      </c>
      <c r="T34" s="1572" t="s">
        <v>11</v>
      </c>
      <c r="U34" s="1573">
        <f t="shared" si="13"/>
        <v>100</v>
      </c>
      <c r="V34" s="1572" t="s">
        <v>11</v>
      </c>
      <c r="W34" s="1573">
        <f t="shared" si="14"/>
        <v>100</v>
      </c>
      <c r="X34" s="1566"/>
      <c r="Y34" s="3405"/>
      <c r="Z34" s="1574" t="str">
        <f t="shared" si="15"/>
        <v>建筑结构</v>
      </c>
      <c r="AA34" s="1575">
        <f t="shared" si="3"/>
        <v>1</v>
      </c>
      <c r="AB34" s="1575">
        <f t="shared" si="4"/>
        <v>1</v>
      </c>
      <c r="AC34" s="1575">
        <f t="shared" si="5"/>
        <v>1</v>
      </c>
    </row>
    <row r="35" spans="1:29" ht="15.5">
      <c r="A35" s="594"/>
      <c r="B35" s="527" t="s">
        <v>693</v>
      </c>
      <c r="C35" s="599" t="s">
        <v>3128</v>
      </c>
      <c r="D35" s="540">
        <v>100</v>
      </c>
      <c r="E35" s="874" t="s">
        <v>3128</v>
      </c>
      <c r="F35" s="575">
        <f>SUMIF(107:107,E35,108:108)-SUMIF(107:107,C35,108:108)+100</f>
        <v>100</v>
      </c>
      <c r="G35" s="874" t="s">
        <v>3128</v>
      </c>
      <c r="H35" s="540">
        <f>SUMIF(107:107,G35,108:108)-SUMIF(107:107,C35,108:108)+100</f>
        <v>100</v>
      </c>
      <c r="I35" s="874" t="s">
        <v>3128</v>
      </c>
      <c r="J35" s="540">
        <f>SUMIF(107:107,I35,108:108)-SUMIF(107:107,C35,108:108)+100</f>
        <v>100</v>
      </c>
      <c r="K35" s="864">
        <v>1</v>
      </c>
      <c r="L35" s="2142"/>
      <c r="M35" s="2134"/>
      <c r="N35" s="2134"/>
      <c r="O35" s="2141"/>
      <c r="P35" s="3405"/>
      <c r="Q35" s="1571" t="str">
        <f t="shared" si="11"/>
        <v>建筑品质</v>
      </c>
      <c r="R35" s="1572" t="s">
        <v>11</v>
      </c>
      <c r="S35" s="1573">
        <f t="shared" si="12"/>
        <v>100</v>
      </c>
      <c r="T35" s="1572" t="s">
        <v>11</v>
      </c>
      <c r="U35" s="1573">
        <f t="shared" si="13"/>
        <v>100</v>
      </c>
      <c r="V35" s="1572" t="s">
        <v>11</v>
      </c>
      <c r="W35" s="1573">
        <f t="shared" si="14"/>
        <v>100</v>
      </c>
      <c r="X35" s="1566"/>
      <c r="Y35" s="3405"/>
      <c r="Z35" s="1574" t="str">
        <f t="shared" si="15"/>
        <v>建筑品质</v>
      </c>
      <c r="AA35" s="1575">
        <f t="shared" si="3"/>
        <v>1</v>
      </c>
      <c r="AB35" s="1575">
        <f t="shared" si="4"/>
        <v>1</v>
      </c>
      <c r="AC35" s="1575">
        <f t="shared" si="5"/>
        <v>1</v>
      </c>
    </row>
    <row r="36" spans="1:29" ht="15.5">
      <c r="A36" s="594"/>
      <c r="B36" s="527" t="s">
        <v>694</v>
      </c>
      <c r="C36" s="599" t="s">
        <v>3130</v>
      </c>
      <c r="D36" s="540">
        <v>100</v>
      </c>
      <c r="E36" s="874" t="s">
        <v>3130</v>
      </c>
      <c r="F36" s="575">
        <f>SUMIF(109:109,E36,110:110)-SUMIF(109:109,C36,110:110)+100</f>
        <v>100</v>
      </c>
      <c r="G36" s="874" t="s">
        <v>3130</v>
      </c>
      <c r="H36" s="540">
        <f>SUMIF(109:109,G36,110:110)-SUMIF(109:109,C36,110:110)+100</f>
        <v>100</v>
      </c>
      <c r="I36" s="874" t="s">
        <v>3130</v>
      </c>
      <c r="J36" s="540">
        <f>SUMIF(109:109,I36,110:110)-SUMIF(109:109,C36,110:110)+100</f>
        <v>100</v>
      </c>
      <c r="K36" s="864">
        <v>1</v>
      </c>
      <c r="L36" s="2142"/>
      <c r="M36" s="2134"/>
      <c r="N36" s="2134"/>
      <c r="O36" s="2141"/>
      <c r="P36" s="3405"/>
      <c r="Q36" s="1571" t="str">
        <f t="shared" si="11"/>
        <v>公共部分装修</v>
      </c>
      <c r="R36" s="1572" t="s">
        <v>11</v>
      </c>
      <c r="S36" s="1573">
        <f t="shared" si="12"/>
        <v>100</v>
      </c>
      <c r="T36" s="1572" t="s">
        <v>11</v>
      </c>
      <c r="U36" s="1573">
        <f t="shared" si="13"/>
        <v>100</v>
      </c>
      <c r="V36" s="1572" t="s">
        <v>11</v>
      </c>
      <c r="W36" s="1573">
        <f t="shared" si="14"/>
        <v>100</v>
      </c>
      <c r="X36" s="1566"/>
      <c r="Y36" s="3405"/>
      <c r="Z36" s="1574" t="str">
        <f t="shared" si="15"/>
        <v>公共部分装修</v>
      </c>
      <c r="AA36" s="1575">
        <f t="shared" si="3"/>
        <v>1</v>
      </c>
      <c r="AB36" s="1575">
        <f t="shared" si="4"/>
        <v>1</v>
      </c>
      <c r="AC36" s="1575">
        <f t="shared" si="5"/>
        <v>1</v>
      </c>
    </row>
    <row r="37" spans="1:29" s="1219" customFormat="1" ht="15.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405"/>
      <c r="Q37" s="1150" t="str">
        <f t="shared" si="11"/>
        <v>成新度</v>
      </c>
      <c r="R37" s="1567" t="s">
        <v>11</v>
      </c>
      <c r="S37" s="1568">
        <f t="shared" si="12"/>
        <v>100</v>
      </c>
      <c r="T37" s="1567" t="s">
        <v>11</v>
      </c>
      <c r="U37" s="1568">
        <f t="shared" si="13"/>
        <v>100</v>
      </c>
      <c r="V37" s="1567" t="s">
        <v>11</v>
      </c>
      <c r="W37" s="1568">
        <f t="shared" si="14"/>
        <v>100</v>
      </c>
      <c r="X37" s="1569"/>
      <c r="Y37" s="3405"/>
      <c r="Z37" s="1149" t="str">
        <f t="shared" si="15"/>
        <v>成新度</v>
      </c>
      <c r="AA37" s="1570">
        <f t="shared" si="3"/>
        <v>1</v>
      </c>
      <c r="AB37" s="1570">
        <f t="shared" si="4"/>
        <v>1</v>
      </c>
      <c r="AC37" s="1570">
        <f t="shared" si="5"/>
        <v>1</v>
      </c>
    </row>
    <row r="38" spans="1:29" ht="15.5">
      <c r="A38" s="594"/>
      <c r="B38" s="527" t="s">
        <v>696</v>
      </c>
      <c r="C38" s="599" t="s">
        <v>3132</v>
      </c>
      <c r="D38" s="540">
        <v>100</v>
      </c>
      <c r="E38" s="874" t="s">
        <v>3132</v>
      </c>
      <c r="F38" s="575">
        <f>SUMIF(114:114,E38,115:115)-SUMIF(114:114,C38,115:115)+100</f>
        <v>100</v>
      </c>
      <c r="G38" s="874" t="s">
        <v>3132</v>
      </c>
      <c r="H38" s="540">
        <f>SUMIF(114:114,G38,115:115)-SUMIF(114:114,C38,115:115)+100</f>
        <v>100</v>
      </c>
      <c r="I38" s="874" t="s">
        <v>3132</v>
      </c>
      <c r="J38" s="540">
        <f>SUMIF(114:114,I38,115:115)-SUMIF(114:114,C38,115:115)+100</f>
        <v>100</v>
      </c>
      <c r="K38" s="864">
        <v>1</v>
      </c>
      <c r="L38" s="2142"/>
      <c r="M38" s="2134"/>
      <c r="N38" s="2134"/>
      <c r="O38" s="2141"/>
      <c r="P38" s="3405" t="s">
        <v>515</v>
      </c>
      <c r="Q38" s="1571" t="str">
        <f t="shared" si="11"/>
        <v>物业管理</v>
      </c>
      <c r="R38" s="1572" t="s">
        <v>11</v>
      </c>
      <c r="S38" s="1573">
        <f t="shared" si="12"/>
        <v>100</v>
      </c>
      <c r="T38" s="1572" t="s">
        <v>11</v>
      </c>
      <c r="U38" s="1573">
        <f t="shared" si="13"/>
        <v>100</v>
      </c>
      <c r="V38" s="1572" t="s">
        <v>11</v>
      </c>
      <c r="W38" s="1573">
        <f t="shared" si="14"/>
        <v>100</v>
      </c>
      <c r="X38" s="1566"/>
      <c r="Y38" s="3405" t="s">
        <v>515</v>
      </c>
      <c r="Z38" s="1574" t="str">
        <f t="shared" si="15"/>
        <v>物业管理</v>
      </c>
      <c r="AA38" s="1575">
        <f t="shared" si="3"/>
        <v>1</v>
      </c>
      <c r="AB38" s="1575">
        <f t="shared" si="4"/>
        <v>1</v>
      </c>
      <c r="AC38" s="1575">
        <f t="shared" si="5"/>
        <v>1</v>
      </c>
    </row>
    <row r="39" spans="1:29" ht="15.5">
      <c r="A39" s="594"/>
      <c r="B39" s="1895" t="s">
        <v>2523</v>
      </c>
      <c r="C39" s="599" t="s">
        <v>2936</v>
      </c>
      <c r="D39" s="540">
        <v>100</v>
      </c>
      <c r="E39" s="874" t="s">
        <v>2936</v>
      </c>
      <c r="F39" s="575">
        <f>SUMIF(116:116,E39,117:117)-SUMIF(116:116,C39,117:117)+100</f>
        <v>100</v>
      </c>
      <c r="G39" s="874" t="s">
        <v>2936</v>
      </c>
      <c r="H39" s="540">
        <f>SUMIF(116:116,G39,117:117)-SUMIF(116:116,C39,117:117)+100</f>
        <v>100</v>
      </c>
      <c r="I39" s="874" t="s">
        <v>2936</v>
      </c>
      <c r="J39" s="540">
        <f>SUMIF(116:116,I39,117:117)-SUMIF(116:116,C39,117:117)+100</f>
        <v>100</v>
      </c>
      <c r="K39" s="864">
        <v>1</v>
      </c>
      <c r="L39" s="2142"/>
      <c r="M39" s="2134"/>
      <c r="N39" s="2134"/>
      <c r="O39" s="2141"/>
      <c r="P39" s="3405"/>
      <c r="Q39" s="1571" t="str">
        <f t="shared" si="11"/>
        <v>市政基础设施</v>
      </c>
      <c r="R39" s="1572" t="s">
        <v>11</v>
      </c>
      <c r="S39" s="1573">
        <f t="shared" si="12"/>
        <v>100</v>
      </c>
      <c r="T39" s="1572" t="s">
        <v>11</v>
      </c>
      <c r="U39" s="1573">
        <f t="shared" si="13"/>
        <v>100</v>
      </c>
      <c r="V39" s="1572" t="s">
        <v>11</v>
      </c>
      <c r="W39" s="1573">
        <f t="shared" si="14"/>
        <v>100</v>
      </c>
      <c r="X39" s="1566"/>
      <c r="Y39" s="3405"/>
      <c r="Z39" s="1574" t="str">
        <f t="shared" si="15"/>
        <v>市政基础设施</v>
      </c>
      <c r="AA39" s="1575">
        <f t="shared" si="3"/>
        <v>1</v>
      </c>
      <c r="AB39" s="1575">
        <f t="shared" si="4"/>
        <v>1</v>
      </c>
      <c r="AC39" s="1575">
        <f t="shared" si="5"/>
        <v>1</v>
      </c>
    </row>
    <row r="40" spans="1:29" ht="15.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405"/>
      <c r="Q40" s="1571" t="str">
        <f t="shared" si="11"/>
        <v>房型</v>
      </c>
      <c r="R40" s="1572" t="s">
        <v>11</v>
      </c>
      <c r="S40" s="1573">
        <f t="shared" si="12"/>
        <v>100</v>
      </c>
      <c r="T40" s="1572" t="s">
        <v>11</v>
      </c>
      <c r="U40" s="1573">
        <f t="shared" si="13"/>
        <v>100</v>
      </c>
      <c r="V40" s="1572" t="s">
        <v>11</v>
      </c>
      <c r="W40" s="1573">
        <f t="shared" si="14"/>
        <v>100</v>
      </c>
      <c r="X40" s="1566"/>
      <c r="Y40" s="3405"/>
      <c r="Z40" s="1574" t="str">
        <f t="shared" si="15"/>
        <v>房型</v>
      </c>
      <c r="AA40" s="1575">
        <f t="shared" si="3"/>
        <v>1</v>
      </c>
      <c r="AB40" s="1575">
        <f t="shared" si="4"/>
        <v>1</v>
      </c>
      <c r="AC40" s="1575">
        <f t="shared" si="5"/>
        <v>1</v>
      </c>
    </row>
    <row r="41" spans="1:29" s="1338" customFormat="1" ht="28.5">
      <c r="A41" s="603"/>
      <c r="B41" s="527" t="s">
        <v>698</v>
      </c>
      <c r="C41" s="880" t="s">
        <v>3140</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405"/>
      <c r="Q41" s="1604" t="str">
        <f t="shared" si="11"/>
        <v>单套/主力户型建筑面积</v>
      </c>
      <c r="R41" s="1576" t="s">
        <v>11</v>
      </c>
      <c r="S41" s="1577">
        <f t="shared" si="12"/>
        <v>100</v>
      </c>
      <c r="T41" s="1576" t="s">
        <v>11</v>
      </c>
      <c r="U41" s="1577">
        <f t="shared" si="13"/>
        <v>100</v>
      </c>
      <c r="V41" s="1576" t="s">
        <v>11</v>
      </c>
      <c r="W41" s="1577">
        <f t="shared" si="14"/>
        <v>100</v>
      </c>
      <c r="X41" s="1578"/>
      <c r="Y41" s="3405"/>
      <c r="Z41" s="1579" t="str">
        <f t="shared" si="15"/>
        <v>单套/主力户型建筑面积</v>
      </c>
      <c r="AA41" s="1575">
        <f t="shared" si="3"/>
        <v>1</v>
      </c>
      <c r="AB41" s="1575">
        <f t="shared" si="4"/>
        <v>1</v>
      </c>
      <c r="AC41" s="1575">
        <f t="shared" si="5"/>
        <v>1</v>
      </c>
    </row>
    <row r="42" spans="1:29" ht="15.5">
      <c r="A42" s="594"/>
      <c r="B42" s="527" t="s">
        <v>699</v>
      </c>
      <c r="C42" s="599" t="s">
        <v>3130</v>
      </c>
      <c r="D42" s="540">
        <v>100</v>
      </c>
      <c r="E42" s="874" t="s">
        <v>3130</v>
      </c>
      <c r="F42" s="575">
        <f>SUMIF(122:122,E42,123:123)-SUMIF(122:122,C42,123:123)+100</f>
        <v>100</v>
      </c>
      <c r="G42" s="874" t="s">
        <v>3130</v>
      </c>
      <c r="H42" s="540">
        <f>SUMIF(122:122,G42,123:123)-SUMIF(122:122,C42,123:123)+100</f>
        <v>100</v>
      </c>
      <c r="I42" s="874" t="s">
        <v>3130</v>
      </c>
      <c r="J42" s="540">
        <f>SUMIF(122:122,I42,123:123)-SUMIF(122:122,C42,123:123)+100</f>
        <v>100</v>
      </c>
      <c r="K42" s="864">
        <v>1</v>
      </c>
      <c r="L42" s="2142"/>
      <c r="M42" s="2134"/>
      <c r="N42" s="2134"/>
      <c r="O42" s="2141"/>
      <c r="P42" s="3405"/>
      <c r="Q42" s="1571" t="str">
        <f t="shared" si="11"/>
        <v>内部装修</v>
      </c>
      <c r="R42" s="1572" t="s">
        <v>11</v>
      </c>
      <c r="S42" s="1573">
        <f t="shared" si="12"/>
        <v>100</v>
      </c>
      <c r="T42" s="1572" t="s">
        <v>11</v>
      </c>
      <c r="U42" s="1573">
        <f t="shared" si="13"/>
        <v>100</v>
      </c>
      <c r="V42" s="1572" t="s">
        <v>11</v>
      </c>
      <c r="W42" s="1573">
        <f t="shared" si="14"/>
        <v>100</v>
      </c>
      <c r="X42" s="1566"/>
      <c r="Y42" s="3405"/>
      <c r="Z42" s="1574" t="str">
        <f t="shared" si="15"/>
        <v>内部装修</v>
      </c>
      <c r="AA42" s="1575">
        <f t="shared" si="3"/>
        <v>1</v>
      </c>
      <c r="AB42" s="1575">
        <f t="shared" si="4"/>
        <v>1</v>
      </c>
      <c r="AC42" s="1575">
        <f t="shared" si="5"/>
        <v>1</v>
      </c>
    </row>
    <row r="43" spans="1:29" ht="28">
      <c r="A43" s="594"/>
      <c r="B43" s="527" t="s">
        <v>700</v>
      </c>
      <c r="C43" s="599" t="s">
        <v>2935</v>
      </c>
      <c r="D43" s="540">
        <v>100</v>
      </c>
      <c r="E43" s="874" t="s">
        <v>2935</v>
      </c>
      <c r="F43" s="575">
        <f>SUMIF(124:124,E43,125:125)-SUMIF(124:124,C43,125:125)+100</f>
        <v>100</v>
      </c>
      <c r="G43" s="874" t="s">
        <v>2935</v>
      </c>
      <c r="H43" s="540">
        <f>SUMIF(124:124,G43,125:125)-SUMIF(124:124,C43,125:125)+100</f>
        <v>100</v>
      </c>
      <c r="I43" s="874" t="s">
        <v>2935</v>
      </c>
      <c r="J43" s="540">
        <f>SUMIF(124:124,I43,125:125)-SUMIF(124:124,C43,125:125)+100</f>
        <v>100</v>
      </c>
      <c r="K43" s="864">
        <v>1</v>
      </c>
      <c r="L43" s="2142"/>
      <c r="M43" s="2134"/>
      <c r="N43" s="2134"/>
      <c r="O43" s="2141"/>
      <c r="P43" s="3405"/>
      <c r="Q43" s="1571" t="str">
        <f t="shared" si="11"/>
        <v>内部装修维护情况</v>
      </c>
      <c r="R43" s="1572" t="s">
        <v>11</v>
      </c>
      <c r="S43" s="1573">
        <f t="shared" si="12"/>
        <v>100</v>
      </c>
      <c r="T43" s="1572" t="s">
        <v>11</v>
      </c>
      <c r="U43" s="1573">
        <f t="shared" si="13"/>
        <v>100</v>
      </c>
      <c r="V43" s="1572" t="s">
        <v>11</v>
      </c>
      <c r="W43" s="1573">
        <f t="shared" si="14"/>
        <v>100</v>
      </c>
      <c r="X43" s="1566"/>
      <c r="Y43" s="3405"/>
      <c r="Z43" s="1574" t="str">
        <f t="shared" si="15"/>
        <v>内部装修维护情况</v>
      </c>
      <c r="AA43" s="1575">
        <f t="shared" si="3"/>
        <v>1</v>
      </c>
      <c r="AB43" s="1575">
        <f t="shared" si="4"/>
        <v>1</v>
      </c>
      <c r="AC43" s="1575">
        <f t="shared" si="5"/>
        <v>1</v>
      </c>
    </row>
    <row r="44" spans="1:29" s="1219" customFormat="1" ht="15.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5"/>
      <c r="Q44" s="1150">
        <f t="shared" si="11"/>
        <v>0</v>
      </c>
      <c r="R44" s="1567" t="s">
        <v>11</v>
      </c>
      <c r="S44" s="1568">
        <f t="shared" si="12"/>
        <v>100</v>
      </c>
      <c r="T44" s="1567" t="s">
        <v>11</v>
      </c>
      <c r="U44" s="1568">
        <f t="shared" si="13"/>
        <v>100</v>
      </c>
      <c r="V44" s="1567" t="s">
        <v>11</v>
      </c>
      <c r="W44" s="1568">
        <f t="shared" si="14"/>
        <v>100</v>
      </c>
      <c r="X44" s="1569"/>
      <c r="Y44" s="3405"/>
      <c r="Z44" s="1149">
        <f t="shared" si="15"/>
        <v>0</v>
      </c>
      <c r="AA44" s="1570">
        <f t="shared" si="3"/>
        <v>1</v>
      </c>
      <c r="AB44" s="1570">
        <f t="shared" si="4"/>
        <v>1</v>
      </c>
      <c r="AC44" s="1570">
        <f t="shared" si="5"/>
        <v>1</v>
      </c>
    </row>
    <row r="45" spans="1:29" ht="15.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5"/>
      <c r="Q45" s="1571">
        <f t="shared" si="11"/>
        <v>0</v>
      </c>
      <c r="R45" s="1572" t="s">
        <v>11</v>
      </c>
      <c r="S45" s="1573">
        <f t="shared" si="12"/>
        <v>100</v>
      </c>
      <c r="T45" s="1572" t="s">
        <v>11</v>
      </c>
      <c r="U45" s="1573">
        <f t="shared" si="13"/>
        <v>100</v>
      </c>
      <c r="V45" s="1572" t="s">
        <v>11</v>
      </c>
      <c r="W45" s="1573">
        <f t="shared" si="14"/>
        <v>100</v>
      </c>
      <c r="X45" s="1566"/>
      <c r="Y45" s="3405"/>
      <c r="Z45" s="1574">
        <f t="shared" si="15"/>
        <v>0</v>
      </c>
      <c r="AA45" s="1575">
        <f t="shared" si="3"/>
        <v>1</v>
      </c>
      <c r="AB45" s="1575">
        <f t="shared" si="4"/>
        <v>1</v>
      </c>
      <c r="AC45" s="1575">
        <f t="shared" si="5"/>
        <v>1</v>
      </c>
    </row>
    <row r="46" spans="1:29" ht="16"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5"/>
      <c r="Q46" s="1571">
        <f t="shared" si="11"/>
        <v>0</v>
      </c>
      <c r="R46" s="1572" t="s">
        <v>10</v>
      </c>
      <c r="S46" s="1573">
        <f t="shared" si="12"/>
        <v>100</v>
      </c>
      <c r="T46" s="1572" t="s">
        <v>10</v>
      </c>
      <c r="U46" s="1573">
        <f t="shared" si="13"/>
        <v>100</v>
      </c>
      <c r="V46" s="1572" t="s">
        <v>10</v>
      </c>
      <c r="W46" s="1573">
        <f t="shared" si="14"/>
        <v>100</v>
      </c>
      <c r="X46" s="1566"/>
      <c r="Y46" s="3505"/>
      <c r="Z46" s="1574">
        <f t="shared" si="15"/>
        <v>0</v>
      </c>
      <c r="AA46" s="1575">
        <f t="shared" si="3"/>
        <v>1</v>
      </c>
      <c r="AB46" s="1575">
        <f t="shared" si="4"/>
        <v>1</v>
      </c>
      <c r="AC46" s="1575">
        <f t="shared" si="5"/>
        <v>1</v>
      </c>
    </row>
    <row r="47" spans="1:29">
      <c r="A47" s="607" t="s">
        <v>701</v>
      </c>
      <c r="B47" s="887"/>
      <c r="C47" s="2627" t="s">
        <v>9</v>
      </c>
      <c r="D47" s="2628"/>
      <c r="E47" s="2629">
        <v>112000</v>
      </c>
      <c r="F47" s="2630"/>
      <c r="G47" s="2631">
        <v>120000</v>
      </c>
      <c r="H47" s="2632"/>
      <c r="I47" s="2629">
        <v>110000</v>
      </c>
      <c r="J47" s="2632"/>
      <c r="K47" s="1605"/>
      <c r="L47" s="2144"/>
      <c r="M47" s="2145"/>
      <c r="N47" s="2134"/>
      <c r="O47" s="2145"/>
      <c r="P47" s="3400" t="str">
        <f>A47</f>
        <v>成交单价（元/平方米）</v>
      </c>
      <c r="Q47" s="3400"/>
      <c r="R47" s="3504">
        <f>E47</f>
        <v>112000</v>
      </c>
      <c r="S47" s="3504"/>
      <c r="T47" s="3504">
        <f>G47</f>
        <v>120000</v>
      </c>
      <c r="U47" s="3504"/>
      <c r="V47" s="3504">
        <f>I47</f>
        <v>110000</v>
      </c>
      <c r="W47" s="3504"/>
      <c r="X47" s="1558"/>
      <c r="Y47" s="1580"/>
      <c r="Z47" s="1558"/>
      <c r="AA47" s="1558"/>
      <c r="AB47" s="1558"/>
      <c r="AC47" s="1558"/>
    </row>
    <row r="48" spans="1:29" ht="14.5" thickBot="1">
      <c r="A48" s="615" t="s">
        <v>2719</v>
      </c>
      <c r="B48" s="888"/>
      <c r="C48" s="2633">
        <f>R49</f>
        <v>108465</v>
      </c>
      <c r="D48" s="2634"/>
      <c r="E48" s="2635">
        <f>R48</f>
        <v>105540</v>
      </c>
      <c r="F48" s="2635"/>
      <c r="G48" s="2633">
        <f>T48</f>
        <v>113079</v>
      </c>
      <c r="H48" s="2634"/>
      <c r="I48" s="2635">
        <f>V48</f>
        <v>106775</v>
      </c>
      <c r="J48" s="2634"/>
      <c r="K48" s="1606"/>
      <c r="L48" s="2144"/>
      <c r="M48" s="2145"/>
      <c r="N48" s="2145"/>
      <c r="O48" s="2145"/>
      <c r="P48" s="3400" t="str">
        <f>A48</f>
        <v>比较价格（元/平方米）</v>
      </c>
      <c r="Q48" s="3400"/>
      <c r="R48" s="3504">
        <f>IF(F1="售价",ROUND(PRODUCT(R47,AA7:AA46),0),ROUND(PRODUCT(R47,AA7:AA46),1))</f>
        <v>105540</v>
      </c>
      <c r="S48" s="3504"/>
      <c r="T48" s="3504">
        <f>IF(F1="售价",ROUND(PRODUCT(T47,AB7:AB46),0),ROUND(PRODUCT(T47,AB7:AB46),1))</f>
        <v>113079</v>
      </c>
      <c r="U48" s="3504"/>
      <c r="V48" s="3504">
        <f>IF(F1="售价",ROUND(PRODUCT(V47,AC7:AC46),0),ROUND(PRODUCT(V47,AC7:AC46),1))</f>
        <v>106775</v>
      </c>
      <c r="W48" s="3504"/>
      <c r="X48" s="1558"/>
      <c r="Y48" s="1558"/>
      <c r="Z48" s="1558"/>
      <c r="AA48" s="1558"/>
      <c r="AB48" s="1558"/>
      <c r="AC48" s="1558"/>
    </row>
    <row r="49" spans="1:29" ht="14.5" thickBot="1">
      <c r="A49" s="621" t="s">
        <v>3135</v>
      </c>
      <c r="B49" s="622"/>
      <c r="C49" s="2636">
        <f>R49</f>
        <v>108465</v>
      </c>
      <c r="D49" s="2636"/>
      <c r="E49" s="2636"/>
      <c r="F49" s="2636"/>
      <c r="G49" s="2636"/>
      <c r="H49" s="2636"/>
      <c r="I49" s="2636"/>
      <c r="J49" s="2636"/>
      <c r="K49" s="1607"/>
      <c r="L49" s="2144"/>
      <c r="M49" s="2145"/>
      <c r="N49" s="2145"/>
      <c r="O49" s="2145"/>
      <c r="P49" s="3423" t="str">
        <f>A49</f>
        <v>估价对象住宅用房的比较价格（楼面单价，元/平方米）</v>
      </c>
      <c r="Q49" s="3424"/>
      <c r="R49" s="3503">
        <f>IF(F1="售价",ROUND(AVERAGE(R48:V48),0),ROUND(AVERAGE(R48:V48),1))</f>
        <v>108465</v>
      </c>
      <c r="S49" s="3503"/>
      <c r="T49" s="3503"/>
      <c r="U49" s="3503"/>
      <c r="V49" s="3503"/>
      <c r="W49" s="350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6.120902027667241E-2</v>
      </c>
      <c r="F52" s="627" t="str">
        <f>IF(OR(E52&gt;=0.3,E52&lt;=-0.3),"超过30%","")</f>
        <v/>
      </c>
      <c r="G52" s="626">
        <f>IF(G47&lt;G48,G48/G47-1,G47/G48-1)</f>
        <v>6.1204998275541822E-2</v>
      </c>
      <c r="H52" s="627" t="str">
        <f>IF(OR(G52&gt;=0.3,G52&lt;=-0.3),"超过30%","")</f>
        <v/>
      </c>
      <c r="I52" s="626">
        <f>IF(I47&lt;I48,I48/I47-1,I47/I48-1)</f>
        <v>3.0203699367829628E-2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7.1432632177373501E-2</v>
      </c>
      <c r="F53" s="627" t="str">
        <f>IF(OR(E53&gt;=0.2,E53&lt;=-0.2),"超过20%","")</f>
        <v/>
      </c>
      <c r="G53" s="626">
        <f>IF(G48&lt;I48,I48/G48-1,G48/I48-1)</f>
        <v>5.9040037461952632E-2</v>
      </c>
      <c r="H53" s="627" t="str">
        <f>IF(OR(G53&gt;=0.2,G53&lt;=-0.2),"超过20%","")</f>
        <v/>
      </c>
      <c r="I53" s="626">
        <f>IF(I48&lt;E48,E48/I48-1,I48/E48-1)</f>
        <v>1.1701724464658003E-2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7.1428571428571397E-2</v>
      </c>
      <c r="F54" s="627" t="str">
        <f>IF(OR(E54&gt;=0.3,E54&lt;=-0.3),"超过30%","")</f>
        <v/>
      </c>
      <c r="G54" s="626">
        <f>IF(G47&lt;I47,I47/G47-1,G47/I47-1)</f>
        <v>9.0909090909090828E-2</v>
      </c>
      <c r="H54" s="627" t="str">
        <f>IF(OR(G54&gt;=0.3,G54&lt;=-0.3),"超过30%","")</f>
        <v/>
      </c>
      <c r="I54" s="626">
        <f>IF(I47&lt;E47,E47/I47-1,I47/E47-1)</f>
        <v>1.8181818181818077E-2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c r="A58" s="645" t="s">
        <v>494</v>
      </c>
      <c r="B58" s="646"/>
      <c r="C58" s="2804"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4.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8.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4.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4.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4.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4.5" thickTop="1">
      <c r="A80" s="669"/>
      <c r="B80" s="1896" t="s">
        <v>2516</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4.5" thickTop="1">
      <c r="A82" s="669"/>
      <c r="B82" s="2597" t="s">
        <v>2517</v>
      </c>
      <c r="C82" s="2598" t="s">
        <v>2518</v>
      </c>
      <c r="D82" s="2598" t="s">
        <v>2519</v>
      </c>
      <c r="E82" s="2598" t="s">
        <v>2520</v>
      </c>
      <c r="F82" s="2598" t="s">
        <v>2521</v>
      </c>
      <c r="G82" s="2598" t="s">
        <v>2522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4.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4.5" thickTop="1">
      <c r="A86" s="709"/>
      <c r="B86" s="1896" t="s">
        <v>2219</v>
      </c>
      <c r="C86" s="688" t="s">
        <v>3126</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4.5" thickTop="1">
      <c r="A88" s="709"/>
      <c r="B88" s="673" t="s">
        <v>711</v>
      </c>
      <c r="C88" s="688" t="s">
        <v>3126</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4.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3182" t="s">
        <v>3252</v>
      </c>
      <c r="D100" s="3182" t="s">
        <v>3254</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8.5"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5"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4.5" thickTop="1">
      <c r="A105" s="735"/>
      <c r="B105" s="673" t="s">
        <v>714</v>
      </c>
      <c r="C105" s="3189" t="s">
        <v>3127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4.5" thickTop="1">
      <c r="A107" s="735"/>
      <c r="B107" s="673" t="s">
        <v>715</v>
      </c>
      <c r="C107" s="3190" t="s">
        <v>3129</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4.5" thickTop="1">
      <c r="A109" s="735"/>
      <c r="B109" s="673" t="s">
        <v>716</v>
      </c>
      <c r="C109" s="3189" t="s">
        <v>3131</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4.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4.5" thickTop="1">
      <c r="A114" s="735"/>
      <c r="B114" s="673" t="s">
        <v>718</v>
      </c>
      <c r="C114" s="3189" t="s">
        <v>3133</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4.5" thickTop="1">
      <c r="A116" s="735"/>
      <c r="B116" s="1896" t="s">
        <v>2515</v>
      </c>
      <c r="C116" s="3189" t="s">
        <v>3134</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4.5" thickTop="1">
      <c r="A118" s="735"/>
      <c r="B118" s="673" t="s">
        <v>719</v>
      </c>
      <c r="C118" s="718" t="s">
        <v>3126</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9" thickTop="1">
      <c r="A120" s="728"/>
      <c r="B120" s="673" t="s">
        <v>698</v>
      </c>
      <c r="C120" s="688" t="s">
        <v>3126</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4.5"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4.5" thickTop="1">
      <c r="A122" s="735"/>
      <c r="B122" s="673" t="s">
        <v>720</v>
      </c>
      <c r="C122" s="3189" t="s">
        <v>3131</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8.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4.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5">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5">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5">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5">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
  <cols>
    <col min="1" max="1" width="10.453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c r="A4" s="512" t="s">
        <v>486</v>
      </c>
      <c r="B4" s="513"/>
      <c r="C4" s="3406" t="s">
        <v>487</v>
      </c>
      <c r="D4" s="3407"/>
      <c r="E4" s="3432" t="s">
        <v>488</v>
      </c>
      <c r="F4" s="3433"/>
      <c r="G4" s="3406" t="s">
        <v>489</v>
      </c>
      <c r="H4" s="3407"/>
      <c r="I4" s="3406" t="s">
        <v>490</v>
      </c>
      <c r="J4" s="3407"/>
      <c r="K4" s="514" t="s">
        <v>491</v>
      </c>
      <c r="L4" s="2133"/>
      <c r="M4" s="2134"/>
      <c r="N4" s="2134"/>
      <c r="O4" s="2134"/>
      <c r="P4" s="3408" t="s">
        <v>492</v>
      </c>
      <c r="Q4" s="3409"/>
      <c r="R4" s="3394" t="s">
        <v>488</v>
      </c>
      <c r="S4" s="3395"/>
      <c r="T4" s="3394" t="s">
        <v>489</v>
      </c>
      <c r="U4" s="3395"/>
      <c r="V4" s="3414" t="s">
        <v>490</v>
      </c>
      <c r="W4" s="3414"/>
      <c r="X4" s="1566"/>
      <c r="Y4" s="3394" t="s">
        <v>492</v>
      </c>
      <c r="Z4" s="3395"/>
      <c r="AA4" s="3389" t="s">
        <v>488</v>
      </c>
      <c r="AB4" s="3414" t="s">
        <v>489</v>
      </c>
      <c r="AC4" s="3389" t="s">
        <v>490</v>
      </c>
    </row>
    <row r="5" spans="1:29">
      <c r="A5" s="515"/>
      <c r="B5" s="516"/>
      <c r="C5" s="3436" t="s">
        <v>2876</v>
      </c>
      <c r="D5" s="3418"/>
      <c r="E5" s="3434" t="s">
        <v>2877</v>
      </c>
      <c r="F5" s="3435"/>
      <c r="G5" s="3436" t="s">
        <v>2878</v>
      </c>
      <c r="H5" s="3418"/>
      <c r="I5" s="3436" t="s">
        <v>2879</v>
      </c>
      <c r="J5" s="3418"/>
      <c r="K5" s="514"/>
      <c r="L5" s="2133"/>
      <c r="M5" s="2134"/>
      <c r="N5" s="2134"/>
      <c r="O5" s="2134"/>
      <c r="P5" s="3410"/>
      <c r="Q5" s="3411"/>
      <c r="R5" s="3396"/>
      <c r="S5" s="3397"/>
      <c r="T5" s="3396"/>
      <c r="U5" s="3397"/>
      <c r="V5" s="3414"/>
      <c r="W5" s="3414"/>
      <c r="X5" s="1566"/>
      <c r="Y5" s="3396"/>
      <c r="Z5" s="3397"/>
      <c r="AA5" s="3390"/>
      <c r="AB5" s="3414"/>
      <c r="AC5" s="3390"/>
    </row>
    <row r="6" spans="1:29" ht="15" thickBot="1">
      <c r="A6" s="517"/>
      <c r="B6" s="518"/>
      <c r="C6" s="3415" t="s">
        <v>2880</v>
      </c>
      <c r="D6" s="3416"/>
      <c r="E6" s="3437" t="s">
        <v>2880</v>
      </c>
      <c r="F6" s="3438"/>
      <c r="G6" s="3415" t="s">
        <v>2880</v>
      </c>
      <c r="H6" s="3416"/>
      <c r="I6" s="3415" t="s">
        <v>2880</v>
      </c>
      <c r="J6" s="3416"/>
      <c r="K6" s="514" t="s">
        <v>493</v>
      </c>
      <c r="L6" s="2133"/>
      <c r="M6" s="2134"/>
      <c r="N6" s="2134"/>
      <c r="O6" s="2134"/>
      <c r="P6" s="3412"/>
      <c r="Q6" s="3413"/>
      <c r="R6" s="3396"/>
      <c r="S6" s="3397"/>
      <c r="T6" s="3398"/>
      <c r="U6" s="3399"/>
      <c r="V6" s="3414"/>
      <c r="W6" s="3414"/>
      <c r="X6" s="1566"/>
      <c r="Y6" s="3398"/>
      <c r="Z6" s="3399"/>
      <c r="AA6" s="3391"/>
      <c r="AB6" s="3414"/>
      <c r="AC6" s="3391"/>
    </row>
    <row r="7" spans="1:29" s="1219" customFormat="1" ht="14.5" thickBot="1">
      <c r="A7" s="2912"/>
      <c r="B7" s="2919" t="s">
        <v>494</v>
      </c>
      <c r="C7" s="519">
        <f>'数据-取费表'!B2</f>
        <v>43899</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2" t="s">
        <v>495</v>
      </c>
      <c r="Q7" s="3401"/>
      <c r="R7" s="1567" t="s">
        <v>8</v>
      </c>
      <c r="S7" s="1568">
        <f t="shared" ref="S7:S15" si="0">F7</f>
        <v>0</v>
      </c>
      <c r="T7" s="1567" t="s">
        <v>8</v>
      </c>
      <c r="U7" s="1568">
        <f t="shared" ref="U7:U15" si="1">H7</f>
        <v>0</v>
      </c>
      <c r="V7" s="1567" t="s">
        <v>8</v>
      </c>
      <c r="W7" s="1568">
        <f t="shared" ref="W7:W15" si="2">J7</f>
        <v>0</v>
      </c>
      <c r="X7" s="1569"/>
      <c r="Y7" s="3392" t="s">
        <v>495</v>
      </c>
      <c r="Z7" s="3393"/>
      <c r="AA7" s="1570" t="e">
        <f>D7/F7</f>
        <v>#DIV/0!</v>
      </c>
      <c r="AB7" s="1570" t="e">
        <f>D7/H7</f>
        <v>#DIV/0!</v>
      </c>
      <c r="AC7" s="1570" t="e">
        <f>D7/J7</f>
        <v>#DIV/0!</v>
      </c>
    </row>
    <row r="8" spans="1:29" s="1219" customFormat="1" ht="14.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2" t="s">
        <v>498</v>
      </c>
      <c r="Q8" s="3393"/>
      <c r="R8" s="1567" t="s">
        <v>8</v>
      </c>
      <c r="S8" s="1568">
        <f t="shared" si="0"/>
        <v>0</v>
      </c>
      <c r="T8" s="1567" t="s">
        <v>8</v>
      </c>
      <c r="U8" s="1568">
        <f t="shared" si="1"/>
        <v>0</v>
      </c>
      <c r="V8" s="1567" t="s">
        <v>8</v>
      </c>
      <c r="W8" s="1568">
        <f t="shared" si="2"/>
        <v>0</v>
      </c>
      <c r="X8" s="1569"/>
      <c r="Y8" s="3392" t="s">
        <v>498</v>
      </c>
      <c r="Z8" s="3393"/>
      <c r="AA8" s="1570" t="e">
        <f t="shared" ref="AA8:AA46" si="3">D8/F8</f>
        <v>#DIV/0!</v>
      </c>
      <c r="AB8" s="1570" t="e">
        <f t="shared" ref="AB8:AB46" si="4">D8/H8</f>
        <v>#DIV/0!</v>
      </c>
      <c r="AC8" s="1570" t="e">
        <f t="shared" ref="AC8:AC46" si="5">D8/J8</f>
        <v>#DIV/0!</v>
      </c>
    </row>
    <row r="9" spans="1:29" s="1219" customFormat="1">
      <c r="A9" s="2914"/>
      <c r="B9" s="2921" t="s">
        <v>2715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00" t="s">
        <v>500</v>
      </c>
      <c r="Q9" s="1150" t="str">
        <f t="shared" ref="Q9:Q15" si="6">B9</f>
        <v>用途</v>
      </c>
      <c r="R9" s="1567" t="s">
        <v>8</v>
      </c>
      <c r="S9" s="1568">
        <f t="shared" si="0"/>
        <v>100</v>
      </c>
      <c r="T9" s="1567" t="s">
        <v>8</v>
      </c>
      <c r="U9" s="1568">
        <f t="shared" si="1"/>
        <v>100</v>
      </c>
      <c r="V9" s="1567" t="s">
        <v>8</v>
      </c>
      <c r="W9" s="1568">
        <f t="shared" si="2"/>
        <v>100</v>
      </c>
      <c r="X9" s="1569"/>
      <c r="Y9" s="3357" t="s">
        <v>501</v>
      </c>
      <c r="Z9" s="1149" t="str">
        <f t="shared" ref="Z9:Z15" si="7">Q9</f>
        <v>用途</v>
      </c>
      <c r="AA9" s="1570">
        <f t="shared" si="3"/>
        <v>1</v>
      </c>
      <c r="AB9" s="1570">
        <f t="shared" si="4"/>
        <v>1</v>
      </c>
      <c r="AC9" s="1570">
        <f t="shared" si="5"/>
        <v>1</v>
      </c>
    </row>
    <row r="10" spans="1:29" s="1337" customFormat="1" ht="28">
      <c r="A10" s="2915"/>
      <c r="B10" s="2920" t="s">
        <v>2716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6"/>
      <c r="B11" s="2920" t="s">
        <v>2717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112">
      <c r="A15" s="2910" t="s">
        <v>2713</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2" t="s">
        <v>505</v>
      </c>
      <c r="Q15" s="1571" t="str">
        <f t="shared" si="6"/>
        <v>商业繁华度</v>
      </c>
      <c r="R15" s="1572" t="s">
        <v>8</v>
      </c>
      <c r="S15" s="1573">
        <f t="shared" si="0"/>
        <v>100</v>
      </c>
      <c r="T15" s="1572" t="s">
        <v>8</v>
      </c>
      <c r="U15" s="1573">
        <f t="shared" si="1"/>
        <v>100</v>
      </c>
      <c r="V15" s="1572" t="s">
        <v>8</v>
      </c>
      <c r="W15" s="1573">
        <f t="shared" si="2"/>
        <v>100</v>
      </c>
      <c r="X15" s="1566"/>
      <c r="Y15" s="3402" t="s">
        <v>505</v>
      </c>
      <c r="Z15" s="1574" t="str">
        <f t="shared" si="7"/>
        <v>商业繁华度</v>
      </c>
      <c r="AA15" s="1575">
        <f t="shared" si="3"/>
        <v>1</v>
      </c>
      <c r="AB15" s="1575">
        <f t="shared" si="4"/>
        <v>1</v>
      </c>
      <c r="AC15" s="1575">
        <f t="shared" si="5"/>
        <v>1</v>
      </c>
    </row>
    <row r="16" spans="1:29" ht="15.5">
      <c r="A16" s="532"/>
      <c r="B16" s="869"/>
      <c r="C16" s="576"/>
      <c r="D16" s="555"/>
      <c r="E16" s="576"/>
      <c r="F16" s="557"/>
      <c r="G16" s="576"/>
      <c r="H16" s="559"/>
      <c r="I16" s="576"/>
      <c r="J16" s="555"/>
      <c r="K16" s="899"/>
      <c r="L16" s="2142"/>
      <c r="M16" s="2134"/>
      <c r="N16" s="2134"/>
      <c r="O16" s="2141"/>
      <c r="P16" s="3403"/>
      <c r="Q16" s="1571"/>
      <c r="R16" s="1572"/>
      <c r="S16" s="1573"/>
      <c r="T16" s="1572"/>
      <c r="U16" s="1573"/>
      <c r="V16" s="1572"/>
      <c r="W16" s="1573"/>
      <c r="X16" s="1566"/>
      <c r="Y16" s="3403"/>
      <c r="Z16" s="1574"/>
      <c r="AA16" s="1575">
        <v>1</v>
      </c>
      <c r="AB16" s="1575">
        <v>1</v>
      </c>
      <c r="AC16" s="1575">
        <v>1</v>
      </c>
    </row>
    <row r="17" spans="1:29" ht="126">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5">
      <c r="A18" s="532"/>
      <c r="B18" s="595"/>
      <c r="C18" s="873"/>
      <c r="D18" s="559"/>
      <c r="E18" s="568"/>
      <c r="F18" s="563"/>
      <c r="G18" s="569"/>
      <c r="H18" s="555"/>
      <c r="I18" s="568"/>
      <c r="J18" s="555"/>
      <c r="K18" s="899"/>
      <c r="L18" s="2142"/>
      <c r="M18" s="2134"/>
      <c r="N18" s="2134"/>
      <c r="O18" s="2141"/>
      <c r="P18" s="3403"/>
      <c r="Q18" s="1571"/>
      <c r="R18" s="1572"/>
      <c r="S18" s="1573"/>
      <c r="T18" s="1572"/>
      <c r="U18" s="1573"/>
      <c r="V18" s="1572"/>
      <c r="W18" s="1573"/>
      <c r="X18" s="1566"/>
      <c r="Y18" s="3403"/>
      <c r="Z18" s="1574"/>
      <c r="AA18" s="1575">
        <v>1</v>
      </c>
      <c r="AB18" s="1575">
        <v>1</v>
      </c>
      <c r="AC18" s="1575">
        <v>1</v>
      </c>
    </row>
    <row r="19" spans="1:29" ht="56">
      <c r="A19" s="532"/>
      <c r="B19" s="2600" t="s">
        <v>2505</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5">
      <c r="A20" s="532"/>
      <c r="B20" s="595"/>
      <c r="C20" s="576"/>
      <c r="D20" s="555"/>
      <c r="E20" s="556"/>
      <c r="F20" s="557"/>
      <c r="G20" s="558"/>
      <c r="H20" s="555"/>
      <c r="I20" s="556"/>
      <c r="J20" s="555"/>
      <c r="K20" s="899"/>
      <c r="L20" s="2142"/>
      <c r="M20" s="2134"/>
      <c r="N20" s="2134"/>
      <c r="O20" s="2141"/>
      <c r="P20" s="3403"/>
      <c r="Q20" s="1571"/>
      <c r="R20" s="1572"/>
      <c r="S20" s="1573"/>
      <c r="T20" s="1572"/>
      <c r="U20" s="1573"/>
      <c r="V20" s="1572"/>
      <c r="W20" s="1573"/>
      <c r="X20" s="1566"/>
      <c r="Y20" s="3403"/>
      <c r="Z20" s="1574"/>
      <c r="AA20" s="1575">
        <v>1</v>
      </c>
      <c r="AB20" s="1575">
        <v>1</v>
      </c>
      <c r="AC20" s="1575">
        <v>1</v>
      </c>
    </row>
    <row r="21" spans="1:29" ht="42">
      <c r="A21" s="532"/>
      <c r="B21" s="2593" t="s">
        <v>2517</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5">
      <c r="A22" s="532"/>
      <c r="B22" s="922"/>
      <c r="C22" s="873"/>
      <c r="D22" s="555"/>
      <c r="E22" s="576"/>
      <c r="F22" s="557"/>
      <c r="G22" s="576"/>
      <c r="H22" s="555"/>
      <c r="I22" s="576"/>
      <c r="J22" s="555"/>
      <c r="K22" s="2602"/>
      <c r="L22" s="2142"/>
      <c r="M22" s="2134"/>
      <c r="N22" s="2134"/>
      <c r="O22" s="2141"/>
      <c r="P22" s="3403"/>
      <c r="Q22" s="2579"/>
      <c r="R22" s="1572"/>
      <c r="S22" s="1573"/>
      <c r="T22" s="1572"/>
      <c r="U22" s="1573"/>
      <c r="V22" s="1572"/>
      <c r="W22" s="1573"/>
      <c r="X22" s="2581"/>
      <c r="Y22" s="3403"/>
      <c r="Z22" s="2580"/>
      <c r="AA22" s="1575">
        <v>1</v>
      </c>
      <c r="AB22" s="1575">
        <v>1</v>
      </c>
      <c r="AC22" s="1575">
        <v>1</v>
      </c>
    </row>
    <row r="23" spans="1:29" ht="98">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3"/>
      <c r="Q23" s="1571" t="str">
        <f>B23</f>
        <v>自然及人文环境</v>
      </c>
      <c r="R23" s="1572" t="s">
        <v>8</v>
      </c>
      <c r="S23" s="1573">
        <f>F23</f>
        <v>100</v>
      </c>
      <c r="T23" s="1572" t="s">
        <v>8</v>
      </c>
      <c r="U23" s="1573">
        <f>H23</f>
        <v>100</v>
      </c>
      <c r="V23" s="1572" t="s">
        <v>8</v>
      </c>
      <c r="W23" s="1573">
        <f>J23</f>
        <v>100</v>
      </c>
      <c r="X23" s="1566"/>
      <c r="Y23" s="3403"/>
      <c r="Z23" s="1574" t="str">
        <f>Q23</f>
        <v>自然及人文环境</v>
      </c>
      <c r="AA23" s="1575">
        <f t="shared" si="3"/>
        <v>1</v>
      </c>
      <c r="AB23" s="1575">
        <f t="shared" si="4"/>
        <v>1</v>
      </c>
      <c r="AC23" s="1575">
        <f t="shared" si="5"/>
        <v>1</v>
      </c>
    </row>
    <row r="24" spans="1:29" ht="15.5">
      <c r="A24" s="532"/>
      <c r="B24" s="595"/>
      <c r="C24" s="576"/>
      <c r="D24" s="555"/>
      <c r="E24" s="556"/>
      <c r="F24" s="557"/>
      <c r="G24" s="558"/>
      <c r="H24" s="555"/>
      <c r="I24" s="556"/>
      <c r="J24" s="555"/>
      <c r="K24" s="899"/>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3"/>
      <c r="Q25" s="1571" t="str">
        <f t="shared" ref="Q25:Q46" si="11">B25</f>
        <v>临街状况</v>
      </c>
      <c r="R25" s="1572" t="s">
        <v>8</v>
      </c>
      <c r="S25" s="1573">
        <f>F25</f>
        <v>100</v>
      </c>
      <c r="T25" s="1572" t="s">
        <v>8</v>
      </c>
      <c r="U25" s="1573">
        <f>H25</f>
        <v>100</v>
      </c>
      <c r="V25" s="1572" t="s">
        <v>8</v>
      </c>
      <c r="W25" s="1573">
        <f>J25</f>
        <v>100</v>
      </c>
      <c r="X25" s="1566"/>
      <c r="Y25" s="3403"/>
      <c r="Z25" s="1574" t="str">
        <f>Q25</f>
        <v>临街状况</v>
      </c>
      <c r="AA25" s="1575">
        <f t="shared" si="3"/>
        <v>1</v>
      </c>
      <c r="AB25" s="1575">
        <f t="shared" si="4"/>
        <v>1</v>
      </c>
      <c r="AC25" s="1575">
        <f t="shared" si="5"/>
        <v>1</v>
      </c>
    </row>
    <row r="26" spans="1:29" ht="15.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3"/>
      <c r="Q26" s="1571" t="str">
        <f t="shared" si="11"/>
        <v>平面位置/可视性</v>
      </c>
      <c r="R26" s="1572" t="s">
        <v>8</v>
      </c>
      <c r="S26" s="1573">
        <f>F26</f>
        <v>100</v>
      </c>
      <c r="T26" s="1572" t="s">
        <v>8</v>
      </c>
      <c r="U26" s="1573">
        <f>H26</f>
        <v>100</v>
      </c>
      <c r="V26" s="1572" t="s">
        <v>8</v>
      </c>
      <c r="W26" s="1573">
        <f>J26</f>
        <v>100</v>
      </c>
      <c r="X26" s="1566"/>
      <c r="Y26" s="3403"/>
      <c r="Z26" s="1574" t="str">
        <f>Q26</f>
        <v>平面位置/可视性</v>
      </c>
      <c r="AA26" s="1575">
        <f t="shared" si="3"/>
        <v>1</v>
      </c>
      <c r="AB26" s="1575">
        <f t="shared" si="4"/>
        <v>1</v>
      </c>
      <c r="AC26" s="1575">
        <f t="shared" si="5"/>
        <v>1</v>
      </c>
    </row>
    <row r="27" spans="1:29" s="1219" customFormat="1" ht="15.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3"/>
      <c r="Q27" s="1150" t="str">
        <f t="shared" si="11"/>
        <v>人流量</v>
      </c>
      <c r="R27" s="1567" t="s">
        <v>8</v>
      </c>
      <c r="S27" s="1568">
        <f>F27</f>
        <v>100</v>
      </c>
      <c r="T27" s="1567" t="s">
        <v>8</v>
      </c>
      <c r="U27" s="1568">
        <f>H27</f>
        <v>100</v>
      </c>
      <c r="V27" s="1567" t="s">
        <v>8</v>
      </c>
      <c r="W27" s="1568">
        <f>J27</f>
        <v>100</v>
      </c>
      <c r="X27" s="1569"/>
      <c r="Y27" s="3403"/>
      <c r="Z27" s="1149" t="str">
        <f>Q27</f>
        <v>人流量</v>
      </c>
      <c r="AA27" s="1575">
        <f>D27/F27</f>
        <v>1</v>
      </c>
      <c r="AB27" s="1575">
        <f>D27/H27</f>
        <v>1</v>
      </c>
      <c r="AC27" s="1575">
        <f>D27/J27</f>
        <v>1</v>
      </c>
    </row>
    <row r="28" spans="1:29" ht="15.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3"/>
      <c r="Z28" s="1574" t="str">
        <f t="shared" ref="Z28:Z46" si="15">Q28</f>
        <v>楼层</v>
      </c>
      <c r="AA28" s="1575">
        <f t="shared" si="3"/>
        <v>1</v>
      </c>
      <c r="AB28" s="1575">
        <f t="shared" si="4"/>
        <v>1</v>
      </c>
      <c r="AC28" s="1575">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3"/>
      <c r="Q29" s="1571">
        <f t="shared" si="11"/>
        <v>111</v>
      </c>
      <c r="R29" s="1572" t="s">
        <v>8</v>
      </c>
      <c r="S29" s="1573">
        <f t="shared" si="12"/>
        <v>100</v>
      </c>
      <c r="T29" s="1572" t="s">
        <v>8</v>
      </c>
      <c r="U29" s="1573">
        <f t="shared" si="13"/>
        <v>100</v>
      </c>
      <c r="V29" s="1572" t="s">
        <v>8</v>
      </c>
      <c r="W29" s="1573">
        <f t="shared" si="14"/>
        <v>100</v>
      </c>
      <c r="X29" s="1566"/>
      <c r="Y29" s="3403"/>
      <c r="Z29" s="1574">
        <f t="shared" si="15"/>
        <v>111</v>
      </c>
      <c r="AA29" s="1575">
        <f t="shared" si="3"/>
        <v>1</v>
      </c>
      <c r="AB29" s="1575">
        <f t="shared" si="4"/>
        <v>1</v>
      </c>
      <c r="AC29" s="1575">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5">
      <c r="A32" s="2907" t="s">
        <v>2714</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4" t="s">
        <v>515</v>
      </c>
      <c r="Q32" s="1571" t="str">
        <f t="shared" si="11"/>
        <v>商业类型</v>
      </c>
      <c r="R32" s="1572" t="s">
        <v>8</v>
      </c>
      <c r="S32" s="1573">
        <f t="shared" si="12"/>
        <v>100</v>
      </c>
      <c r="T32" s="1572" t="s">
        <v>8</v>
      </c>
      <c r="U32" s="1573">
        <f t="shared" si="13"/>
        <v>100</v>
      </c>
      <c r="V32" s="1572" t="s">
        <v>8</v>
      </c>
      <c r="W32" s="1573">
        <f t="shared" si="14"/>
        <v>100</v>
      </c>
      <c r="X32" s="1566"/>
      <c r="Y32" s="3405" t="s">
        <v>515</v>
      </c>
      <c r="Z32" s="1574" t="str">
        <f t="shared" si="15"/>
        <v>商业类型</v>
      </c>
      <c r="AA32" s="1575">
        <f t="shared" si="3"/>
        <v>1</v>
      </c>
      <c r="AB32" s="1575">
        <f t="shared" si="4"/>
        <v>1</v>
      </c>
      <c r="AC32" s="1575">
        <f t="shared" si="5"/>
        <v>1</v>
      </c>
    </row>
    <row r="33" spans="1:29" s="1338" customFormat="1" ht="15.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5"/>
      <c r="Q33" s="1604" t="str">
        <f t="shared" si="11"/>
        <v>项目建筑规模</v>
      </c>
      <c r="R33" s="1576" t="s">
        <v>8</v>
      </c>
      <c r="S33" s="1577" t="e">
        <f t="shared" si="12"/>
        <v>#N/A</v>
      </c>
      <c r="T33" s="1576" t="s">
        <v>8</v>
      </c>
      <c r="U33" s="1577" t="e">
        <f t="shared" si="13"/>
        <v>#N/A</v>
      </c>
      <c r="V33" s="1576" t="s">
        <v>8</v>
      </c>
      <c r="W33" s="1577" t="e">
        <f t="shared" si="14"/>
        <v>#N/A</v>
      </c>
      <c r="X33" s="1578"/>
      <c r="Y33" s="3405"/>
      <c r="Z33" s="1579" t="str">
        <f t="shared" si="15"/>
        <v>项目建筑规模</v>
      </c>
      <c r="AA33" s="1575" t="e">
        <f t="shared" si="3"/>
        <v>#N/A</v>
      </c>
      <c r="AB33" s="1575" t="e">
        <f t="shared" si="4"/>
        <v>#N/A</v>
      </c>
      <c r="AC33" s="1575" t="e">
        <f t="shared" si="5"/>
        <v>#N/A</v>
      </c>
    </row>
    <row r="34" spans="1:29" ht="15.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5"/>
      <c r="Q34" s="1571" t="str">
        <f t="shared" si="11"/>
        <v>建筑结构</v>
      </c>
      <c r="R34" s="1572" t="s">
        <v>8</v>
      </c>
      <c r="S34" s="1573">
        <f t="shared" si="12"/>
        <v>100</v>
      </c>
      <c r="T34" s="1572" t="s">
        <v>8</v>
      </c>
      <c r="U34" s="1573">
        <f t="shared" si="13"/>
        <v>100</v>
      </c>
      <c r="V34" s="1572" t="s">
        <v>8</v>
      </c>
      <c r="W34" s="1573">
        <f t="shared" si="14"/>
        <v>100</v>
      </c>
      <c r="X34" s="1566"/>
      <c r="Y34" s="3405"/>
      <c r="Z34" s="1574" t="str">
        <f t="shared" si="15"/>
        <v>建筑结构</v>
      </c>
      <c r="AA34" s="1575">
        <f t="shared" si="3"/>
        <v>1</v>
      </c>
      <c r="AB34" s="1575">
        <f t="shared" si="4"/>
        <v>1</v>
      </c>
      <c r="AC34" s="1575">
        <f t="shared" si="5"/>
        <v>1</v>
      </c>
    </row>
    <row r="35" spans="1:29" ht="15.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5"/>
      <c r="Q35" s="1571" t="str">
        <f t="shared" si="11"/>
        <v>公共部分装修</v>
      </c>
      <c r="R35" s="1572" t="s">
        <v>8</v>
      </c>
      <c r="S35" s="1573">
        <f t="shared" si="12"/>
        <v>100</v>
      </c>
      <c r="T35" s="1572" t="s">
        <v>8</v>
      </c>
      <c r="U35" s="1573">
        <f t="shared" si="13"/>
        <v>100</v>
      </c>
      <c r="V35" s="1572" t="s">
        <v>8</v>
      </c>
      <c r="W35" s="1573">
        <f t="shared" si="14"/>
        <v>100</v>
      </c>
      <c r="X35" s="1566"/>
      <c r="Y35" s="3405"/>
      <c r="Z35" s="1574" t="str">
        <f t="shared" si="15"/>
        <v>公共部分装修</v>
      </c>
      <c r="AA35" s="1575">
        <f t="shared" si="3"/>
        <v>1</v>
      </c>
      <c r="AB35" s="1575">
        <f t="shared" si="4"/>
        <v>1</v>
      </c>
      <c r="AC35" s="1575">
        <f t="shared" si="5"/>
        <v>1</v>
      </c>
    </row>
    <row r="36" spans="1:29" ht="15.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5"/>
      <c r="Q36" s="1571" t="str">
        <f t="shared" si="11"/>
        <v>成新度</v>
      </c>
      <c r="R36" s="1572" t="s">
        <v>8</v>
      </c>
      <c r="S36" s="1573" t="e">
        <f t="shared" si="12"/>
        <v>#N/A</v>
      </c>
      <c r="T36" s="1572" t="s">
        <v>8</v>
      </c>
      <c r="U36" s="1573" t="e">
        <f t="shared" si="13"/>
        <v>#N/A</v>
      </c>
      <c r="V36" s="1572" t="s">
        <v>8</v>
      </c>
      <c r="W36" s="1573" t="e">
        <f t="shared" si="14"/>
        <v>#N/A</v>
      </c>
      <c r="X36" s="1566"/>
      <c r="Y36" s="3405"/>
      <c r="Z36" s="1574" t="str">
        <f t="shared" si="15"/>
        <v>成新度</v>
      </c>
      <c r="AA36" s="1575" t="e">
        <f t="shared" si="3"/>
        <v>#N/A</v>
      </c>
      <c r="AB36" s="1575" t="e">
        <f t="shared" si="4"/>
        <v>#N/A</v>
      </c>
      <c r="AC36" s="1575" t="e">
        <f t="shared" si="5"/>
        <v>#N/A</v>
      </c>
    </row>
    <row r="37" spans="1:29" s="1219" customFormat="1" ht="15.5">
      <c r="A37" s="600"/>
      <c r="B37" s="1895" t="s">
        <v>2524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5"/>
      <c r="Q37" s="1150" t="str">
        <f t="shared" si="11"/>
        <v>市政基础设施</v>
      </c>
      <c r="R37" s="1567" t="s">
        <v>8</v>
      </c>
      <c r="S37" s="1568">
        <f t="shared" si="12"/>
        <v>100</v>
      </c>
      <c r="T37" s="1567" t="s">
        <v>8</v>
      </c>
      <c r="U37" s="1568">
        <f t="shared" si="13"/>
        <v>100</v>
      </c>
      <c r="V37" s="1567" t="s">
        <v>8</v>
      </c>
      <c r="W37" s="1568">
        <f t="shared" si="14"/>
        <v>100</v>
      </c>
      <c r="X37" s="1569"/>
      <c r="Y37" s="3405"/>
      <c r="Z37" s="1149" t="str">
        <f t="shared" si="15"/>
        <v>市政基础设施</v>
      </c>
      <c r="AA37" s="1570">
        <f t="shared" si="3"/>
        <v>1</v>
      </c>
      <c r="AB37" s="1570">
        <f t="shared" si="4"/>
        <v>1</v>
      </c>
      <c r="AC37" s="1570">
        <f t="shared" si="5"/>
        <v>1</v>
      </c>
    </row>
    <row r="38" spans="1:29" ht="15.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5" t="s">
        <v>731</v>
      </c>
      <c r="Q38" s="1571" t="str">
        <f t="shared" si="11"/>
        <v>业态</v>
      </c>
      <c r="R38" s="1572" t="s">
        <v>8</v>
      </c>
      <c r="S38" s="1573">
        <f t="shared" si="12"/>
        <v>100</v>
      </c>
      <c r="T38" s="1572" t="s">
        <v>8</v>
      </c>
      <c r="U38" s="1573">
        <f t="shared" si="13"/>
        <v>100</v>
      </c>
      <c r="V38" s="1572" t="s">
        <v>8</v>
      </c>
      <c r="W38" s="1573">
        <f t="shared" si="14"/>
        <v>100</v>
      </c>
      <c r="X38" s="1566"/>
      <c r="Y38" s="3405" t="s">
        <v>731</v>
      </c>
      <c r="Z38" s="1574" t="str">
        <f t="shared" si="15"/>
        <v>业态</v>
      </c>
      <c r="AA38" s="1575">
        <f t="shared" si="3"/>
        <v>1</v>
      </c>
      <c r="AB38" s="1575">
        <f t="shared" si="4"/>
        <v>1</v>
      </c>
      <c r="AC38" s="1575">
        <f t="shared" si="5"/>
        <v>1</v>
      </c>
    </row>
    <row r="39" spans="1:29" ht="15.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5"/>
      <c r="Q39" s="1571" t="str">
        <f t="shared" si="11"/>
        <v>层高</v>
      </c>
      <c r="R39" s="1572" t="s">
        <v>8</v>
      </c>
      <c r="S39" s="1573">
        <f t="shared" si="12"/>
        <v>100</v>
      </c>
      <c r="T39" s="1572" t="s">
        <v>8</v>
      </c>
      <c r="U39" s="1573">
        <f t="shared" si="13"/>
        <v>100</v>
      </c>
      <c r="V39" s="1572" t="s">
        <v>8</v>
      </c>
      <c r="W39" s="1573">
        <f t="shared" si="14"/>
        <v>100</v>
      </c>
      <c r="X39" s="1566"/>
      <c r="Y39" s="3405"/>
      <c r="Z39" s="1574" t="str">
        <f t="shared" si="15"/>
        <v>层高</v>
      </c>
      <c r="AA39" s="1575">
        <f t="shared" si="3"/>
        <v>1</v>
      </c>
      <c r="AB39" s="1575">
        <f t="shared" si="4"/>
        <v>1</v>
      </c>
      <c r="AC39" s="1575">
        <f t="shared" si="5"/>
        <v>1</v>
      </c>
    </row>
    <row r="40" spans="1:29" ht="15.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5"/>
      <c r="Q40" s="1571" t="str">
        <f t="shared" si="11"/>
        <v>单套建筑面积</v>
      </c>
      <c r="R40" s="1572" t="s">
        <v>8</v>
      </c>
      <c r="S40" s="1573">
        <f t="shared" si="12"/>
        <v>100</v>
      </c>
      <c r="T40" s="1572" t="s">
        <v>8</v>
      </c>
      <c r="U40" s="1573">
        <f t="shared" si="13"/>
        <v>100</v>
      </c>
      <c r="V40" s="1572" t="s">
        <v>8</v>
      </c>
      <c r="W40" s="1573">
        <f t="shared" si="14"/>
        <v>100</v>
      </c>
      <c r="X40" s="1566"/>
      <c r="Y40" s="3405"/>
      <c r="Z40" s="1574" t="str">
        <f t="shared" si="15"/>
        <v>单套建筑面积</v>
      </c>
      <c r="AA40" s="1575">
        <f t="shared" si="3"/>
        <v>1</v>
      </c>
      <c r="AB40" s="1575">
        <f t="shared" si="4"/>
        <v>1</v>
      </c>
      <c r="AC40" s="1575">
        <f t="shared" si="5"/>
        <v>1</v>
      </c>
    </row>
    <row r="41" spans="1:29" s="1338" customFormat="1" ht="15.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5"/>
      <c r="Q41" s="1604" t="str">
        <f t="shared" si="11"/>
        <v>进深比</v>
      </c>
      <c r="R41" s="1576" t="s">
        <v>8</v>
      </c>
      <c r="S41" s="1577">
        <f t="shared" si="12"/>
        <v>100</v>
      </c>
      <c r="T41" s="1576" t="s">
        <v>8</v>
      </c>
      <c r="U41" s="1577">
        <f t="shared" si="13"/>
        <v>100</v>
      </c>
      <c r="V41" s="1576" t="s">
        <v>8</v>
      </c>
      <c r="W41" s="1577">
        <f t="shared" si="14"/>
        <v>100</v>
      </c>
      <c r="X41" s="1578"/>
      <c r="Y41" s="3405"/>
      <c r="Z41" s="1579" t="str">
        <f t="shared" si="15"/>
        <v>进深比</v>
      </c>
      <c r="AA41" s="1575">
        <f t="shared" si="3"/>
        <v>1</v>
      </c>
      <c r="AB41" s="1575">
        <f t="shared" si="4"/>
        <v>1</v>
      </c>
      <c r="AC41" s="1575">
        <f t="shared" si="5"/>
        <v>1</v>
      </c>
    </row>
    <row r="42" spans="1:29" ht="15.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5"/>
      <c r="Q42" s="1571" t="str">
        <f t="shared" si="11"/>
        <v>内部装修</v>
      </c>
      <c r="R42" s="1572" t="s">
        <v>8</v>
      </c>
      <c r="S42" s="1573">
        <f t="shared" si="12"/>
        <v>100</v>
      </c>
      <c r="T42" s="1572" t="s">
        <v>8</v>
      </c>
      <c r="U42" s="1573">
        <f t="shared" si="13"/>
        <v>100</v>
      </c>
      <c r="V42" s="1572" t="s">
        <v>8</v>
      </c>
      <c r="W42" s="1573">
        <f t="shared" si="14"/>
        <v>100</v>
      </c>
      <c r="X42" s="1566"/>
      <c r="Y42" s="3405"/>
      <c r="Z42" s="1574" t="str">
        <f t="shared" si="15"/>
        <v>内部装修</v>
      </c>
      <c r="AA42" s="1575">
        <f t="shared" si="3"/>
        <v>1</v>
      </c>
      <c r="AB42" s="1575">
        <f t="shared" si="4"/>
        <v>1</v>
      </c>
      <c r="AC42" s="1575">
        <f t="shared" si="5"/>
        <v>1</v>
      </c>
    </row>
    <row r="43" spans="1:29" ht="28">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5"/>
      <c r="Q43" s="1571" t="str">
        <f t="shared" si="11"/>
        <v>内部装修维护情况</v>
      </c>
      <c r="R43" s="1572" t="s">
        <v>8</v>
      </c>
      <c r="S43" s="1573">
        <f t="shared" si="12"/>
        <v>100</v>
      </c>
      <c r="T43" s="1572" t="s">
        <v>8</v>
      </c>
      <c r="U43" s="1573">
        <f t="shared" si="13"/>
        <v>100</v>
      </c>
      <c r="V43" s="1572" t="s">
        <v>8</v>
      </c>
      <c r="W43" s="1573">
        <f t="shared" si="14"/>
        <v>100</v>
      </c>
      <c r="X43" s="1566"/>
      <c r="Y43" s="3405"/>
      <c r="Z43" s="1574" t="str">
        <f t="shared" si="15"/>
        <v>内部装修维护情况</v>
      </c>
      <c r="AA43" s="1575">
        <f t="shared" si="3"/>
        <v>1</v>
      </c>
      <c r="AB43" s="1575">
        <f t="shared" si="4"/>
        <v>1</v>
      </c>
      <c r="AC43" s="1575">
        <f t="shared" si="5"/>
        <v>1</v>
      </c>
    </row>
    <row r="44" spans="1:29" s="1219"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5"/>
      <c r="Q44" s="1150">
        <f t="shared" si="11"/>
        <v>111</v>
      </c>
      <c r="R44" s="1567" t="s">
        <v>8</v>
      </c>
      <c r="S44" s="1568">
        <f t="shared" si="12"/>
        <v>100</v>
      </c>
      <c r="T44" s="1567" t="s">
        <v>8</v>
      </c>
      <c r="U44" s="1568">
        <f t="shared" si="13"/>
        <v>100</v>
      </c>
      <c r="V44" s="1567" t="s">
        <v>8</v>
      </c>
      <c r="W44" s="1568">
        <f t="shared" si="14"/>
        <v>100</v>
      </c>
      <c r="X44" s="1569"/>
      <c r="Y44" s="3405"/>
      <c r="Z44" s="1149">
        <f t="shared" si="15"/>
        <v>111</v>
      </c>
      <c r="AA44" s="1570">
        <f t="shared" si="3"/>
        <v>1</v>
      </c>
      <c r="AB44" s="1570">
        <f t="shared" si="4"/>
        <v>1</v>
      </c>
      <c r="AC44" s="1570">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5"/>
      <c r="Q45" s="1571">
        <f t="shared" si="11"/>
        <v>111</v>
      </c>
      <c r="R45" s="1572" t="s">
        <v>8</v>
      </c>
      <c r="S45" s="1573">
        <f t="shared" si="12"/>
        <v>100</v>
      </c>
      <c r="T45" s="1572" t="s">
        <v>8</v>
      </c>
      <c r="U45" s="1573">
        <f t="shared" si="13"/>
        <v>100</v>
      </c>
      <c r="V45" s="1572" t="s">
        <v>8</v>
      </c>
      <c r="W45" s="1573">
        <f t="shared" si="14"/>
        <v>100</v>
      </c>
      <c r="X45" s="1566"/>
      <c r="Y45" s="3405"/>
      <c r="Z45" s="1574">
        <f t="shared" si="15"/>
        <v>111</v>
      </c>
      <c r="AA45" s="1575">
        <f t="shared" si="3"/>
        <v>1</v>
      </c>
      <c r="AB45" s="1575">
        <f t="shared" si="4"/>
        <v>1</v>
      </c>
      <c r="AC45" s="1575">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5"/>
      <c r="Q46" s="1571">
        <f t="shared" si="11"/>
        <v>111</v>
      </c>
      <c r="R46" s="1572" t="s">
        <v>8</v>
      </c>
      <c r="S46" s="1573">
        <f t="shared" si="12"/>
        <v>100</v>
      </c>
      <c r="T46" s="1572" t="s">
        <v>8</v>
      </c>
      <c r="U46" s="1573">
        <f t="shared" si="13"/>
        <v>100</v>
      </c>
      <c r="V46" s="1572" t="s">
        <v>8</v>
      </c>
      <c r="W46" s="1573">
        <f t="shared" si="14"/>
        <v>100</v>
      </c>
      <c r="X46" s="1566"/>
      <c r="Y46" s="3505"/>
      <c r="Z46" s="1574">
        <f t="shared" si="15"/>
        <v>111</v>
      </c>
      <c r="AA46" s="1575">
        <f t="shared" si="3"/>
        <v>1</v>
      </c>
      <c r="AB46" s="1575">
        <f t="shared" si="4"/>
        <v>1</v>
      </c>
      <c r="AC46" s="1575">
        <f t="shared" si="5"/>
        <v>1</v>
      </c>
    </row>
    <row r="47" spans="1:29">
      <c r="A47" s="607" t="s">
        <v>701</v>
      </c>
      <c r="B47" s="887"/>
      <c r="C47" s="2627" t="s">
        <v>1</v>
      </c>
      <c r="D47" s="2628"/>
      <c r="E47" s="2629"/>
      <c r="F47" s="2630"/>
      <c r="G47" s="2631"/>
      <c r="H47" s="2632"/>
      <c r="I47" s="2629"/>
      <c r="J47" s="2632"/>
      <c r="K47" s="1610"/>
      <c r="L47" s="2144"/>
      <c r="M47" s="2145"/>
      <c r="N47" s="2134"/>
      <c r="O47" s="2145"/>
      <c r="P47" s="3400" t="str">
        <f>A47</f>
        <v>成交单价（元/平方米）</v>
      </c>
      <c r="Q47" s="3400"/>
      <c r="R47" s="3504">
        <f>E47</f>
        <v>0</v>
      </c>
      <c r="S47" s="3504"/>
      <c r="T47" s="3504">
        <f>G47</f>
        <v>0</v>
      </c>
      <c r="U47" s="3504"/>
      <c r="V47" s="3504">
        <f>I47</f>
        <v>0</v>
      </c>
      <c r="W47" s="3504"/>
      <c r="X47" s="1558"/>
      <c r="Y47" s="1580"/>
      <c r="Z47" s="1558"/>
      <c r="AA47" s="1558"/>
      <c r="AB47" s="1558"/>
      <c r="AC47" s="1558"/>
    </row>
    <row r="48" spans="1:29" ht="14.5" thickBot="1">
      <c r="A48" s="615" t="s">
        <v>2719</v>
      </c>
      <c r="B48" s="888"/>
      <c r="C48" s="2633" t="e">
        <f>R49</f>
        <v>#DIV/0!</v>
      </c>
      <c r="D48" s="2634"/>
      <c r="E48" s="2635" t="e">
        <f>R48</f>
        <v>#DIV/0!</v>
      </c>
      <c r="F48" s="2635"/>
      <c r="G48" s="2633" t="e">
        <f>T48</f>
        <v>#DIV/0!</v>
      </c>
      <c r="H48" s="2634"/>
      <c r="I48" s="2635" t="e">
        <f>V48</f>
        <v>#DIV/0!</v>
      </c>
      <c r="J48" s="2634"/>
      <c r="K48" s="1611"/>
      <c r="L48" s="2144"/>
      <c r="M48" s="2145"/>
      <c r="N48" s="2134"/>
      <c r="O48" s="2145"/>
      <c r="P48" s="3400" t="str">
        <f>A48</f>
        <v>比较价格（元/平方米）</v>
      </c>
      <c r="Q48" s="340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4.5" thickBot="1">
      <c r="A49" s="621" t="s">
        <v>2882</v>
      </c>
      <c r="B49" s="622"/>
      <c r="C49" s="2636" t="e">
        <f>R49</f>
        <v>#DIV/0!</v>
      </c>
      <c r="D49" s="2636"/>
      <c r="E49" s="2636"/>
      <c r="F49" s="2636"/>
      <c r="G49" s="2636"/>
      <c r="H49" s="2636"/>
      <c r="I49" s="2636"/>
      <c r="J49" s="2636"/>
      <c r="K49" s="1612"/>
      <c r="L49" s="2144"/>
      <c r="M49" s="2145"/>
      <c r="N49" s="2134"/>
      <c r="O49" s="2145"/>
      <c r="P49" s="3423" t="str">
        <f>A49</f>
        <v>估价对象XX用房的比较价格（楼面单价，元/平方米）</v>
      </c>
      <c r="Q49" s="3424"/>
      <c r="R49" s="3503" t="e">
        <f>IF(F1="售价",ROUND(AVERAGE(R48:V48),0),ROUND(AVERAGE(R48:V48),1))</f>
        <v>#DIV/0!</v>
      </c>
      <c r="S49" s="3503"/>
      <c r="T49" s="3503"/>
      <c r="U49" s="3503"/>
      <c r="V49" s="3503"/>
      <c r="W49" s="3503"/>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c r="A58" s="645" t="s">
        <v>494</v>
      </c>
      <c r="B58" s="646"/>
      <c r="C58" s="2802" t="str">
        <f>YEAR(C7)&amp;"-"&amp;MONTH(C7)</f>
        <v>2020-3</v>
      </c>
      <c r="D58" s="2804">
        <f>EDATE(C58,-1)</f>
        <v>43862</v>
      </c>
      <c r="E58" s="2804">
        <f t="shared" ref="E58:O58" si="16">EDATE(D58,-1)</f>
        <v>43831</v>
      </c>
      <c r="F58" s="2804">
        <f t="shared" si="16"/>
        <v>43800</v>
      </c>
      <c r="G58" s="2804">
        <f t="shared" si="16"/>
        <v>43770</v>
      </c>
      <c r="H58" s="2804">
        <f t="shared" si="16"/>
        <v>43739</v>
      </c>
      <c r="I58" s="2804">
        <f t="shared" si="16"/>
        <v>43709</v>
      </c>
      <c r="J58" s="2804">
        <f t="shared" si="16"/>
        <v>43678</v>
      </c>
      <c r="K58" s="2804">
        <f t="shared" si="16"/>
        <v>43647</v>
      </c>
      <c r="L58" s="2804">
        <f t="shared" si="16"/>
        <v>43617</v>
      </c>
      <c r="M58" s="2804">
        <f t="shared" si="16"/>
        <v>43586</v>
      </c>
      <c r="N58" s="2804">
        <f t="shared" si="16"/>
        <v>43556</v>
      </c>
      <c r="O58" s="2804">
        <f t="shared" si="16"/>
        <v>43525</v>
      </c>
      <c r="P58" s="2160"/>
      <c r="Q58" s="2161"/>
      <c r="R58" s="2161"/>
      <c r="S58" s="2161"/>
      <c r="T58" s="2161"/>
      <c r="U58" s="2161"/>
      <c r="V58" s="2161"/>
      <c r="W58" s="2161"/>
      <c r="X58" s="2161"/>
      <c r="Y58" s="2161"/>
      <c r="Z58" s="2161"/>
      <c r="AA58" s="2161"/>
      <c r="AB58" s="2161"/>
      <c r="AC58" s="2161"/>
    </row>
    <row r="59" spans="1:29" s="1219"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4.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4.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8.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4.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4.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4.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4.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4.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4.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4.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4.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4.5" thickTop="1">
      <c r="A80" s="669"/>
      <c r="B80" s="1896" t="s">
        <v>2516</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4.5" thickTop="1">
      <c r="A82" s="669"/>
      <c r="B82" s="2597" t="s">
        <v>2517</v>
      </c>
      <c r="C82" s="2598" t="s">
        <v>2518</v>
      </c>
      <c r="D82" s="2598" t="s">
        <v>2519</v>
      </c>
      <c r="E82" s="2598" t="s">
        <v>2520</v>
      </c>
      <c r="F82" s="2598" t="s">
        <v>2521</v>
      </c>
      <c r="G82" s="2598" t="s">
        <v>2522</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4.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4.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4.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4.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4.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4.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4.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4.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4.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4.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4.5" thickTop="1">
      <c r="A112" s="728"/>
      <c r="B112" s="1896" t="s">
        <v>2515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4.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4.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4.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4.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4.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8.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4.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4.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
  <cols>
    <col min="1" max="1" width="10.453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2221"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c r="A4" s="512" t="s">
        <v>486</v>
      </c>
      <c r="B4" s="513"/>
      <c r="C4" s="3406" t="s">
        <v>487</v>
      </c>
      <c r="D4" s="3407"/>
      <c r="E4" s="3432" t="s">
        <v>488</v>
      </c>
      <c r="F4" s="3433"/>
      <c r="G4" s="3406" t="s">
        <v>489</v>
      </c>
      <c r="H4" s="3407"/>
      <c r="I4" s="3406" t="s">
        <v>490</v>
      </c>
      <c r="J4" s="3407"/>
      <c r="K4" s="514" t="s">
        <v>491</v>
      </c>
      <c r="L4" s="2133"/>
      <c r="M4" s="2134"/>
      <c r="N4" s="2134"/>
      <c r="O4" s="2134"/>
      <c r="P4" s="3506" t="s">
        <v>492</v>
      </c>
      <c r="Q4" s="3409"/>
      <c r="R4" s="3394" t="s">
        <v>488</v>
      </c>
      <c r="S4" s="3395"/>
      <c r="T4" s="3394" t="s">
        <v>489</v>
      </c>
      <c r="U4" s="3395"/>
      <c r="V4" s="3414" t="s">
        <v>490</v>
      </c>
      <c r="W4" s="3414"/>
      <c r="X4" s="1566"/>
      <c r="Y4" s="3394" t="s">
        <v>492</v>
      </c>
      <c r="Z4" s="3395"/>
      <c r="AA4" s="3389" t="s">
        <v>488</v>
      </c>
      <c r="AB4" s="3389" t="s">
        <v>489</v>
      </c>
      <c r="AC4" s="3389" t="s">
        <v>490</v>
      </c>
    </row>
    <row r="5" spans="1:29">
      <c r="A5" s="515"/>
      <c r="B5" s="516"/>
      <c r="C5" s="3436" t="s">
        <v>2876</v>
      </c>
      <c r="D5" s="3418"/>
      <c r="E5" s="3434" t="s">
        <v>2877</v>
      </c>
      <c r="F5" s="3435"/>
      <c r="G5" s="3436" t="s">
        <v>2878</v>
      </c>
      <c r="H5" s="3418"/>
      <c r="I5" s="3436" t="s">
        <v>2879</v>
      </c>
      <c r="J5" s="3418"/>
      <c r="K5" s="514"/>
      <c r="L5" s="2133"/>
      <c r="M5" s="2134"/>
      <c r="N5" s="2134"/>
      <c r="O5" s="2134"/>
      <c r="P5" s="3507"/>
      <c r="Q5" s="3411"/>
      <c r="R5" s="3396"/>
      <c r="S5" s="3397"/>
      <c r="T5" s="3396"/>
      <c r="U5" s="3397"/>
      <c r="V5" s="3414"/>
      <c r="W5" s="3414"/>
      <c r="X5" s="1566"/>
      <c r="Y5" s="3396"/>
      <c r="Z5" s="3397"/>
      <c r="AA5" s="3390"/>
      <c r="AB5" s="3390"/>
      <c r="AC5" s="3390"/>
    </row>
    <row r="6" spans="1:29" ht="15" thickBot="1">
      <c r="A6" s="517"/>
      <c r="B6" s="518"/>
      <c r="C6" s="3415" t="s">
        <v>2880</v>
      </c>
      <c r="D6" s="3416"/>
      <c r="E6" s="3437" t="s">
        <v>2880</v>
      </c>
      <c r="F6" s="3438"/>
      <c r="G6" s="3415" t="s">
        <v>2880</v>
      </c>
      <c r="H6" s="3416"/>
      <c r="I6" s="3415" t="s">
        <v>2880</v>
      </c>
      <c r="J6" s="3416"/>
      <c r="K6" s="514" t="s">
        <v>493</v>
      </c>
      <c r="L6" s="2133"/>
      <c r="M6" s="2134"/>
      <c r="N6" s="2134"/>
      <c r="O6" s="2134"/>
      <c r="P6" s="3508"/>
      <c r="Q6" s="3413"/>
      <c r="R6" s="3396"/>
      <c r="S6" s="3397"/>
      <c r="T6" s="3398"/>
      <c r="U6" s="3399"/>
      <c r="V6" s="3414"/>
      <c r="W6" s="3414"/>
      <c r="X6" s="1566"/>
      <c r="Y6" s="3398"/>
      <c r="Z6" s="3399"/>
      <c r="AA6" s="3391"/>
      <c r="AB6" s="3391"/>
      <c r="AC6" s="3391"/>
    </row>
    <row r="7" spans="1:29" s="1219" customFormat="1" ht="14.5" thickBot="1">
      <c r="A7" s="2912"/>
      <c r="B7" s="2919" t="s">
        <v>494</v>
      </c>
      <c r="C7" s="519">
        <f>'数据-取费表'!B2</f>
        <v>43899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1" t="s">
        <v>495</v>
      </c>
      <c r="Q7" s="3401"/>
      <c r="R7" s="1567" t="s">
        <v>8</v>
      </c>
      <c r="S7" s="1568">
        <f t="shared" ref="S7:S15" si="0">F7</f>
        <v>0</v>
      </c>
      <c r="T7" s="1567" t="s">
        <v>8</v>
      </c>
      <c r="U7" s="1568">
        <f t="shared" ref="U7:U15" si="1">H7</f>
        <v>0</v>
      </c>
      <c r="V7" s="1567" t="s">
        <v>8</v>
      </c>
      <c r="W7" s="1568">
        <f t="shared" ref="W7:W15" si="2">J7</f>
        <v>0</v>
      </c>
      <c r="X7" s="1569"/>
      <c r="Y7" s="3392" t="s">
        <v>495</v>
      </c>
      <c r="Z7" s="3393"/>
      <c r="AA7" s="1570" t="e">
        <f>D7/F7</f>
        <v>#DIV/0!</v>
      </c>
      <c r="AB7" s="1570" t="e">
        <f>D7/H7</f>
        <v>#DIV/0!</v>
      </c>
      <c r="AC7" s="1570" t="e">
        <f>D7/J7</f>
        <v>#DIV/0!</v>
      </c>
    </row>
    <row r="8" spans="1:29" s="1219" customFormat="1" ht="14.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1" t="s">
        <v>498</v>
      </c>
      <c r="Q8" s="3393"/>
      <c r="R8" s="1567" t="s">
        <v>8</v>
      </c>
      <c r="S8" s="1568">
        <f t="shared" si="0"/>
        <v>0</v>
      </c>
      <c r="T8" s="1567" t="s">
        <v>8</v>
      </c>
      <c r="U8" s="1568">
        <f t="shared" si="1"/>
        <v>0</v>
      </c>
      <c r="V8" s="1567" t="s">
        <v>8</v>
      </c>
      <c r="W8" s="1568">
        <f t="shared" si="2"/>
        <v>0</v>
      </c>
      <c r="X8" s="1569"/>
      <c r="Y8" s="3392" t="s">
        <v>498</v>
      </c>
      <c r="Z8" s="3393"/>
      <c r="AA8" s="1570" t="e">
        <f t="shared" ref="AA8:AA47" si="3">D8/F8</f>
        <v>#DIV/0!</v>
      </c>
      <c r="AB8" s="1570" t="e">
        <f t="shared" ref="AB8:AB47" si="4">D8/H8</f>
        <v>#DIV/0!</v>
      </c>
      <c r="AC8" s="1570" t="e">
        <f t="shared" ref="AC8:AC47" si="5">D8/J8</f>
        <v>#DIV/0!</v>
      </c>
    </row>
    <row r="9" spans="1:29" s="1219" customFormat="1">
      <c r="A9" s="2914"/>
      <c r="B9" s="2921" t="s">
        <v>2715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0" t="s">
        <v>500</v>
      </c>
      <c r="Q9" s="1150" t="str">
        <f t="shared" ref="Q9:Q15" si="6">B9</f>
        <v>用途</v>
      </c>
      <c r="R9" s="1567" t="s">
        <v>8</v>
      </c>
      <c r="S9" s="1568">
        <f t="shared" si="0"/>
        <v>100</v>
      </c>
      <c r="T9" s="1567" t="s">
        <v>8</v>
      </c>
      <c r="U9" s="1568">
        <f t="shared" si="1"/>
        <v>100</v>
      </c>
      <c r="V9" s="1567" t="s">
        <v>8</v>
      </c>
      <c r="W9" s="1568">
        <f t="shared" si="2"/>
        <v>100</v>
      </c>
      <c r="X9" s="1569"/>
      <c r="Y9" s="3357" t="s">
        <v>501</v>
      </c>
      <c r="Z9" s="1149" t="str">
        <f t="shared" ref="Z9:Z15" si="7">Q9</f>
        <v>用途</v>
      </c>
      <c r="AA9" s="1570">
        <f t="shared" si="3"/>
        <v>1</v>
      </c>
      <c r="AB9" s="1570">
        <f t="shared" si="4"/>
        <v>1</v>
      </c>
      <c r="AC9" s="1570">
        <f t="shared" si="5"/>
        <v>1</v>
      </c>
    </row>
    <row r="10" spans="1:29" s="1337" customFormat="1" ht="28">
      <c r="A10" s="2915"/>
      <c r="B10" s="2920" t="s">
        <v>2716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6"/>
      <c r="B11" s="2920" t="s">
        <v>2717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98">
      <c r="A15" s="2910" t="s">
        <v>2713</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2" t="s">
        <v>505</v>
      </c>
      <c r="Q15" s="1571" t="str">
        <f t="shared" si="6"/>
        <v>办公集聚程度</v>
      </c>
      <c r="R15" s="1572" t="s">
        <v>8</v>
      </c>
      <c r="S15" s="1573">
        <f t="shared" si="0"/>
        <v>100</v>
      </c>
      <c r="T15" s="1572" t="s">
        <v>8</v>
      </c>
      <c r="U15" s="1573">
        <f t="shared" si="1"/>
        <v>100</v>
      </c>
      <c r="V15" s="1572" t="s">
        <v>8</v>
      </c>
      <c r="W15" s="1573">
        <f t="shared" si="2"/>
        <v>100</v>
      </c>
      <c r="X15" s="1566"/>
      <c r="Y15" s="3402" t="s">
        <v>505</v>
      </c>
      <c r="Z15" s="1574" t="str">
        <f t="shared" si="7"/>
        <v>办公集聚程度</v>
      </c>
      <c r="AA15" s="1575">
        <f t="shared" si="3"/>
        <v>1</v>
      </c>
      <c r="AB15" s="1575">
        <f t="shared" si="4"/>
        <v>1</v>
      </c>
      <c r="AC15" s="1575">
        <f t="shared" si="5"/>
        <v>1</v>
      </c>
    </row>
    <row r="16" spans="1:29" ht="15.5">
      <c r="A16" s="532"/>
      <c r="B16" s="553"/>
      <c r="C16" s="554"/>
      <c r="D16" s="555"/>
      <c r="E16" s="576"/>
      <c r="F16" s="555"/>
      <c r="G16" s="554"/>
      <c r="H16" s="559"/>
      <c r="I16" s="576"/>
      <c r="J16" s="555"/>
      <c r="K16" s="899"/>
      <c r="L16" s="2142"/>
      <c r="M16" s="2134"/>
      <c r="N16" s="2134"/>
      <c r="O16" s="2134"/>
      <c r="P16" s="3403"/>
      <c r="Q16" s="1571"/>
      <c r="R16" s="1572"/>
      <c r="S16" s="1573"/>
      <c r="T16" s="1572"/>
      <c r="U16" s="1573"/>
      <c r="V16" s="1572"/>
      <c r="W16" s="1573"/>
      <c r="X16" s="1566"/>
      <c r="Y16" s="3403"/>
      <c r="Z16" s="1574"/>
      <c r="AA16" s="1575">
        <v>1</v>
      </c>
      <c r="AB16" s="1575">
        <v>1</v>
      </c>
      <c r="AC16" s="1575">
        <v>1</v>
      </c>
    </row>
    <row r="17" spans="1:29" ht="126">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5">
      <c r="A18" s="532"/>
      <c r="B18" s="566"/>
      <c r="C18" s="567"/>
      <c r="D18" s="559"/>
      <c r="E18" s="569"/>
      <c r="F18" s="559"/>
      <c r="G18" s="568"/>
      <c r="H18" s="555"/>
      <c r="I18" s="568"/>
      <c r="J18" s="555"/>
      <c r="K18" s="899"/>
      <c r="L18" s="2142"/>
      <c r="M18" s="2134"/>
      <c r="N18" s="2134"/>
      <c r="O18" s="2134"/>
      <c r="P18" s="3403"/>
      <c r="Q18" s="1571"/>
      <c r="R18" s="1572"/>
      <c r="S18" s="1573"/>
      <c r="T18" s="1572"/>
      <c r="U18" s="1573"/>
      <c r="V18" s="1572"/>
      <c r="W18" s="1573"/>
      <c r="X18" s="1566"/>
      <c r="Y18" s="3403"/>
      <c r="Z18" s="1574"/>
      <c r="AA18" s="1575">
        <v>1</v>
      </c>
      <c r="AB18" s="1575">
        <v>1</v>
      </c>
      <c r="AC18" s="1575">
        <v>1</v>
      </c>
    </row>
    <row r="19" spans="1:29" ht="56">
      <c r="A19" s="532"/>
      <c r="B19" s="2603" t="s">
        <v>2505</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5">
      <c r="A20" s="532"/>
      <c r="B20" s="566"/>
      <c r="C20" s="554"/>
      <c r="D20" s="555"/>
      <c r="E20" s="558"/>
      <c r="F20" s="555"/>
      <c r="G20" s="556"/>
      <c r="H20" s="555"/>
      <c r="I20" s="556"/>
      <c r="J20" s="555"/>
      <c r="K20" s="899"/>
      <c r="L20" s="2142"/>
      <c r="M20" s="2134"/>
      <c r="N20" s="2134"/>
      <c r="O20" s="2134"/>
      <c r="P20" s="3403"/>
      <c r="Q20" s="1571"/>
      <c r="R20" s="1572"/>
      <c r="S20" s="1573"/>
      <c r="T20" s="1572"/>
      <c r="U20" s="1573"/>
      <c r="V20" s="1572"/>
      <c r="W20" s="1573"/>
      <c r="X20" s="1566"/>
      <c r="Y20" s="3403"/>
      <c r="Z20" s="1574"/>
      <c r="AA20" s="1575">
        <v>1</v>
      </c>
      <c r="AB20" s="1575">
        <v>1</v>
      </c>
      <c r="AC20" s="1575">
        <v>1</v>
      </c>
    </row>
    <row r="21" spans="1:29" ht="42">
      <c r="A21" s="532"/>
      <c r="B21" s="2591" t="s">
        <v>2517</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5">
      <c r="A22" s="532"/>
      <c r="B22" s="578"/>
      <c r="C22" s="567"/>
      <c r="D22" s="555"/>
      <c r="E22" s="576"/>
      <c r="F22" s="555"/>
      <c r="G22" s="554"/>
      <c r="H22" s="555"/>
      <c r="I22" s="554"/>
      <c r="J22" s="555"/>
      <c r="K22" s="2602"/>
      <c r="L22" s="2142"/>
      <c r="M22" s="2134"/>
      <c r="N22" s="2134"/>
      <c r="O22" s="2134"/>
      <c r="P22" s="3403"/>
      <c r="Q22" s="2579"/>
      <c r="R22" s="1572"/>
      <c r="S22" s="1573"/>
      <c r="T22" s="1572"/>
      <c r="U22" s="1573"/>
      <c r="V22" s="1572"/>
      <c r="W22" s="1573"/>
      <c r="X22" s="2581"/>
      <c r="Y22" s="3403"/>
      <c r="Z22" s="2580"/>
      <c r="AA22" s="1575">
        <v>1</v>
      </c>
      <c r="AB22" s="1575">
        <v>1</v>
      </c>
      <c r="AC22" s="1575">
        <v>1</v>
      </c>
    </row>
    <row r="23" spans="1:29" ht="98">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5">
      <c r="A24" s="532"/>
      <c r="B24" s="578"/>
      <c r="C24" s="554"/>
      <c r="D24" s="555"/>
      <c r="E24" s="558"/>
      <c r="F24" s="555"/>
      <c r="G24" s="556"/>
      <c r="H24" s="555"/>
      <c r="I24" s="556"/>
      <c r="J24" s="555"/>
      <c r="K24" s="899"/>
      <c r="L24" s="2142"/>
      <c r="M24" s="2134"/>
      <c r="N24" s="2134"/>
      <c r="O24" s="2134"/>
      <c r="P24" s="3403"/>
      <c r="Q24" s="1571"/>
      <c r="R24" s="1572"/>
      <c r="S24" s="1573"/>
      <c r="T24" s="1572"/>
      <c r="U24" s="1573"/>
      <c r="V24" s="1572"/>
      <c r="W24" s="1573"/>
      <c r="X24" s="1566"/>
      <c r="Y24" s="3403"/>
      <c r="Z24" s="1574"/>
      <c r="AA24" s="1575">
        <v>1</v>
      </c>
      <c r="AB24" s="1575">
        <v>1</v>
      </c>
      <c r="AC24" s="1575">
        <v>1</v>
      </c>
    </row>
    <row r="25" spans="1:29" ht="28">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3"/>
      <c r="Q25" s="1571" t="str">
        <f>B25</f>
        <v>毗邻道路的类型与等级</v>
      </c>
      <c r="R25" s="1572" t="s">
        <v>8</v>
      </c>
      <c r="S25" s="1573">
        <f>F25</f>
        <v>100</v>
      </c>
      <c r="T25" s="1572" t="s">
        <v>8</v>
      </c>
      <c r="U25" s="1573">
        <f>H25</f>
        <v>100</v>
      </c>
      <c r="V25" s="1572" t="s">
        <v>8</v>
      </c>
      <c r="W25" s="1573">
        <f>J25</f>
        <v>100</v>
      </c>
      <c r="X25" s="1566"/>
      <c r="Y25" s="3403"/>
      <c r="Z25" s="1574" t="str">
        <f>Q25</f>
        <v>毗邻道路的类型与等级</v>
      </c>
      <c r="AA25" s="1575">
        <f t="shared" si="3"/>
        <v>1</v>
      </c>
      <c r="AB25" s="1575">
        <f t="shared" si="4"/>
        <v>1</v>
      </c>
      <c r="AC25" s="1575">
        <f t="shared" si="5"/>
        <v>1</v>
      </c>
    </row>
    <row r="26" spans="1:29" ht="15.5">
      <c r="A26" s="515"/>
      <c r="B26" s="566"/>
      <c r="C26" s="580"/>
      <c r="D26" s="540"/>
      <c r="E26" s="583"/>
      <c r="F26" s="540"/>
      <c r="G26" s="580"/>
      <c r="H26" s="540"/>
      <c r="I26" s="583"/>
      <c r="J26" s="540"/>
      <c r="K26" s="899"/>
      <c r="L26" s="2142"/>
      <c r="M26" s="2134"/>
      <c r="N26" s="2134"/>
      <c r="O26" s="2134"/>
      <c r="P26" s="3403"/>
      <c r="Q26" s="1571"/>
      <c r="R26" s="1572"/>
      <c r="S26" s="1573"/>
      <c r="T26" s="1572"/>
      <c r="U26" s="1573"/>
      <c r="V26" s="1572"/>
      <c r="W26" s="1573"/>
      <c r="X26" s="1566"/>
      <c r="Y26" s="3403"/>
      <c r="Z26" s="1574"/>
      <c r="AA26" s="1575">
        <v>1</v>
      </c>
      <c r="AB26" s="1575">
        <v>1</v>
      </c>
      <c r="AC26" s="1575">
        <v>1</v>
      </c>
    </row>
    <row r="27" spans="1:29" ht="15.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3"/>
      <c r="Q27" s="1571" t="str">
        <f t="shared" ref="Q27:Q47" si="11">B27</f>
        <v>楼层</v>
      </c>
      <c r="R27" s="1572" t="s">
        <v>8</v>
      </c>
      <c r="S27" s="1573">
        <f>F27</f>
        <v>100</v>
      </c>
      <c r="T27" s="1572" t="s">
        <v>8</v>
      </c>
      <c r="U27" s="1573">
        <f>H27</f>
        <v>100</v>
      </c>
      <c r="V27" s="1572" t="s">
        <v>8</v>
      </c>
      <c r="W27" s="1573">
        <f>J27</f>
        <v>100</v>
      </c>
      <c r="X27" s="1566"/>
      <c r="Y27" s="3403"/>
      <c r="Z27" s="1574" t="str">
        <f>Q27</f>
        <v>楼层</v>
      </c>
      <c r="AA27" s="1575">
        <f t="shared" si="3"/>
        <v>1</v>
      </c>
      <c r="AB27" s="1575">
        <f t="shared" si="4"/>
        <v>1</v>
      </c>
      <c r="AC27" s="1575">
        <f t="shared" si="5"/>
        <v>1</v>
      </c>
    </row>
    <row r="28" spans="1:29" s="1219" customFormat="1" ht="15.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3"/>
      <c r="Q28" s="1150" t="str">
        <f t="shared" si="11"/>
        <v>朝向</v>
      </c>
      <c r="R28" s="1567" t="s">
        <v>8</v>
      </c>
      <c r="S28" s="1568">
        <f>F28</f>
        <v>100</v>
      </c>
      <c r="T28" s="1567" t="s">
        <v>8</v>
      </c>
      <c r="U28" s="1568">
        <f>H28</f>
        <v>100</v>
      </c>
      <c r="V28" s="1567" t="s">
        <v>8</v>
      </c>
      <c r="W28" s="1568">
        <f>J28</f>
        <v>100</v>
      </c>
      <c r="X28" s="1569"/>
      <c r="Y28" s="3403"/>
      <c r="Z28" s="1149" t="str">
        <f>Q28</f>
        <v>朝向</v>
      </c>
      <c r="AA28" s="1575">
        <f>D28/F28</f>
        <v>1</v>
      </c>
      <c r="AB28" s="1575">
        <f>D28/H28</f>
        <v>1</v>
      </c>
      <c r="AC28" s="1575">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3"/>
      <c r="Q29" s="1571">
        <f t="shared" si="11"/>
        <v>111</v>
      </c>
      <c r="R29" s="1572" t="s">
        <v>8</v>
      </c>
      <c r="S29" s="1573">
        <f t="shared" ref="S29:S47" si="12">F29</f>
        <v>100</v>
      </c>
      <c r="T29" s="1572" t="s">
        <v>8</v>
      </c>
      <c r="U29" s="1573">
        <f t="shared" ref="U29:U47" si="13">H29</f>
        <v>100</v>
      </c>
      <c r="V29" s="1572" t="s">
        <v>8</v>
      </c>
      <c r="W29" s="1573">
        <f t="shared" ref="W29:W47" si="14">J29</f>
        <v>100</v>
      </c>
      <c r="X29" s="1566"/>
      <c r="Y29" s="3403"/>
      <c r="Z29" s="1574">
        <f t="shared" ref="Z29:Z47" si="15">Q29</f>
        <v>111</v>
      </c>
      <c r="AA29" s="1575">
        <f t="shared" si="3"/>
        <v>1</v>
      </c>
      <c r="AB29" s="1575">
        <f t="shared" si="4"/>
        <v>1</v>
      </c>
      <c r="AC29" s="1575">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3"/>
      <c r="Q32" s="1571">
        <f t="shared" si="11"/>
        <v>111</v>
      </c>
      <c r="R32" s="1572" t="s">
        <v>8</v>
      </c>
      <c r="S32" s="1573">
        <f t="shared" si="12"/>
        <v>100</v>
      </c>
      <c r="T32" s="1572" t="s">
        <v>8</v>
      </c>
      <c r="U32" s="1573">
        <f t="shared" si="13"/>
        <v>100</v>
      </c>
      <c r="V32" s="1572" t="s">
        <v>8</v>
      </c>
      <c r="W32" s="1573">
        <f t="shared" si="14"/>
        <v>100</v>
      </c>
      <c r="X32" s="1566"/>
      <c r="Y32" s="3403"/>
      <c r="Z32" s="1574">
        <f t="shared" si="15"/>
        <v>111</v>
      </c>
      <c r="AA32" s="1575">
        <f t="shared" si="3"/>
        <v>1</v>
      </c>
      <c r="AB32" s="1575">
        <f t="shared" si="4"/>
        <v>1</v>
      </c>
      <c r="AC32" s="1575">
        <f t="shared" si="5"/>
        <v>1</v>
      </c>
    </row>
    <row r="33" spans="1:29" ht="15.5">
      <c r="A33" s="2907" t="s">
        <v>2714</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4" t="s">
        <v>515</v>
      </c>
      <c r="Q33" s="1571" t="str">
        <f t="shared" si="11"/>
        <v>建筑类型</v>
      </c>
      <c r="R33" s="1572" t="s">
        <v>8</v>
      </c>
      <c r="S33" s="1573">
        <f t="shared" si="12"/>
        <v>100</v>
      </c>
      <c r="T33" s="1572" t="s">
        <v>8</v>
      </c>
      <c r="U33" s="1573">
        <f t="shared" si="13"/>
        <v>100</v>
      </c>
      <c r="V33" s="1572" t="s">
        <v>8</v>
      </c>
      <c r="W33" s="1573">
        <f t="shared" si="14"/>
        <v>100</v>
      </c>
      <c r="X33" s="1566"/>
      <c r="Y33" s="3405" t="s">
        <v>515</v>
      </c>
      <c r="Z33" s="1574" t="str">
        <f t="shared" si="15"/>
        <v>建筑类型</v>
      </c>
      <c r="AA33" s="1575">
        <f t="shared" si="3"/>
        <v>1</v>
      </c>
      <c r="AB33" s="1575">
        <f t="shared" si="4"/>
        <v>1</v>
      </c>
      <c r="AC33" s="1575">
        <f t="shared" si="5"/>
        <v>1</v>
      </c>
    </row>
    <row r="34" spans="1:29" s="1338" customFormat="1" ht="15.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5"/>
      <c r="Q34" s="1604" t="str">
        <f t="shared" si="11"/>
        <v>项目建筑规模</v>
      </c>
      <c r="R34" s="1576" t="s">
        <v>8</v>
      </c>
      <c r="S34" s="1577" t="e">
        <f t="shared" si="12"/>
        <v>#N/A</v>
      </c>
      <c r="T34" s="1576" t="s">
        <v>8</v>
      </c>
      <c r="U34" s="1577" t="e">
        <f t="shared" si="13"/>
        <v>#N/A</v>
      </c>
      <c r="V34" s="1576" t="s">
        <v>8</v>
      </c>
      <c r="W34" s="1577" t="e">
        <f t="shared" si="14"/>
        <v>#N/A</v>
      </c>
      <c r="X34" s="1578"/>
      <c r="Y34" s="3405"/>
      <c r="Z34" s="1579" t="str">
        <f t="shared" si="15"/>
        <v>项目建筑规模</v>
      </c>
      <c r="AA34" s="1575" t="e">
        <f t="shared" si="3"/>
        <v>#N/A</v>
      </c>
      <c r="AB34" s="1575" t="e">
        <f t="shared" si="4"/>
        <v>#N/A</v>
      </c>
      <c r="AC34" s="1575" t="e">
        <f t="shared" si="5"/>
        <v>#N/A</v>
      </c>
    </row>
    <row r="35" spans="1:29" ht="15.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5"/>
      <c r="Q35" s="1571" t="str">
        <f t="shared" si="11"/>
        <v>建筑结构</v>
      </c>
      <c r="R35" s="1572" t="s">
        <v>8</v>
      </c>
      <c r="S35" s="1573">
        <f t="shared" si="12"/>
        <v>100</v>
      </c>
      <c r="T35" s="1572" t="s">
        <v>8</v>
      </c>
      <c r="U35" s="1573">
        <f t="shared" si="13"/>
        <v>100</v>
      </c>
      <c r="V35" s="1572" t="s">
        <v>8</v>
      </c>
      <c r="W35" s="1573">
        <f t="shared" si="14"/>
        <v>100</v>
      </c>
      <c r="X35" s="1566"/>
      <c r="Y35" s="3405"/>
      <c r="Z35" s="1574" t="str">
        <f t="shared" si="15"/>
        <v>建筑结构</v>
      </c>
      <c r="AA35" s="1575">
        <f t="shared" si="3"/>
        <v>1</v>
      </c>
      <c r="AB35" s="1575">
        <f t="shared" si="4"/>
        <v>1</v>
      </c>
      <c r="AC35" s="1575">
        <f t="shared" si="5"/>
        <v>1</v>
      </c>
    </row>
    <row r="36" spans="1:29" ht="15.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5"/>
      <c r="Q36" s="1571" t="str">
        <f t="shared" si="11"/>
        <v>公共部分装修</v>
      </c>
      <c r="R36" s="1572" t="s">
        <v>8</v>
      </c>
      <c r="S36" s="1573">
        <f t="shared" si="12"/>
        <v>100</v>
      </c>
      <c r="T36" s="1572" t="s">
        <v>8</v>
      </c>
      <c r="U36" s="1573">
        <f t="shared" si="13"/>
        <v>100</v>
      </c>
      <c r="V36" s="1572" t="s">
        <v>8</v>
      </c>
      <c r="W36" s="1573">
        <f t="shared" si="14"/>
        <v>100</v>
      </c>
      <c r="X36" s="1566"/>
      <c r="Y36" s="3405"/>
      <c r="Z36" s="1574" t="str">
        <f t="shared" si="15"/>
        <v>公共部分装修</v>
      </c>
      <c r="AA36" s="1575">
        <f t="shared" si="3"/>
        <v>1</v>
      </c>
      <c r="AB36" s="1575">
        <f t="shared" si="4"/>
        <v>1</v>
      </c>
      <c r="AC36" s="1575">
        <f t="shared" si="5"/>
        <v>1</v>
      </c>
    </row>
    <row r="37" spans="1:29" ht="15.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5"/>
      <c r="Q37" s="1571" t="str">
        <f t="shared" si="11"/>
        <v>成新度</v>
      </c>
      <c r="R37" s="1572" t="s">
        <v>8</v>
      </c>
      <c r="S37" s="1573" t="e">
        <f t="shared" si="12"/>
        <v>#N/A</v>
      </c>
      <c r="T37" s="1572" t="s">
        <v>8</v>
      </c>
      <c r="U37" s="1573" t="e">
        <f t="shared" si="13"/>
        <v>#N/A</v>
      </c>
      <c r="V37" s="1572" t="s">
        <v>8</v>
      </c>
      <c r="W37" s="1573" t="e">
        <f t="shared" si="14"/>
        <v>#N/A</v>
      </c>
      <c r="X37" s="1566"/>
      <c r="Y37" s="3405"/>
      <c r="Z37" s="1574" t="str">
        <f t="shared" si="15"/>
        <v>成新度</v>
      </c>
      <c r="AA37" s="1575" t="e">
        <f t="shared" si="3"/>
        <v>#N/A</v>
      </c>
      <c r="AB37" s="1575" t="e">
        <f t="shared" si="4"/>
        <v>#N/A</v>
      </c>
      <c r="AC37" s="1575" t="e">
        <f t="shared" si="5"/>
        <v>#N/A</v>
      </c>
    </row>
    <row r="38" spans="1:29" s="1219" customFormat="1" ht="15.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5"/>
      <c r="Q38" s="1150" t="str">
        <f t="shared" si="11"/>
        <v>写字楼等级</v>
      </c>
      <c r="R38" s="1567" t="s">
        <v>8</v>
      </c>
      <c r="S38" s="1568">
        <f t="shared" si="12"/>
        <v>100</v>
      </c>
      <c r="T38" s="1567" t="s">
        <v>8</v>
      </c>
      <c r="U38" s="1568">
        <f t="shared" si="13"/>
        <v>100</v>
      </c>
      <c r="V38" s="1567" t="s">
        <v>8</v>
      </c>
      <c r="W38" s="1568">
        <f t="shared" si="14"/>
        <v>100</v>
      </c>
      <c r="X38" s="1569"/>
      <c r="Y38" s="3405"/>
      <c r="Z38" s="1149" t="str">
        <f t="shared" si="15"/>
        <v>写字楼等级</v>
      </c>
      <c r="AA38" s="1570">
        <f t="shared" si="3"/>
        <v>1</v>
      </c>
      <c r="AB38" s="1570">
        <f t="shared" si="4"/>
        <v>1</v>
      </c>
      <c r="AC38" s="1570">
        <f t="shared" si="5"/>
        <v>1</v>
      </c>
    </row>
    <row r="39" spans="1:29" ht="15.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5" t="s">
        <v>515</v>
      </c>
      <c r="Q39" s="1571" t="str">
        <f t="shared" si="11"/>
        <v>物业管理</v>
      </c>
      <c r="R39" s="1572" t="s">
        <v>8</v>
      </c>
      <c r="S39" s="1573">
        <f t="shared" si="12"/>
        <v>100</v>
      </c>
      <c r="T39" s="1572" t="s">
        <v>8</v>
      </c>
      <c r="U39" s="1573">
        <f t="shared" si="13"/>
        <v>100</v>
      </c>
      <c r="V39" s="1572" t="s">
        <v>8</v>
      </c>
      <c r="W39" s="1573">
        <f t="shared" si="14"/>
        <v>100</v>
      </c>
      <c r="X39" s="1566"/>
      <c r="Y39" s="3405" t="s">
        <v>515</v>
      </c>
      <c r="Z39" s="1574" t="str">
        <f t="shared" si="15"/>
        <v>物业管理</v>
      </c>
      <c r="AA39" s="1575">
        <f t="shared" si="3"/>
        <v>1</v>
      </c>
      <c r="AB39" s="1575">
        <f t="shared" si="4"/>
        <v>1</v>
      </c>
      <c r="AC39" s="1575">
        <f t="shared" si="5"/>
        <v>1</v>
      </c>
    </row>
    <row r="40" spans="1:29" ht="15.5">
      <c r="A40" s="594"/>
      <c r="B40" s="1895" t="s">
        <v>2524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5"/>
      <c r="Q40" s="1571" t="str">
        <f t="shared" si="11"/>
        <v>市政基础设施</v>
      </c>
      <c r="R40" s="1572" t="s">
        <v>8</v>
      </c>
      <c r="S40" s="1573">
        <f t="shared" si="12"/>
        <v>100</v>
      </c>
      <c r="T40" s="1572" t="s">
        <v>8</v>
      </c>
      <c r="U40" s="1573">
        <f t="shared" si="13"/>
        <v>100</v>
      </c>
      <c r="V40" s="1572" t="s">
        <v>8</v>
      </c>
      <c r="W40" s="1573">
        <f t="shared" si="14"/>
        <v>100</v>
      </c>
      <c r="X40" s="1566"/>
      <c r="Y40" s="3405"/>
      <c r="Z40" s="1574" t="str">
        <f t="shared" si="15"/>
        <v>市政基础设施</v>
      </c>
      <c r="AA40" s="1575">
        <f t="shared" si="3"/>
        <v>1</v>
      </c>
      <c r="AB40" s="1575">
        <f t="shared" si="4"/>
        <v>1</v>
      </c>
      <c r="AC40" s="1575">
        <f t="shared" si="5"/>
        <v>1</v>
      </c>
    </row>
    <row r="41" spans="1:29" ht="15.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5"/>
      <c r="Q41" s="1571" t="str">
        <f t="shared" si="11"/>
        <v>层高</v>
      </c>
      <c r="R41" s="1572" t="s">
        <v>8</v>
      </c>
      <c r="S41" s="1573">
        <f t="shared" si="12"/>
        <v>100</v>
      </c>
      <c r="T41" s="1572" t="s">
        <v>8</v>
      </c>
      <c r="U41" s="1573">
        <f t="shared" si="13"/>
        <v>100</v>
      </c>
      <c r="V41" s="1572" t="s">
        <v>8</v>
      </c>
      <c r="W41" s="1573">
        <f t="shared" si="14"/>
        <v>100</v>
      </c>
      <c r="X41" s="1566"/>
      <c r="Y41" s="3405"/>
      <c r="Z41" s="1574" t="str">
        <f t="shared" si="15"/>
        <v>层高</v>
      </c>
      <c r="AA41" s="1575">
        <f t="shared" si="3"/>
        <v>1</v>
      </c>
      <c r="AB41" s="1575">
        <f t="shared" si="4"/>
        <v>1</v>
      </c>
      <c r="AC41" s="1575">
        <f t="shared" si="5"/>
        <v>1</v>
      </c>
    </row>
    <row r="42" spans="1:29" s="1338" customFormat="1" ht="15.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5"/>
      <c r="Q42" s="1604" t="str">
        <f t="shared" si="11"/>
        <v>单套建筑面积</v>
      </c>
      <c r="R42" s="1576" t="s">
        <v>8</v>
      </c>
      <c r="S42" s="1577">
        <f t="shared" si="12"/>
        <v>100</v>
      </c>
      <c r="T42" s="1576" t="s">
        <v>8</v>
      </c>
      <c r="U42" s="1577">
        <f t="shared" si="13"/>
        <v>100</v>
      </c>
      <c r="V42" s="1576" t="s">
        <v>8</v>
      </c>
      <c r="W42" s="1577">
        <f t="shared" si="14"/>
        <v>100</v>
      </c>
      <c r="X42" s="1578"/>
      <c r="Y42" s="3405"/>
      <c r="Z42" s="1579" t="str">
        <f t="shared" si="15"/>
        <v>单套建筑面积</v>
      </c>
      <c r="AA42" s="1575">
        <f t="shared" si="3"/>
        <v>1</v>
      </c>
      <c r="AB42" s="1575">
        <f t="shared" si="4"/>
        <v>1</v>
      </c>
      <c r="AC42" s="1575">
        <f t="shared" si="5"/>
        <v>1</v>
      </c>
    </row>
    <row r="43" spans="1:29" ht="15.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5"/>
      <c r="Q43" s="1571" t="str">
        <f t="shared" si="11"/>
        <v>内部装修</v>
      </c>
      <c r="R43" s="1572" t="s">
        <v>8</v>
      </c>
      <c r="S43" s="1573">
        <f t="shared" si="12"/>
        <v>100</v>
      </c>
      <c r="T43" s="1572" t="s">
        <v>8</v>
      </c>
      <c r="U43" s="1573">
        <f t="shared" si="13"/>
        <v>100</v>
      </c>
      <c r="V43" s="1572" t="s">
        <v>8</v>
      </c>
      <c r="W43" s="1573">
        <f t="shared" si="14"/>
        <v>100</v>
      </c>
      <c r="X43" s="1566"/>
      <c r="Y43" s="3405"/>
      <c r="Z43" s="1574" t="str">
        <f t="shared" si="15"/>
        <v>内部装修</v>
      </c>
      <c r="AA43" s="1575">
        <f t="shared" si="3"/>
        <v>1</v>
      </c>
      <c r="AB43" s="1575">
        <f t="shared" si="4"/>
        <v>1</v>
      </c>
      <c r="AC43" s="1575">
        <f t="shared" si="5"/>
        <v>1</v>
      </c>
    </row>
    <row r="44" spans="1:29" ht="28">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5"/>
      <c r="Q44" s="1571" t="str">
        <f t="shared" si="11"/>
        <v>内部装修维护情况</v>
      </c>
      <c r="R44" s="1572" t="s">
        <v>8</v>
      </c>
      <c r="S44" s="1573">
        <f t="shared" si="12"/>
        <v>100</v>
      </c>
      <c r="T44" s="1572" t="s">
        <v>8</v>
      </c>
      <c r="U44" s="1573">
        <f t="shared" si="13"/>
        <v>100</v>
      </c>
      <c r="V44" s="1572" t="s">
        <v>8</v>
      </c>
      <c r="W44" s="1573">
        <f t="shared" si="14"/>
        <v>100</v>
      </c>
      <c r="X44" s="1566"/>
      <c r="Y44" s="3405"/>
      <c r="Z44" s="1574" t="str">
        <f t="shared" si="15"/>
        <v>内部装修维护情况</v>
      </c>
      <c r="AA44" s="1575">
        <f t="shared" si="3"/>
        <v>1</v>
      </c>
      <c r="AB44" s="1575">
        <f t="shared" si="4"/>
        <v>1</v>
      </c>
      <c r="AC44" s="1575">
        <f t="shared" si="5"/>
        <v>1</v>
      </c>
    </row>
    <row r="45" spans="1:29" s="1219"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5"/>
      <c r="Q45" s="1150">
        <f t="shared" si="11"/>
        <v>111</v>
      </c>
      <c r="R45" s="1567" t="s">
        <v>8</v>
      </c>
      <c r="S45" s="1568">
        <f t="shared" si="12"/>
        <v>100</v>
      </c>
      <c r="T45" s="1567" t="s">
        <v>8</v>
      </c>
      <c r="U45" s="1568">
        <f t="shared" si="13"/>
        <v>100</v>
      </c>
      <c r="V45" s="1567" t="s">
        <v>8</v>
      </c>
      <c r="W45" s="1568">
        <f t="shared" si="14"/>
        <v>100</v>
      </c>
      <c r="X45" s="1569"/>
      <c r="Y45" s="3405"/>
      <c r="Z45" s="1149">
        <f t="shared" si="15"/>
        <v>111</v>
      </c>
      <c r="AA45" s="1570">
        <f t="shared" si="3"/>
        <v>1</v>
      </c>
      <c r="AB45" s="1570">
        <f t="shared" si="4"/>
        <v>1</v>
      </c>
      <c r="AC45" s="1570">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5"/>
      <c r="Q46" s="1571">
        <f t="shared" si="11"/>
        <v>111</v>
      </c>
      <c r="R46" s="1572" t="s">
        <v>8</v>
      </c>
      <c r="S46" s="1573">
        <f t="shared" si="12"/>
        <v>100</v>
      </c>
      <c r="T46" s="1572" t="s">
        <v>8</v>
      </c>
      <c r="U46" s="1573">
        <f t="shared" si="13"/>
        <v>100</v>
      </c>
      <c r="V46" s="1572" t="s">
        <v>8</v>
      </c>
      <c r="W46" s="1573">
        <f t="shared" si="14"/>
        <v>100</v>
      </c>
      <c r="X46" s="1566"/>
      <c r="Y46" s="3405"/>
      <c r="Z46" s="1574">
        <f t="shared" si="15"/>
        <v>111</v>
      </c>
      <c r="AA46" s="1575">
        <f t="shared" si="3"/>
        <v>1</v>
      </c>
      <c r="AB46" s="1575">
        <f t="shared" si="4"/>
        <v>1</v>
      </c>
      <c r="AC46" s="1575">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5"/>
      <c r="Q47" s="1571">
        <f t="shared" si="11"/>
        <v>111</v>
      </c>
      <c r="R47" s="1572" t="s">
        <v>8</v>
      </c>
      <c r="S47" s="1573">
        <f t="shared" si="12"/>
        <v>100</v>
      </c>
      <c r="T47" s="1572" t="s">
        <v>8</v>
      </c>
      <c r="U47" s="1573">
        <f t="shared" si="13"/>
        <v>100</v>
      </c>
      <c r="V47" s="1572" t="s">
        <v>8</v>
      </c>
      <c r="W47" s="1573">
        <f t="shared" si="14"/>
        <v>100</v>
      </c>
      <c r="X47" s="1566"/>
      <c r="Y47" s="3505"/>
      <c r="Z47" s="1574">
        <f t="shared" si="15"/>
        <v>111</v>
      </c>
      <c r="AA47" s="1575">
        <f t="shared" si="3"/>
        <v>1</v>
      </c>
      <c r="AB47" s="1575">
        <f t="shared" si="4"/>
        <v>1</v>
      </c>
      <c r="AC47" s="1575">
        <f t="shared" si="5"/>
        <v>1</v>
      </c>
    </row>
    <row r="48" spans="1:29">
      <c r="A48" s="607" t="s">
        <v>701</v>
      </c>
      <c r="B48" s="887"/>
      <c r="C48" s="2627" t="s">
        <v>1</v>
      </c>
      <c r="D48" s="2628"/>
      <c r="E48" s="2629"/>
      <c r="F48" s="2630"/>
      <c r="G48" s="2631"/>
      <c r="H48" s="2632"/>
      <c r="I48" s="2629"/>
      <c r="J48" s="2632"/>
      <c r="K48" s="1610"/>
      <c r="L48" s="2144"/>
      <c r="M48" s="2134"/>
      <c r="N48" s="2134"/>
      <c r="O48" s="2134"/>
      <c r="P48" s="3424" t="str">
        <f>A48</f>
        <v>成交单价（元/平方米）</v>
      </c>
      <c r="Q48" s="3400"/>
      <c r="R48" s="3504">
        <f>E48</f>
        <v>0</v>
      </c>
      <c r="S48" s="3504"/>
      <c r="T48" s="3504">
        <f>G48</f>
        <v>0</v>
      </c>
      <c r="U48" s="3504"/>
      <c r="V48" s="3504">
        <f>I48</f>
        <v>0</v>
      </c>
      <c r="W48" s="3504"/>
      <c r="X48" s="1558"/>
      <c r="Y48" s="1580"/>
      <c r="Z48" s="1558"/>
      <c r="AA48" s="1558"/>
      <c r="AB48" s="1558"/>
      <c r="AC48" s="1558"/>
    </row>
    <row r="49" spans="1:29" ht="14.5" thickBot="1">
      <c r="A49" s="615" t="s">
        <v>2719</v>
      </c>
      <c r="B49" s="888"/>
      <c r="C49" s="2633" t="e">
        <f>R50</f>
        <v>#DIV/0!</v>
      </c>
      <c r="D49" s="2634"/>
      <c r="E49" s="2635" t="e">
        <f>R49</f>
        <v>#DIV/0!</v>
      </c>
      <c r="F49" s="2635"/>
      <c r="G49" s="2633" t="e">
        <f>T49</f>
        <v>#DIV/0!</v>
      </c>
      <c r="H49" s="2634"/>
      <c r="I49" s="2635" t="e">
        <f>V49</f>
        <v>#DIV/0!</v>
      </c>
      <c r="J49" s="2634"/>
      <c r="K49" s="1611"/>
      <c r="L49" s="2144"/>
      <c r="M49" s="2134"/>
      <c r="N49" s="2134"/>
      <c r="O49" s="2134"/>
      <c r="P49" s="3424" t="str">
        <f>A49</f>
        <v>比较价格（元/平方米）</v>
      </c>
      <c r="Q49" s="340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8"/>
      <c r="Y49" s="1558"/>
      <c r="Z49" s="1558"/>
      <c r="AA49" s="1558"/>
      <c r="AB49" s="1558"/>
      <c r="AC49" s="1558"/>
    </row>
    <row r="50" spans="1:29" ht="14.5" thickBot="1">
      <c r="A50" s="621" t="s">
        <v>2882</v>
      </c>
      <c r="B50" s="622"/>
      <c r="C50" s="2636" t="e">
        <f>R50</f>
        <v>#DIV/0!</v>
      </c>
      <c r="D50" s="2636"/>
      <c r="E50" s="2636"/>
      <c r="F50" s="2636"/>
      <c r="G50" s="2636"/>
      <c r="H50" s="2636"/>
      <c r="I50" s="2636"/>
      <c r="J50" s="2636"/>
      <c r="K50" s="1612"/>
      <c r="L50" s="2144"/>
      <c r="M50" s="2134"/>
      <c r="N50" s="2134"/>
      <c r="O50" s="2134"/>
      <c r="P50" s="3509" t="str">
        <f>A50</f>
        <v>估价对象XX用房的比较价格（楼面单价，元/平方米）</v>
      </c>
      <c r="Q50" s="3424"/>
      <c r="R50" s="3503" t="e">
        <f>IF(F1="售价",ROUND(AVERAGE(R49:V49),0),ROUND(AVERAGE(R49:V49),1))</f>
        <v>#DIV/0!</v>
      </c>
      <c r="S50" s="3503"/>
      <c r="T50" s="3503"/>
      <c r="U50" s="3503"/>
      <c r="V50" s="3503"/>
      <c r="W50" s="3503"/>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5"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c r="A59" s="645" t="s">
        <v>494</v>
      </c>
      <c r="B59" s="646"/>
      <c r="C59" s="2802" t="str">
        <f>YEAR(C7)&amp;"-"&amp;MONTH(C7)</f>
        <v>2020-3</v>
      </c>
      <c r="D59" s="2804">
        <f>EDATE(C59,-1)</f>
        <v>43862</v>
      </c>
      <c r="E59" s="2804">
        <f t="shared" ref="E59:O59" si="16">EDATE(D59,-1)</f>
        <v>43831</v>
      </c>
      <c r="F59" s="2804">
        <f t="shared" si="16"/>
        <v>43800</v>
      </c>
      <c r="G59" s="2804">
        <f t="shared" si="16"/>
        <v>43770</v>
      </c>
      <c r="H59" s="2804">
        <f t="shared" si="16"/>
        <v>43739</v>
      </c>
      <c r="I59" s="2804">
        <f t="shared" si="16"/>
        <v>43709</v>
      </c>
      <c r="J59" s="2804">
        <f t="shared" si="16"/>
        <v>43678</v>
      </c>
      <c r="K59" s="2804">
        <f t="shared" si="16"/>
        <v>43647</v>
      </c>
      <c r="L59" s="2804">
        <f t="shared" si="16"/>
        <v>43617</v>
      </c>
      <c r="M59" s="2804">
        <f t="shared" si="16"/>
        <v>43586</v>
      </c>
      <c r="N59" s="2804">
        <f t="shared" si="16"/>
        <v>43556</v>
      </c>
      <c r="O59" s="2804">
        <f t="shared" si="16"/>
        <v>43525</v>
      </c>
      <c r="P59" s="2211"/>
      <c r="Q59" s="2161"/>
      <c r="R59" s="2161"/>
      <c r="S59" s="2161"/>
      <c r="T59" s="2161"/>
      <c r="U59" s="2161"/>
      <c r="V59" s="2161"/>
      <c r="W59" s="2161"/>
      <c r="X59" s="2161"/>
      <c r="Y59" s="2161"/>
      <c r="Z59" s="2161"/>
      <c r="AA59" s="2161"/>
      <c r="AB59" s="2161"/>
      <c r="AC59" s="2161"/>
    </row>
    <row r="60" spans="1:29" s="1219"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4.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4.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8.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4.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4.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4.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4.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4.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4.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4.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4.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4.5" thickTop="1">
      <c r="A81" s="669"/>
      <c r="B81" s="1896" t="s">
        <v>2516</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4.5" thickTop="1">
      <c r="A83" s="669"/>
      <c r="B83" s="2597" t="s">
        <v>2517</v>
      </c>
      <c r="C83" s="2598" t="s">
        <v>2518</v>
      </c>
      <c r="D83" s="2598" t="s">
        <v>2519</v>
      </c>
      <c r="E83" s="2598" t="s">
        <v>2520</v>
      </c>
      <c r="F83" s="2598" t="s">
        <v>2521</v>
      </c>
      <c r="G83" s="2598" t="s">
        <v>2522</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4.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8.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4.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4.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4.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4.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4.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4.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4.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4.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4.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4.5" thickTop="1">
      <c r="A117" s="735"/>
      <c r="B117" s="1896" t="s">
        <v>2515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4.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4.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4.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4.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8.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4.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4.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
  <cols>
    <col min="1" max="1" width="10.453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c r="A4" s="512" t="s">
        <v>486</v>
      </c>
      <c r="B4" s="513"/>
      <c r="C4" s="3406" t="s">
        <v>487</v>
      </c>
      <c r="D4" s="3407"/>
      <c r="E4" s="3432" t="s">
        <v>488</v>
      </c>
      <c r="F4" s="3433"/>
      <c r="G4" s="3406" t="s">
        <v>489</v>
      </c>
      <c r="H4" s="3407"/>
      <c r="I4" s="3406" t="s">
        <v>490</v>
      </c>
      <c r="J4" s="3407"/>
      <c r="K4" s="514" t="s">
        <v>491</v>
      </c>
      <c r="L4" s="2133"/>
      <c r="M4" s="2134"/>
      <c r="N4" s="2134"/>
      <c r="O4" s="2134"/>
      <c r="P4" s="3408" t="s">
        <v>492</v>
      </c>
      <c r="Q4" s="3409"/>
      <c r="R4" s="3394" t="s">
        <v>488</v>
      </c>
      <c r="S4" s="3395"/>
      <c r="T4" s="3394" t="s">
        <v>489</v>
      </c>
      <c r="U4" s="3395"/>
      <c r="V4" s="3414" t="s">
        <v>490</v>
      </c>
      <c r="W4" s="3414"/>
      <c r="X4" s="1566"/>
      <c r="Y4" s="3394" t="s">
        <v>492</v>
      </c>
      <c r="Z4" s="3395"/>
      <c r="AA4" s="3389" t="s">
        <v>488</v>
      </c>
      <c r="AB4" s="3390" t="s">
        <v>489</v>
      </c>
      <c r="AC4" s="3389" t="s">
        <v>490</v>
      </c>
    </row>
    <row r="5" spans="1:29">
      <c r="A5" s="515"/>
      <c r="B5" s="516"/>
      <c r="C5" s="3436" t="s">
        <v>2876</v>
      </c>
      <c r="D5" s="3418"/>
      <c r="E5" s="3434" t="s">
        <v>2877</v>
      </c>
      <c r="F5" s="3435"/>
      <c r="G5" s="3436" t="s">
        <v>2878</v>
      </c>
      <c r="H5" s="3418"/>
      <c r="I5" s="3436" t="s">
        <v>2879</v>
      </c>
      <c r="J5" s="3418"/>
      <c r="K5" s="514"/>
      <c r="L5" s="2133"/>
      <c r="M5" s="2134"/>
      <c r="N5" s="2134"/>
      <c r="O5" s="2134"/>
      <c r="P5" s="3410"/>
      <c r="Q5" s="3411"/>
      <c r="R5" s="3396"/>
      <c r="S5" s="3397"/>
      <c r="T5" s="3396"/>
      <c r="U5" s="3397"/>
      <c r="V5" s="3414"/>
      <c r="W5" s="3414"/>
      <c r="X5" s="1566"/>
      <c r="Y5" s="3396"/>
      <c r="Z5" s="3397"/>
      <c r="AA5" s="3390"/>
      <c r="AB5" s="3390"/>
      <c r="AC5" s="3390"/>
    </row>
    <row r="6" spans="1:29" ht="15" thickBot="1">
      <c r="A6" s="517"/>
      <c r="B6" s="518"/>
      <c r="C6" s="3415" t="s">
        <v>2880</v>
      </c>
      <c r="D6" s="3416"/>
      <c r="E6" s="3437" t="s">
        <v>2880</v>
      </c>
      <c r="F6" s="3438"/>
      <c r="G6" s="3415" t="s">
        <v>2880</v>
      </c>
      <c r="H6" s="3416"/>
      <c r="I6" s="3415" t="s">
        <v>2880</v>
      </c>
      <c r="J6" s="3416"/>
      <c r="K6" s="514" t="s">
        <v>493</v>
      </c>
      <c r="L6" s="2133"/>
      <c r="M6" s="2134"/>
      <c r="N6" s="2134"/>
      <c r="O6" s="2134"/>
      <c r="P6" s="3412"/>
      <c r="Q6" s="3413"/>
      <c r="R6" s="3396"/>
      <c r="S6" s="3397"/>
      <c r="T6" s="3398"/>
      <c r="U6" s="3399"/>
      <c r="V6" s="3414"/>
      <c r="W6" s="3414"/>
      <c r="X6" s="1566"/>
      <c r="Y6" s="3398"/>
      <c r="Z6" s="3399"/>
      <c r="AA6" s="3391"/>
      <c r="AB6" s="3391"/>
      <c r="AC6" s="3391"/>
    </row>
    <row r="7" spans="1:29" s="1219" customFormat="1" ht="14.5" thickBot="1">
      <c r="A7" s="2912"/>
      <c r="B7" s="2919" t="s">
        <v>494</v>
      </c>
      <c r="C7" s="519">
        <f>'数据-取费表'!B2</f>
        <v>43899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2" t="s">
        <v>495</v>
      </c>
      <c r="Q7" s="3401"/>
      <c r="R7" s="1567" t="s">
        <v>8</v>
      </c>
      <c r="S7" s="1568">
        <f t="shared" ref="S7:S15" si="0">F7</f>
        <v>0</v>
      </c>
      <c r="T7" s="1567" t="s">
        <v>8</v>
      </c>
      <c r="U7" s="1568">
        <f t="shared" ref="U7:U15" si="1">H7</f>
        <v>0</v>
      </c>
      <c r="V7" s="1567" t="s">
        <v>8</v>
      </c>
      <c r="W7" s="1568">
        <f t="shared" ref="W7:W15" si="2">J7</f>
        <v>0</v>
      </c>
      <c r="X7" s="1569"/>
      <c r="Y7" s="3392" t="s">
        <v>495</v>
      </c>
      <c r="Z7" s="3393"/>
      <c r="AA7" s="1570" t="e">
        <f>D7/F7</f>
        <v>#DIV/0!</v>
      </c>
      <c r="AB7" s="1570" t="e">
        <f>D7/H7</f>
        <v>#DIV/0!</v>
      </c>
      <c r="AC7" s="1570" t="e">
        <f>D7/J7</f>
        <v>#DIV/0!</v>
      </c>
    </row>
    <row r="8" spans="1:29" s="1219" customFormat="1" ht="14.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2" t="s">
        <v>498</v>
      </c>
      <c r="Q8" s="3393"/>
      <c r="R8" s="1567" t="s">
        <v>8</v>
      </c>
      <c r="S8" s="1568">
        <f t="shared" si="0"/>
        <v>0</v>
      </c>
      <c r="T8" s="1567" t="s">
        <v>8</v>
      </c>
      <c r="U8" s="1568">
        <f t="shared" si="1"/>
        <v>0</v>
      </c>
      <c r="V8" s="1567" t="s">
        <v>8</v>
      </c>
      <c r="W8" s="1568">
        <f t="shared" si="2"/>
        <v>0</v>
      </c>
      <c r="X8" s="1569"/>
      <c r="Y8" s="3392" t="s">
        <v>498</v>
      </c>
      <c r="Z8" s="3393"/>
      <c r="AA8" s="1570" t="e">
        <f t="shared" ref="AA8:AA40" si="3">D8/F8</f>
        <v>#DIV/0!</v>
      </c>
      <c r="AB8" s="1570" t="e">
        <f t="shared" ref="AB8:AB40" si="4">D8/H8</f>
        <v>#DIV/0!</v>
      </c>
      <c r="AC8" s="1570" t="e">
        <f t="shared" ref="AC8:AC40" si="5">D8/J8</f>
        <v>#DIV/0!</v>
      </c>
    </row>
    <row r="9" spans="1:29" s="1219" customFormat="1">
      <c r="A9" s="2914"/>
      <c r="B9" s="2921" t="s">
        <v>2715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0" t="s">
        <v>500</v>
      </c>
      <c r="Q9" s="1150" t="str">
        <f t="shared" ref="Q9:Q15" si="6">B9</f>
        <v>用途</v>
      </c>
      <c r="R9" s="1567" t="s">
        <v>8</v>
      </c>
      <c r="S9" s="1568">
        <f t="shared" si="0"/>
        <v>100</v>
      </c>
      <c r="T9" s="1567" t="s">
        <v>8</v>
      </c>
      <c r="U9" s="1568">
        <f t="shared" si="1"/>
        <v>100</v>
      </c>
      <c r="V9" s="1567" t="s">
        <v>8</v>
      </c>
      <c r="W9" s="1568">
        <f t="shared" si="2"/>
        <v>100</v>
      </c>
      <c r="X9" s="1569"/>
      <c r="Y9" s="3357" t="s">
        <v>501</v>
      </c>
      <c r="Z9" s="1149" t="str">
        <f t="shared" ref="Z9:Z15" si="7">Q9</f>
        <v>用途</v>
      </c>
      <c r="AA9" s="1570">
        <f t="shared" si="3"/>
        <v>1</v>
      </c>
      <c r="AB9" s="1570">
        <f t="shared" si="4"/>
        <v>1</v>
      </c>
      <c r="AC9" s="1570">
        <f t="shared" si="5"/>
        <v>1</v>
      </c>
    </row>
    <row r="10" spans="1:29" s="1337" customFormat="1" ht="28">
      <c r="A10" s="2915"/>
      <c r="B10" s="2920" t="s">
        <v>2716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6"/>
      <c r="B11" s="2920" t="s">
        <v>2717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0"/>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0"/>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15.5">
      <c r="A15" s="2910" t="s">
        <v>2713</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2" t="s">
        <v>505</v>
      </c>
      <c r="Q15" s="1571" t="str">
        <f t="shared" si="6"/>
        <v>产业集聚程度</v>
      </c>
      <c r="R15" s="1572" t="s">
        <v>8</v>
      </c>
      <c r="S15" s="1573">
        <f t="shared" si="0"/>
        <v>100</v>
      </c>
      <c r="T15" s="1572" t="s">
        <v>8</v>
      </c>
      <c r="U15" s="1573">
        <f t="shared" si="1"/>
        <v>100</v>
      </c>
      <c r="V15" s="1572" t="s">
        <v>8</v>
      </c>
      <c r="W15" s="1573">
        <f t="shared" si="2"/>
        <v>100</v>
      </c>
      <c r="X15" s="1566"/>
      <c r="Y15" s="3402" t="s">
        <v>505</v>
      </c>
      <c r="Z15" s="1574" t="str">
        <f t="shared" si="7"/>
        <v>产业集聚程度</v>
      </c>
      <c r="AA15" s="1575">
        <f t="shared" si="3"/>
        <v>1</v>
      </c>
      <c r="AB15" s="1575">
        <f t="shared" si="4"/>
        <v>1</v>
      </c>
      <c r="AC15" s="1575">
        <f t="shared" si="5"/>
        <v>1</v>
      </c>
    </row>
    <row r="16" spans="1:29" ht="15.5">
      <c r="A16" s="532"/>
      <c r="B16" s="869"/>
      <c r="C16" s="576"/>
      <c r="D16" s="555"/>
      <c r="E16" s="576"/>
      <c r="F16" s="557"/>
      <c r="G16" s="576"/>
      <c r="H16" s="559"/>
      <c r="I16" s="576"/>
      <c r="J16" s="555"/>
      <c r="K16" s="899"/>
      <c r="L16" s="2142"/>
      <c r="M16" s="2134"/>
      <c r="N16" s="2134"/>
      <c r="O16" s="2141"/>
      <c r="P16" s="3403"/>
      <c r="Q16" s="1571"/>
      <c r="R16" s="1572"/>
      <c r="S16" s="1573"/>
      <c r="T16" s="1572"/>
      <c r="U16" s="1573"/>
      <c r="V16" s="1572"/>
      <c r="W16" s="1573"/>
      <c r="X16" s="1566"/>
      <c r="Y16" s="3403"/>
      <c r="Z16" s="1574"/>
      <c r="AA16" s="1575">
        <v>1</v>
      </c>
      <c r="AB16" s="1575">
        <v>1</v>
      </c>
      <c r="AC16" s="1575">
        <v>1</v>
      </c>
    </row>
    <row r="17" spans="1:29" ht="15.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5">
      <c r="A18" s="532"/>
      <c r="B18" s="595"/>
      <c r="C18" s="873"/>
      <c r="D18" s="559"/>
      <c r="E18" s="568"/>
      <c r="F18" s="563"/>
      <c r="G18" s="569"/>
      <c r="H18" s="555"/>
      <c r="I18" s="568"/>
      <c r="J18" s="555"/>
      <c r="K18" s="899"/>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5">
      <c r="A19" s="532"/>
      <c r="B19" s="2603" t="s">
        <v>2505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5">
      <c r="A20" s="532"/>
      <c r="B20" s="566"/>
      <c r="C20" s="576"/>
      <c r="D20" s="555"/>
      <c r="E20" s="556"/>
      <c r="F20" s="557"/>
      <c r="G20" s="558"/>
      <c r="H20" s="555"/>
      <c r="I20" s="556"/>
      <c r="J20" s="555"/>
      <c r="K20" s="899"/>
      <c r="L20" s="2142"/>
      <c r="M20" s="2134"/>
      <c r="N20" s="2134"/>
      <c r="O20" s="2141"/>
      <c r="P20" s="3403"/>
      <c r="Q20" s="1571"/>
      <c r="R20" s="1572"/>
      <c r="S20" s="1573"/>
      <c r="T20" s="1572"/>
      <c r="U20" s="1573"/>
      <c r="V20" s="1572"/>
      <c r="W20" s="1573"/>
      <c r="X20" s="1566"/>
      <c r="Y20" s="3403"/>
      <c r="Z20" s="1574"/>
      <c r="AA20" s="1575">
        <v>1</v>
      </c>
      <c r="AB20" s="1575">
        <v>1</v>
      </c>
      <c r="AC20" s="1575">
        <v>1</v>
      </c>
    </row>
    <row r="21" spans="1:29" ht="15.5">
      <c r="A21" s="532"/>
      <c r="B21" s="2591" t="s">
        <v>2517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5">
      <c r="A22" s="532"/>
      <c r="B22" s="578"/>
      <c r="C22" s="873"/>
      <c r="D22" s="555"/>
      <c r="E22" s="576"/>
      <c r="F22" s="557"/>
      <c r="G22" s="576"/>
      <c r="H22" s="555"/>
      <c r="I22" s="576"/>
      <c r="J22" s="555"/>
      <c r="K22" s="2602"/>
      <c r="L22" s="2142"/>
      <c r="M22" s="2134"/>
      <c r="N22" s="2134"/>
      <c r="O22" s="2141"/>
      <c r="P22" s="3403"/>
      <c r="Q22" s="2579"/>
      <c r="R22" s="1572"/>
      <c r="S22" s="1573"/>
      <c r="T22" s="1572"/>
      <c r="U22" s="1573"/>
      <c r="V22" s="1572"/>
      <c r="W22" s="1573"/>
      <c r="X22" s="2581"/>
      <c r="Y22" s="3403"/>
      <c r="Z22" s="2580"/>
      <c r="AA22" s="1575">
        <v>1</v>
      </c>
      <c r="AB22" s="1575">
        <v>1</v>
      </c>
      <c r="AC22" s="1575">
        <v>1</v>
      </c>
    </row>
    <row r="23" spans="1:29" ht="15.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5">
      <c r="A24" s="532"/>
      <c r="B24" s="922"/>
      <c r="C24" s="576"/>
      <c r="D24" s="555"/>
      <c r="E24" s="556"/>
      <c r="F24" s="557"/>
      <c r="G24" s="558"/>
      <c r="H24" s="555"/>
      <c r="I24" s="556"/>
      <c r="J24" s="555"/>
      <c r="K24" s="899"/>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3"/>
      <c r="Q25" s="1571">
        <f>B25</f>
        <v>111</v>
      </c>
      <c r="R25" s="1572" t="s">
        <v>8</v>
      </c>
      <c r="S25" s="1573">
        <f>F25</f>
        <v>100</v>
      </c>
      <c r="T25" s="1572" t="s">
        <v>8</v>
      </c>
      <c r="U25" s="1573">
        <f>H25</f>
        <v>100</v>
      </c>
      <c r="V25" s="1572" t="s">
        <v>8</v>
      </c>
      <c r="W25" s="1573">
        <f>J25</f>
        <v>100</v>
      </c>
      <c r="X25" s="1566"/>
      <c r="Y25" s="3403"/>
      <c r="Z25" s="1574">
        <f>Q25</f>
        <v>111</v>
      </c>
      <c r="AA25" s="1575">
        <f t="shared" si="3"/>
        <v>1</v>
      </c>
      <c r="AB25" s="1575">
        <f t="shared" si="4"/>
        <v>1</v>
      </c>
      <c r="AC25" s="1575">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3"/>
      <c r="Q26" s="1571">
        <f t="shared" ref="Q26:Q40" si="11">B26</f>
        <v>111</v>
      </c>
      <c r="R26" s="1572" t="s">
        <v>8</v>
      </c>
      <c r="S26" s="1573">
        <f>F26</f>
        <v>100</v>
      </c>
      <c r="T26" s="1572" t="s">
        <v>8</v>
      </c>
      <c r="U26" s="1573">
        <f>H26</f>
        <v>100</v>
      </c>
      <c r="V26" s="1572" t="s">
        <v>8</v>
      </c>
      <c r="W26" s="1573">
        <f>J26</f>
        <v>100</v>
      </c>
      <c r="X26" s="1566"/>
      <c r="Y26" s="3403"/>
      <c r="Z26" s="1574">
        <f>Q26</f>
        <v>111</v>
      </c>
      <c r="AA26" s="1575">
        <f t="shared" si="3"/>
        <v>1</v>
      </c>
      <c r="AB26" s="1575">
        <f t="shared" si="4"/>
        <v>1</v>
      </c>
      <c r="AC26" s="1575">
        <f t="shared" si="5"/>
        <v>1</v>
      </c>
    </row>
    <row r="27" spans="1:29" s="1219"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3"/>
      <c r="Q27" s="1150">
        <f t="shared" si="11"/>
        <v>111</v>
      </c>
      <c r="R27" s="1567" t="s">
        <v>8</v>
      </c>
      <c r="S27" s="1568">
        <f>F27</f>
        <v>100</v>
      </c>
      <c r="T27" s="1567" t="s">
        <v>8</v>
      </c>
      <c r="U27" s="1568">
        <f>H27</f>
        <v>100</v>
      </c>
      <c r="V27" s="1567" t="s">
        <v>8</v>
      </c>
      <c r="W27" s="1568">
        <f>J27</f>
        <v>100</v>
      </c>
      <c r="X27" s="1569"/>
      <c r="Y27" s="3403"/>
      <c r="Z27" s="1149">
        <f>Q27</f>
        <v>111</v>
      </c>
      <c r="AA27" s="1575">
        <f>D27/F27</f>
        <v>1</v>
      </c>
      <c r="AB27" s="1575">
        <f>D27/H27</f>
        <v>1</v>
      </c>
      <c r="AC27" s="1575">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3"/>
      <c r="Q28" s="1571">
        <f t="shared" si="11"/>
        <v>111</v>
      </c>
      <c r="R28" s="1572" t="s">
        <v>8</v>
      </c>
      <c r="S28" s="1573">
        <f t="shared" ref="S28:S40" si="12">F28</f>
        <v>100</v>
      </c>
      <c r="T28" s="1572" t="s">
        <v>8</v>
      </c>
      <c r="U28" s="1573">
        <f t="shared" ref="U28:U40" si="13">H28</f>
        <v>100</v>
      </c>
      <c r="V28" s="1572" t="s">
        <v>8</v>
      </c>
      <c r="W28" s="1573">
        <f t="shared" ref="W28:W40" si="14">J28</f>
        <v>100</v>
      </c>
      <c r="X28" s="1566"/>
      <c r="Y28" s="3403"/>
      <c r="Z28" s="1574">
        <f t="shared" ref="Z28:Z40" si="15">Q28</f>
        <v>111</v>
      </c>
      <c r="AA28" s="1575">
        <f t="shared" si="3"/>
        <v>1</v>
      </c>
      <c r="AB28" s="1575">
        <f t="shared" si="4"/>
        <v>1</v>
      </c>
      <c r="AC28" s="1575">
        <f t="shared" si="5"/>
        <v>1</v>
      </c>
    </row>
    <row r="29" spans="1:29" ht="15.5">
      <c r="A29" s="2907" t="s">
        <v>2714</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4" t="s">
        <v>515</v>
      </c>
      <c r="Q29" s="1571" t="str">
        <f t="shared" si="11"/>
        <v>建筑类型</v>
      </c>
      <c r="R29" s="1572" t="s">
        <v>8</v>
      </c>
      <c r="S29" s="1573">
        <f t="shared" si="12"/>
        <v>100</v>
      </c>
      <c r="T29" s="1572" t="s">
        <v>8</v>
      </c>
      <c r="U29" s="1573">
        <f t="shared" si="13"/>
        <v>100</v>
      </c>
      <c r="V29" s="1572" t="s">
        <v>8</v>
      </c>
      <c r="W29" s="1573">
        <f t="shared" si="14"/>
        <v>100</v>
      </c>
      <c r="X29" s="1566"/>
      <c r="Y29" s="3405" t="s">
        <v>515</v>
      </c>
      <c r="Z29" s="1574" t="str">
        <f t="shared" si="15"/>
        <v>建筑类型</v>
      </c>
      <c r="AA29" s="1575">
        <f t="shared" si="3"/>
        <v>1</v>
      </c>
      <c r="AB29" s="1575">
        <f t="shared" si="4"/>
        <v>1</v>
      </c>
      <c r="AC29" s="1575">
        <f t="shared" si="5"/>
        <v>1</v>
      </c>
    </row>
    <row r="30" spans="1:29" s="1338" customFormat="1" ht="15.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5"/>
      <c r="Q30" s="1604" t="str">
        <f t="shared" si="11"/>
        <v>项目建筑规模</v>
      </c>
      <c r="R30" s="1576" t="s">
        <v>8</v>
      </c>
      <c r="S30" s="1577" t="e">
        <f t="shared" si="12"/>
        <v>#N/A</v>
      </c>
      <c r="T30" s="1576" t="s">
        <v>8</v>
      </c>
      <c r="U30" s="1577" t="e">
        <f t="shared" si="13"/>
        <v>#N/A</v>
      </c>
      <c r="V30" s="1576" t="s">
        <v>8</v>
      </c>
      <c r="W30" s="1577" t="e">
        <f t="shared" si="14"/>
        <v>#N/A</v>
      </c>
      <c r="X30" s="1578"/>
      <c r="Y30" s="3405"/>
      <c r="Z30" s="1579" t="str">
        <f t="shared" si="15"/>
        <v>项目建筑规模</v>
      </c>
      <c r="AA30" s="1575" t="e">
        <f t="shared" si="3"/>
        <v>#N/A</v>
      </c>
      <c r="AB30" s="1575" t="e">
        <f t="shared" si="4"/>
        <v>#N/A</v>
      </c>
      <c r="AC30" s="1575" t="e">
        <f t="shared" si="5"/>
        <v>#N/A</v>
      </c>
    </row>
    <row r="31" spans="1:29" ht="15.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5"/>
      <c r="Q31" s="1571" t="str">
        <f t="shared" si="11"/>
        <v>建筑结构</v>
      </c>
      <c r="R31" s="1572" t="s">
        <v>8</v>
      </c>
      <c r="S31" s="1573">
        <f t="shared" si="12"/>
        <v>100</v>
      </c>
      <c r="T31" s="1572" t="s">
        <v>8</v>
      </c>
      <c r="U31" s="1573">
        <f t="shared" si="13"/>
        <v>100</v>
      </c>
      <c r="V31" s="1572" t="s">
        <v>8</v>
      </c>
      <c r="W31" s="1573">
        <f t="shared" si="14"/>
        <v>100</v>
      </c>
      <c r="X31" s="1566"/>
      <c r="Y31" s="3405"/>
      <c r="Z31" s="1574" t="str">
        <f t="shared" si="15"/>
        <v>建筑结构</v>
      </c>
      <c r="AA31" s="1575">
        <f t="shared" si="3"/>
        <v>1</v>
      </c>
      <c r="AB31" s="1575">
        <f t="shared" si="4"/>
        <v>1</v>
      </c>
      <c r="AC31" s="1575">
        <f t="shared" si="5"/>
        <v>1</v>
      </c>
    </row>
    <row r="32" spans="1:29" ht="15.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5"/>
      <c r="Q32" s="1571" t="str">
        <f t="shared" si="11"/>
        <v>公共部分装修</v>
      </c>
      <c r="R32" s="1572" t="s">
        <v>8</v>
      </c>
      <c r="S32" s="1573">
        <f t="shared" si="12"/>
        <v>100</v>
      </c>
      <c r="T32" s="1572" t="s">
        <v>8</v>
      </c>
      <c r="U32" s="1573">
        <f t="shared" si="13"/>
        <v>100</v>
      </c>
      <c r="V32" s="1572" t="s">
        <v>8</v>
      </c>
      <c r="W32" s="1573">
        <f t="shared" si="14"/>
        <v>100</v>
      </c>
      <c r="X32" s="1566"/>
      <c r="Y32" s="3405"/>
      <c r="Z32" s="1574" t="str">
        <f t="shared" si="15"/>
        <v>公共部分装修</v>
      </c>
      <c r="AA32" s="1575">
        <f t="shared" si="3"/>
        <v>1</v>
      </c>
      <c r="AB32" s="1575">
        <f t="shared" si="4"/>
        <v>1</v>
      </c>
      <c r="AC32" s="1575">
        <f t="shared" si="5"/>
        <v>1</v>
      </c>
    </row>
    <row r="33" spans="1:29" ht="15.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5"/>
      <c r="Q33" s="1571" t="str">
        <f t="shared" si="11"/>
        <v>成新度</v>
      </c>
      <c r="R33" s="1572" t="s">
        <v>8</v>
      </c>
      <c r="S33" s="1573" t="e">
        <f t="shared" si="12"/>
        <v>#N/A</v>
      </c>
      <c r="T33" s="1572" t="s">
        <v>8</v>
      </c>
      <c r="U33" s="1573" t="e">
        <f t="shared" si="13"/>
        <v>#N/A</v>
      </c>
      <c r="V33" s="1572" t="s">
        <v>8</v>
      </c>
      <c r="W33" s="1573" t="e">
        <f t="shared" si="14"/>
        <v>#N/A</v>
      </c>
      <c r="X33" s="1566"/>
      <c r="Y33" s="3405"/>
      <c r="Z33" s="1574" t="str">
        <f t="shared" si="15"/>
        <v>成新度</v>
      </c>
      <c r="AA33" s="1575" t="e">
        <f t="shared" si="3"/>
        <v>#N/A</v>
      </c>
      <c r="AB33" s="1575" t="e">
        <f t="shared" si="4"/>
        <v>#N/A</v>
      </c>
      <c r="AC33" s="1575" t="e">
        <f t="shared" si="5"/>
        <v>#N/A</v>
      </c>
    </row>
    <row r="34" spans="1:29" s="1219" customFormat="1" ht="15.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5"/>
      <c r="Q34" s="1150" t="str">
        <f t="shared" si="11"/>
        <v>物业管理</v>
      </c>
      <c r="R34" s="1567" t="s">
        <v>8</v>
      </c>
      <c r="S34" s="1568">
        <f t="shared" si="12"/>
        <v>100</v>
      </c>
      <c r="T34" s="1567" t="s">
        <v>8</v>
      </c>
      <c r="U34" s="1568">
        <f t="shared" si="13"/>
        <v>100</v>
      </c>
      <c r="V34" s="1567" t="s">
        <v>8</v>
      </c>
      <c r="W34" s="1568">
        <f t="shared" si="14"/>
        <v>100</v>
      </c>
      <c r="X34" s="1569"/>
      <c r="Y34" s="3405"/>
      <c r="Z34" s="1149" t="str">
        <f t="shared" si="15"/>
        <v>物业管理</v>
      </c>
      <c r="AA34" s="1570">
        <f t="shared" si="3"/>
        <v>1</v>
      </c>
      <c r="AB34" s="1570">
        <f t="shared" si="4"/>
        <v>1</v>
      </c>
      <c r="AC34" s="1570">
        <f t="shared" si="5"/>
        <v>1</v>
      </c>
    </row>
    <row r="35" spans="1:29" ht="15.5">
      <c r="A35" s="594"/>
      <c r="B35" s="1895" t="s">
        <v>2524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5" t="s">
        <v>515</v>
      </c>
      <c r="Q35" s="1571" t="str">
        <f t="shared" si="11"/>
        <v>市政基础设施</v>
      </c>
      <c r="R35" s="1572" t="s">
        <v>8</v>
      </c>
      <c r="S35" s="1573">
        <f t="shared" si="12"/>
        <v>100</v>
      </c>
      <c r="T35" s="1572" t="s">
        <v>8</v>
      </c>
      <c r="U35" s="1573">
        <f t="shared" si="13"/>
        <v>100</v>
      </c>
      <c r="V35" s="1572" t="s">
        <v>8</v>
      </c>
      <c r="W35" s="1573">
        <f t="shared" si="14"/>
        <v>100</v>
      </c>
      <c r="X35" s="1566"/>
      <c r="Y35" s="3405" t="s">
        <v>515</v>
      </c>
      <c r="Z35" s="1574" t="str">
        <f t="shared" si="15"/>
        <v>市政基础设施</v>
      </c>
      <c r="AA35" s="1575">
        <f t="shared" si="3"/>
        <v>1</v>
      </c>
      <c r="AB35" s="1575">
        <f t="shared" si="4"/>
        <v>1</v>
      </c>
      <c r="AC35" s="1575">
        <f t="shared" si="5"/>
        <v>1</v>
      </c>
    </row>
    <row r="36" spans="1:29" ht="15.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5"/>
      <c r="Q36" s="1571" t="str">
        <f t="shared" si="11"/>
        <v>内部装修</v>
      </c>
      <c r="R36" s="1572" t="s">
        <v>8</v>
      </c>
      <c r="S36" s="1573">
        <f t="shared" si="12"/>
        <v>100</v>
      </c>
      <c r="T36" s="1572" t="s">
        <v>8</v>
      </c>
      <c r="U36" s="1573">
        <f t="shared" si="13"/>
        <v>100</v>
      </c>
      <c r="V36" s="1572" t="s">
        <v>8</v>
      </c>
      <c r="W36" s="1573">
        <f t="shared" si="14"/>
        <v>100</v>
      </c>
      <c r="X36" s="1566"/>
      <c r="Y36" s="3405"/>
      <c r="Z36" s="1574" t="str">
        <f t="shared" si="15"/>
        <v>内部装修</v>
      </c>
      <c r="AA36" s="1575">
        <f t="shared" si="3"/>
        <v>1</v>
      </c>
      <c r="AB36" s="1575">
        <f t="shared" si="4"/>
        <v>1</v>
      </c>
      <c r="AC36" s="1575">
        <f t="shared" si="5"/>
        <v>1</v>
      </c>
    </row>
    <row r="37" spans="1:29" ht="15.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5"/>
      <c r="Q37" s="1571" t="str">
        <f t="shared" si="11"/>
        <v>内部装修状况</v>
      </c>
      <c r="R37" s="1572" t="s">
        <v>8</v>
      </c>
      <c r="S37" s="1573">
        <f t="shared" si="12"/>
        <v>100</v>
      </c>
      <c r="T37" s="1572" t="s">
        <v>8</v>
      </c>
      <c r="U37" s="1573">
        <f t="shared" si="13"/>
        <v>100</v>
      </c>
      <c r="V37" s="1572" t="s">
        <v>8</v>
      </c>
      <c r="W37" s="1573">
        <f t="shared" si="14"/>
        <v>100</v>
      </c>
      <c r="X37" s="1566"/>
      <c r="Y37" s="3405"/>
      <c r="Z37" s="1574" t="str">
        <f t="shared" si="15"/>
        <v>内部装修状况</v>
      </c>
      <c r="AA37" s="1575">
        <f t="shared" si="3"/>
        <v>1</v>
      </c>
      <c r="AB37" s="1575">
        <f t="shared" si="4"/>
        <v>1</v>
      </c>
      <c r="AC37" s="1575">
        <f t="shared" si="5"/>
        <v>1</v>
      </c>
    </row>
    <row r="38" spans="1:29" s="1338"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5"/>
      <c r="Q38" s="1604">
        <f t="shared" si="11"/>
        <v>111</v>
      </c>
      <c r="R38" s="1576" t="s">
        <v>8</v>
      </c>
      <c r="S38" s="1577">
        <f t="shared" si="12"/>
        <v>100</v>
      </c>
      <c r="T38" s="1576" t="s">
        <v>8</v>
      </c>
      <c r="U38" s="1577">
        <f t="shared" si="13"/>
        <v>100</v>
      </c>
      <c r="V38" s="1576" t="s">
        <v>8</v>
      </c>
      <c r="W38" s="1577">
        <f t="shared" si="14"/>
        <v>100</v>
      </c>
      <c r="X38" s="1578"/>
      <c r="Y38" s="3405"/>
      <c r="Z38" s="1579">
        <f t="shared" si="15"/>
        <v>111</v>
      </c>
      <c r="AA38" s="1575">
        <f t="shared" si="3"/>
        <v>1</v>
      </c>
      <c r="AB38" s="1575">
        <f t="shared" si="4"/>
        <v>1</v>
      </c>
      <c r="AC38" s="1575">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5"/>
      <c r="Q39" s="1571">
        <f t="shared" si="11"/>
        <v>111</v>
      </c>
      <c r="R39" s="1572" t="s">
        <v>8</v>
      </c>
      <c r="S39" s="1573">
        <f t="shared" si="12"/>
        <v>100</v>
      </c>
      <c r="T39" s="1572" t="s">
        <v>8</v>
      </c>
      <c r="U39" s="1573">
        <f t="shared" si="13"/>
        <v>100</v>
      </c>
      <c r="V39" s="1572" t="s">
        <v>8</v>
      </c>
      <c r="W39" s="1573">
        <f t="shared" si="14"/>
        <v>100</v>
      </c>
      <c r="X39" s="1566"/>
      <c r="Y39" s="3405"/>
      <c r="Z39" s="1574">
        <f t="shared" si="15"/>
        <v>111</v>
      </c>
      <c r="AA39" s="1575">
        <f t="shared" si="3"/>
        <v>1</v>
      </c>
      <c r="AB39" s="1575">
        <f t="shared" si="4"/>
        <v>1</v>
      </c>
      <c r="AC39" s="1575">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5"/>
      <c r="Q40" s="1571">
        <f t="shared" si="11"/>
        <v>111</v>
      </c>
      <c r="R40" s="1572" t="s">
        <v>8</v>
      </c>
      <c r="S40" s="1573">
        <f t="shared" si="12"/>
        <v>100</v>
      </c>
      <c r="T40" s="1572" t="s">
        <v>8</v>
      </c>
      <c r="U40" s="1573">
        <f t="shared" si="13"/>
        <v>100</v>
      </c>
      <c r="V40" s="1572" t="s">
        <v>8</v>
      </c>
      <c r="W40" s="1573">
        <f t="shared" si="14"/>
        <v>100</v>
      </c>
      <c r="X40" s="1566"/>
      <c r="Y40" s="3505"/>
      <c r="Z40" s="1574">
        <f t="shared" si="15"/>
        <v>111</v>
      </c>
      <c r="AA40" s="1575">
        <f t="shared" si="3"/>
        <v>1</v>
      </c>
      <c r="AB40" s="1575">
        <f t="shared" si="4"/>
        <v>1</v>
      </c>
      <c r="AC40" s="1575">
        <f t="shared" si="5"/>
        <v>1</v>
      </c>
    </row>
    <row r="41" spans="1:29">
      <c r="A41" s="607" t="s">
        <v>701</v>
      </c>
      <c r="B41" s="887"/>
      <c r="C41" s="2627" t="s">
        <v>1</v>
      </c>
      <c r="D41" s="2628"/>
      <c r="E41" s="2629"/>
      <c r="F41" s="2630"/>
      <c r="G41" s="2631"/>
      <c r="H41" s="2632"/>
      <c r="I41" s="2629"/>
      <c r="J41" s="2632"/>
      <c r="K41" s="1610"/>
      <c r="L41" s="2144"/>
      <c r="M41" s="2145"/>
      <c r="N41" s="2134"/>
      <c r="O41" s="2145"/>
      <c r="P41" s="3400" t="str">
        <f>A41</f>
        <v>成交单价（元/平方米）</v>
      </c>
      <c r="Q41" s="3400"/>
      <c r="R41" s="3504">
        <f>E41</f>
        <v>0</v>
      </c>
      <c r="S41" s="3504"/>
      <c r="T41" s="3504">
        <f>G41</f>
        <v>0</v>
      </c>
      <c r="U41" s="3504"/>
      <c r="V41" s="3504">
        <f>I41</f>
        <v>0</v>
      </c>
      <c r="W41" s="3504"/>
      <c r="X41" s="1558"/>
      <c r="Y41" s="1580"/>
      <c r="Z41" s="1558"/>
      <c r="AA41" s="1558"/>
      <c r="AB41" s="1558"/>
      <c r="AC41" s="1558"/>
    </row>
    <row r="42" spans="1:29" ht="14.5" thickBot="1">
      <c r="A42" s="615" t="s">
        <v>2719</v>
      </c>
      <c r="B42" s="888"/>
      <c r="C42" s="2633" t="e">
        <f>R43</f>
        <v>#DIV/0!</v>
      </c>
      <c r="D42" s="2634"/>
      <c r="E42" s="2635" t="e">
        <f>R42</f>
        <v>#DIV/0!</v>
      </c>
      <c r="F42" s="2635"/>
      <c r="G42" s="2633" t="e">
        <f>T42</f>
        <v>#DIV/0!</v>
      </c>
      <c r="H42" s="2634"/>
      <c r="I42" s="2635" t="e">
        <f>V42</f>
        <v>#DIV/0!</v>
      </c>
      <c r="J42" s="2634"/>
      <c r="K42" s="1611"/>
      <c r="L42" s="2144"/>
      <c r="M42" s="2145"/>
      <c r="N42" s="2134"/>
      <c r="O42" s="2145"/>
      <c r="P42" s="3400" t="str">
        <f>A42</f>
        <v>比较价格（元/平方米）</v>
      </c>
      <c r="Q42" s="340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8"/>
      <c r="Y42" s="1558"/>
      <c r="Z42" s="1558"/>
      <c r="AA42" s="1558"/>
      <c r="AB42" s="1558"/>
      <c r="AC42" s="1558"/>
    </row>
    <row r="43" spans="1:29" ht="14.5" thickBot="1">
      <c r="A43" s="621" t="s">
        <v>2882</v>
      </c>
      <c r="B43" s="622"/>
      <c r="C43" s="2636" t="e">
        <f>R43</f>
        <v>#DIV/0!</v>
      </c>
      <c r="D43" s="2636"/>
      <c r="E43" s="2636"/>
      <c r="F43" s="2636"/>
      <c r="G43" s="2636"/>
      <c r="H43" s="2636"/>
      <c r="I43" s="2636"/>
      <c r="J43" s="2636"/>
      <c r="K43" s="1612"/>
      <c r="L43" s="2144"/>
      <c r="M43" s="2145"/>
      <c r="N43" s="2145"/>
      <c r="O43" s="2145"/>
      <c r="P43" s="3423" t="str">
        <f>A43</f>
        <v>估价对象XX用房的比较价格（楼面单价，元/平方米）</v>
      </c>
      <c r="Q43" s="3424"/>
      <c r="R43" s="3503" t="e">
        <f>IF(F1="售价",ROUND(AVERAGE(R42:V42),0),ROUND(AVERAGE(R42:V42),1))</f>
        <v>#DIV/0!</v>
      </c>
      <c r="S43" s="3503"/>
      <c r="T43" s="3503"/>
      <c r="U43" s="3503"/>
      <c r="V43" s="3503"/>
      <c r="W43" s="3503"/>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5"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c r="A52" s="645" t="s">
        <v>494</v>
      </c>
      <c r="B52" s="646"/>
      <c r="C52" s="2802" t="str">
        <f>YEAR(C7)&amp;"-"&amp;MONTH(C7)</f>
        <v>2020-3</v>
      </c>
      <c r="D52" s="2804">
        <f>EDATE(C52,-1)</f>
        <v>43862</v>
      </c>
      <c r="E52" s="2804">
        <f t="shared" ref="E52:O52" si="16">EDATE(D52,-1)</f>
        <v>43831</v>
      </c>
      <c r="F52" s="2804">
        <f t="shared" si="16"/>
        <v>43800</v>
      </c>
      <c r="G52" s="2804">
        <f t="shared" si="16"/>
        <v>43770</v>
      </c>
      <c r="H52" s="2804">
        <f t="shared" si="16"/>
        <v>43739</v>
      </c>
      <c r="I52" s="2804">
        <f t="shared" si="16"/>
        <v>43709</v>
      </c>
      <c r="J52" s="2804">
        <f t="shared" si="16"/>
        <v>43678</v>
      </c>
      <c r="K52" s="2804">
        <f t="shared" si="16"/>
        <v>43647</v>
      </c>
      <c r="L52" s="2804">
        <f t="shared" si="16"/>
        <v>43617</v>
      </c>
      <c r="M52" s="2804">
        <f t="shared" si="16"/>
        <v>43586</v>
      </c>
      <c r="N52" s="2804">
        <f t="shared" si="16"/>
        <v>43556</v>
      </c>
      <c r="O52" s="2804">
        <f t="shared" si="16"/>
        <v>43525</v>
      </c>
      <c r="P52" s="2160"/>
      <c r="Q52" s="2161"/>
      <c r="R52" s="2161"/>
      <c r="S52" s="2161"/>
      <c r="T52" s="2161"/>
      <c r="U52" s="2161"/>
      <c r="V52" s="2161"/>
      <c r="W52" s="2161"/>
      <c r="X52" s="2161"/>
      <c r="Y52" s="2161"/>
      <c r="Z52" s="2161"/>
      <c r="AA52" s="2161"/>
      <c r="AB52" s="2161"/>
      <c r="AC52" s="2161"/>
    </row>
    <row r="53" spans="1:29" s="1219"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4.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4.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8.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4.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4.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4.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4.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4.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4.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4.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4.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4.5" thickTop="1">
      <c r="A74" s="669"/>
      <c r="B74" s="1896" t="s">
        <v>2516</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4.5" thickTop="1">
      <c r="A76" s="669"/>
      <c r="B76" s="2597" t="s">
        <v>2517</v>
      </c>
      <c r="C76" s="2598" t="s">
        <v>2518</v>
      </c>
      <c r="D76" s="2598" t="s">
        <v>2519</v>
      </c>
      <c r="E76" s="2598" t="s">
        <v>2520</v>
      </c>
      <c r="F76" s="2598" t="s">
        <v>2521</v>
      </c>
      <c r="G76" s="2598" t="s">
        <v>2522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4.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4.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4.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4.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4.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4.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4.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4.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4.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4.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4.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4.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4.5" thickTop="1">
      <c r="A102" s="735"/>
      <c r="B102" s="1896" t="s">
        <v>2515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4.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8.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4.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4.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
  <cols>
    <col min="1" max="1" width="10.453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c r="A4" s="512" t="s">
        <v>762</v>
      </c>
      <c r="B4" s="513"/>
      <c r="C4" s="3406" t="s">
        <v>763</v>
      </c>
      <c r="D4" s="3407"/>
      <c r="E4" s="3406" t="s">
        <v>764</v>
      </c>
      <c r="F4" s="3407"/>
      <c r="G4" s="3406" t="s">
        <v>765</v>
      </c>
      <c r="H4" s="3407"/>
      <c r="I4" s="3406" t="s">
        <v>766</v>
      </c>
      <c r="J4" s="3407"/>
      <c r="K4" s="514" t="s">
        <v>767</v>
      </c>
      <c r="L4" s="2133"/>
      <c r="M4" s="2134"/>
      <c r="N4" s="2134"/>
      <c r="O4" s="2134"/>
      <c r="P4" s="3408" t="s">
        <v>768</v>
      </c>
      <c r="Q4" s="3409"/>
      <c r="R4" s="3394" t="s">
        <v>764</v>
      </c>
      <c r="S4" s="3395"/>
      <c r="T4" s="3394" t="s">
        <v>765</v>
      </c>
      <c r="U4" s="3395"/>
      <c r="V4" s="3414" t="s">
        <v>766</v>
      </c>
      <c r="W4" s="3414"/>
      <c r="X4" s="1566"/>
      <c r="Y4" s="3394" t="s">
        <v>768</v>
      </c>
      <c r="Z4" s="3395"/>
      <c r="AA4" s="3389" t="s">
        <v>764</v>
      </c>
      <c r="AB4" s="3390" t="s">
        <v>765</v>
      </c>
      <c r="AC4" s="3389" t="s">
        <v>766</v>
      </c>
    </row>
    <row r="5" spans="1:29">
      <c r="A5" s="515"/>
      <c r="B5" s="516"/>
      <c r="C5" s="3436" t="s">
        <v>2876</v>
      </c>
      <c r="D5" s="3418"/>
      <c r="E5" s="3436" t="s">
        <v>2877</v>
      </c>
      <c r="F5" s="3418"/>
      <c r="G5" s="3436" t="s">
        <v>2878</v>
      </c>
      <c r="H5" s="3418"/>
      <c r="I5" s="3436" t="s">
        <v>2879</v>
      </c>
      <c r="J5" s="3418"/>
      <c r="K5" s="514"/>
      <c r="L5" s="2133"/>
      <c r="M5" s="2134"/>
      <c r="N5" s="2134"/>
      <c r="O5" s="2134"/>
      <c r="P5" s="3410"/>
      <c r="Q5" s="3411"/>
      <c r="R5" s="3396"/>
      <c r="S5" s="3397"/>
      <c r="T5" s="3396"/>
      <c r="U5" s="3397"/>
      <c r="V5" s="3414"/>
      <c r="W5" s="3414"/>
      <c r="X5" s="1566"/>
      <c r="Y5" s="3396"/>
      <c r="Z5" s="3397"/>
      <c r="AA5" s="3390"/>
      <c r="AB5" s="3390"/>
      <c r="AC5" s="3390"/>
    </row>
    <row r="6" spans="1:29" ht="15" thickBot="1">
      <c r="A6" s="517"/>
      <c r="B6" s="518"/>
      <c r="C6" s="3415" t="s">
        <v>2880</v>
      </c>
      <c r="D6" s="3416"/>
      <c r="E6" s="3421" t="s">
        <v>2880</v>
      </c>
      <c r="F6" s="3422"/>
      <c r="G6" s="3415" t="s">
        <v>2880</v>
      </c>
      <c r="H6" s="3416"/>
      <c r="I6" s="3415" t="s">
        <v>2880</v>
      </c>
      <c r="J6" s="3416"/>
      <c r="K6" s="514" t="s">
        <v>493</v>
      </c>
      <c r="L6" s="2133"/>
      <c r="M6" s="2134"/>
      <c r="N6" s="2134"/>
      <c r="O6" s="2134"/>
      <c r="P6" s="3412"/>
      <c r="Q6" s="3413"/>
      <c r="R6" s="3396"/>
      <c r="S6" s="3397"/>
      <c r="T6" s="3398"/>
      <c r="U6" s="3399"/>
      <c r="V6" s="3414"/>
      <c r="W6" s="3414"/>
      <c r="X6" s="1566"/>
      <c r="Y6" s="3398"/>
      <c r="Z6" s="3399"/>
      <c r="AA6" s="3391"/>
      <c r="AB6" s="3391"/>
      <c r="AC6" s="3391"/>
    </row>
    <row r="7" spans="1:29" s="1219" customFormat="1" ht="14.5" thickBot="1">
      <c r="A7" s="2912"/>
      <c r="B7" s="2919" t="s">
        <v>494</v>
      </c>
      <c r="C7" s="519">
        <f>'数据-取费表'!B2</f>
        <v>43899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2" t="s">
        <v>495</v>
      </c>
      <c r="Q7" s="3401"/>
      <c r="R7" s="1567" t="s">
        <v>8</v>
      </c>
      <c r="S7" s="1568">
        <f t="shared" ref="S7:S14" si="0">F7</f>
        <v>0</v>
      </c>
      <c r="T7" s="1567" t="s">
        <v>8</v>
      </c>
      <c r="U7" s="1568">
        <f t="shared" ref="U7:U14" si="1">H7</f>
        <v>0</v>
      </c>
      <c r="V7" s="1567" t="s">
        <v>8</v>
      </c>
      <c r="W7" s="1568">
        <f t="shared" ref="W7:W14" si="2">J7</f>
        <v>0</v>
      </c>
      <c r="X7" s="1569"/>
      <c r="Y7" s="3392" t="s">
        <v>495</v>
      </c>
      <c r="Z7" s="3393"/>
      <c r="AA7" s="1570" t="e">
        <f>D7/F7</f>
        <v>#DIV/0!</v>
      </c>
      <c r="AB7" s="1570" t="e">
        <f>D7/H7</f>
        <v>#DIV/0!</v>
      </c>
      <c r="AC7" s="1570" t="e">
        <f>D7/J7</f>
        <v>#DIV/0!</v>
      </c>
    </row>
    <row r="8" spans="1:29" s="1219" customFormat="1" ht="14.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2" t="s">
        <v>498</v>
      </c>
      <c r="Q8" s="3393"/>
      <c r="R8" s="1567" t="s">
        <v>8</v>
      </c>
      <c r="S8" s="1568">
        <f t="shared" si="0"/>
        <v>0</v>
      </c>
      <c r="T8" s="1567" t="s">
        <v>8</v>
      </c>
      <c r="U8" s="1568">
        <f t="shared" si="1"/>
        <v>0</v>
      </c>
      <c r="V8" s="1567" t="s">
        <v>8</v>
      </c>
      <c r="W8" s="1568">
        <f t="shared" si="2"/>
        <v>0</v>
      </c>
      <c r="X8" s="1569"/>
      <c r="Y8" s="3392" t="s">
        <v>498</v>
      </c>
      <c r="Z8" s="3393"/>
      <c r="AA8" s="1570" t="e">
        <f t="shared" ref="AA8:AA36" si="3">D8/F8</f>
        <v>#DIV/0!</v>
      </c>
      <c r="AB8" s="1570" t="e">
        <f t="shared" ref="AB8:AB36" si="4">D8/H8</f>
        <v>#DIV/0!</v>
      </c>
      <c r="AC8" s="1570" t="e">
        <f t="shared" ref="AC8:AC36" si="5">D8/J8</f>
        <v>#DIV/0!</v>
      </c>
    </row>
    <row r="9" spans="1:29" s="1219" customFormat="1">
      <c r="A9" s="2914"/>
      <c r="B9" s="2921" t="s">
        <v>2715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0" t="s">
        <v>500</v>
      </c>
      <c r="Q9" s="1150" t="str">
        <f t="shared" ref="Q9:Q14" si="6">B9</f>
        <v>用途</v>
      </c>
      <c r="R9" s="1567" t="s">
        <v>8</v>
      </c>
      <c r="S9" s="1568">
        <f t="shared" si="0"/>
        <v>100</v>
      </c>
      <c r="T9" s="1567" t="s">
        <v>8</v>
      </c>
      <c r="U9" s="1568">
        <f t="shared" si="1"/>
        <v>100</v>
      </c>
      <c r="V9" s="1567" t="s">
        <v>8</v>
      </c>
      <c r="W9" s="1568">
        <f t="shared" si="2"/>
        <v>100</v>
      </c>
      <c r="X9" s="1569"/>
      <c r="Y9" s="3357" t="s">
        <v>501</v>
      </c>
      <c r="Z9" s="1149" t="str">
        <f t="shared" ref="Z9:Z14" si="7">Q9</f>
        <v>用途</v>
      </c>
      <c r="AA9" s="1570">
        <f t="shared" si="3"/>
        <v>1</v>
      </c>
      <c r="AB9" s="1570">
        <f t="shared" si="4"/>
        <v>1</v>
      </c>
      <c r="AC9" s="1570">
        <f t="shared" si="5"/>
        <v>1</v>
      </c>
    </row>
    <row r="10" spans="1:29" s="1337" customFormat="1" ht="28">
      <c r="A10" s="2915"/>
      <c r="B10" s="2920" t="s">
        <v>2716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0"/>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26">
      <c r="A14" s="2910" t="s">
        <v>2713</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2" t="s">
        <v>505</v>
      </c>
      <c r="Q14" s="1571" t="str">
        <f t="shared" si="6"/>
        <v>交通便捷度</v>
      </c>
      <c r="R14" s="1572" t="s">
        <v>8</v>
      </c>
      <c r="S14" s="1573">
        <f t="shared" si="0"/>
        <v>100</v>
      </c>
      <c r="T14" s="1572" t="s">
        <v>8</v>
      </c>
      <c r="U14" s="1573">
        <f t="shared" si="1"/>
        <v>100</v>
      </c>
      <c r="V14" s="1572" t="s">
        <v>8</v>
      </c>
      <c r="W14" s="1573">
        <f t="shared" si="2"/>
        <v>100</v>
      </c>
      <c r="X14" s="1566"/>
      <c r="Y14" s="3402" t="s">
        <v>505</v>
      </c>
      <c r="Z14" s="1574" t="str">
        <f t="shared" si="7"/>
        <v>交通便捷度</v>
      </c>
      <c r="AA14" s="1575">
        <f t="shared" si="3"/>
        <v>1</v>
      </c>
      <c r="AB14" s="1575">
        <f t="shared" si="4"/>
        <v>1</v>
      </c>
      <c r="AC14" s="1575">
        <f t="shared" si="5"/>
        <v>1</v>
      </c>
    </row>
    <row r="15" spans="1:29" ht="15.5">
      <c r="A15" s="515"/>
      <c r="B15" s="924"/>
      <c r="C15" s="576"/>
      <c r="D15" s="555"/>
      <c r="E15" s="576"/>
      <c r="F15" s="557"/>
      <c r="G15" s="576"/>
      <c r="H15" s="559"/>
      <c r="I15" s="576"/>
      <c r="J15" s="555"/>
      <c r="K15" s="899"/>
      <c r="L15" s="2142"/>
      <c r="M15" s="2134"/>
      <c r="N15" s="2134"/>
      <c r="O15" s="2141"/>
      <c r="P15" s="3403"/>
      <c r="Q15" s="1571"/>
      <c r="R15" s="1572"/>
      <c r="S15" s="1573"/>
      <c r="T15" s="1572"/>
      <c r="U15" s="1573"/>
      <c r="V15" s="1572"/>
      <c r="W15" s="1573"/>
      <c r="X15" s="1566"/>
      <c r="Y15" s="3403"/>
      <c r="Z15" s="1574"/>
      <c r="AA15" s="1575">
        <v>1</v>
      </c>
      <c r="AB15" s="1575">
        <v>1</v>
      </c>
      <c r="AC15" s="1575">
        <v>1</v>
      </c>
    </row>
    <row r="16" spans="1:29" ht="56">
      <c r="A16" s="515"/>
      <c r="B16" s="2603" t="s">
        <v>2505</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5">
      <c r="A17" s="515"/>
      <c r="B17" s="566"/>
      <c r="C17" s="873"/>
      <c r="D17" s="555"/>
      <c r="E17" s="576"/>
      <c r="F17" s="557"/>
      <c r="G17" s="576"/>
      <c r="H17" s="555"/>
      <c r="I17" s="576"/>
      <c r="J17" s="555"/>
      <c r="K17" s="899"/>
      <c r="L17" s="2142"/>
      <c r="M17" s="2134"/>
      <c r="N17" s="2134"/>
      <c r="O17" s="2141"/>
      <c r="P17" s="3403"/>
      <c r="Q17" s="1571"/>
      <c r="R17" s="1572"/>
      <c r="S17" s="1573"/>
      <c r="T17" s="1572"/>
      <c r="U17" s="1573"/>
      <c r="V17" s="1572"/>
      <c r="W17" s="1573"/>
      <c r="X17" s="1566"/>
      <c r="Y17" s="3403"/>
      <c r="Z17" s="1574"/>
      <c r="AA17" s="1575">
        <v>1</v>
      </c>
      <c r="AB17" s="1575">
        <v>1</v>
      </c>
      <c r="AC17" s="1575">
        <v>1</v>
      </c>
    </row>
    <row r="18" spans="1:29" ht="42">
      <c r="A18" s="515"/>
      <c r="B18" s="2591" t="s">
        <v>2517</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3"/>
      <c r="Q18" s="2579" t="str">
        <f>B18</f>
        <v>基础设施水平</v>
      </c>
      <c r="R18" s="1572" t="s">
        <v>8</v>
      </c>
      <c r="S18" s="1573">
        <f>F18</f>
        <v>100</v>
      </c>
      <c r="T18" s="1572" t="s">
        <v>8</v>
      </c>
      <c r="U18" s="1573">
        <f>H18</f>
        <v>100</v>
      </c>
      <c r="V18" s="1572" t="s">
        <v>8</v>
      </c>
      <c r="W18" s="1573">
        <f>J18</f>
        <v>100</v>
      </c>
      <c r="X18" s="2581"/>
      <c r="Y18" s="3403"/>
      <c r="Z18" s="2580" t="str">
        <f>Q18</f>
        <v>基础设施水平</v>
      </c>
      <c r="AA18" s="1575">
        <f t="shared" ref="AA18" si="8">D18/F18</f>
        <v>1</v>
      </c>
      <c r="AB18" s="1575">
        <f t="shared" ref="AB18" si="9">D18/H18</f>
        <v>1</v>
      </c>
      <c r="AC18" s="1575">
        <f t="shared" ref="AC18" si="10">D18/J18</f>
        <v>1</v>
      </c>
    </row>
    <row r="19" spans="1:29" ht="15.5">
      <c r="A19" s="515"/>
      <c r="B19" s="578"/>
      <c r="C19" s="873"/>
      <c r="D19" s="559"/>
      <c r="E19" s="576"/>
      <c r="F19" s="557"/>
      <c r="G19" s="576"/>
      <c r="H19" s="555"/>
      <c r="I19" s="576"/>
      <c r="J19" s="555"/>
      <c r="K19" s="2602"/>
      <c r="L19" s="2142"/>
      <c r="M19" s="2134"/>
      <c r="N19" s="2134"/>
      <c r="O19" s="2141"/>
      <c r="P19" s="3403"/>
      <c r="Q19" s="2579"/>
      <c r="R19" s="1572"/>
      <c r="S19" s="1573"/>
      <c r="T19" s="1572"/>
      <c r="U19" s="1573"/>
      <c r="V19" s="1572"/>
      <c r="W19" s="1573"/>
      <c r="X19" s="2581"/>
      <c r="Y19" s="3403"/>
      <c r="Z19" s="2580"/>
      <c r="AA19" s="1575">
        <v>1</v>
      </c>
      <c r="AB19" s="1575">
        <v>1</v>
      </c>
      <c r="AC19" s="1575">
        <v>1</v>
      </c>
    </row>
    <row r="20" spans="1:29" ht="98">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5">
      <c r="A21" s="515"/>
      <c r="B21" s="566"/>
      <c r="C21" s="576"/>
      <c r="D21" s="555"/>
      <c r="E21" s="576"/>
      <c r="F21" s="557"/>
      <c r="G21" s="576"/>
      <c r="H21" s="555"/>
      <c r="I21" s="576"/>
      <c r="J21" s="555"/>
      <c r="K21" s="899"/>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3"/>
      <c r="Q24" s="1571">
        <f t="shared" ref="Q24:Q36"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5">
      <c r="A26" s="2907" t="s">
        <v>2714</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4"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5" t="s">
        <v>515</v>
      </c>
      <c r="Z26" s="1574" t="str">
        <f t="shared" ref="Z26:Z36" si="15">Q26</f>
        <v>配套类型</v>
      </c>
      <c r="AA26" s="1575">
        <f t="shared" si="3"/>
        <v>1</v>
      </c>
      <c r="AB26" s="1575">
        <f t="shared" si="4"/>
        <v>1</v>
      </c>
      <c r="AC26" s="1575">
        <f t="shared" si="5"/>
        <v>1</v>
      </c>
    </row>
    <row r="27" spans="1:29" s="1338" customFormat="1" ht="15.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5"/>
      <c r="Q27" s="1604" t="str">
        <f t="shared" si="11"/>
        <v>项目停车位配比</v>
      </c>
      <c r="R27" s="1576" t="s">
        <v>8</v>
      </c>
      <c r="S27" s="1577">
        <f t="shared" si="12"/>
        <v>100</v>
      </c>
      <c r="T27" s="1576" t="s">
        <v>8</v>
      </c>
      <c r="U27" s="1577">
        <f t="shared" si="13"/>
        <v>100</v>
      </c>
      <c r="V27" s="1576" t="s">
        <v>8</v>
      </c>
      <c r="W27" s="1577">
        <f t="shared" si="14"/>
        <v>100</v>
      </c>
      <c r="X27" s="1578"/>
      <c r="Y27" s="3405"/>
      <c r="Z27" s="1579" t="str">
        <f t="shared" si="15"/>
        <v>项目停车位配比</v>
      </c>
      <c r="AA27" s="1575">
        <f t="shared" si="3"/>
        <v>1</v>
      </c>
      <c r="AB27" s="1575">
        <f t="shared" si="4"/>
        <v>1</v>
      </c>
      <c r="AC27" s="1575">
        <f t="shared" si="5"/>
        <v>1</v>
      </c>
    </row>
    <row r="28" spans="1:29" ht="15.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5"/>
      <c r="Q28" s="1571" t="str">
        <f t="shared" si="11"/>
        <v>公共部分装修</v>
      </c>
      <c r="R28" s="1572" t="s">
        <v>8</v>
      </c>
      <c r="S28" s="1573">
        <f t="shared" si="12"/>
        <v>100</v>
      </c>
      <c r="T28" s="1572" t="s">
        <v>8</v>
      </c>
      <c r="U28" s="1573">
        <f t="shared" si="13"/>
        <v>100</v>
      </c>
      <c r="V28" s="1572" t="s">
        <v>8</v>
      </c>
      <c r="W28" s="1573">
        <f t="shared" si="14"/>
        <v>100</v>
      </c>
      <c r="X28" s="1566"/>
      <c r="Y28" s="3405"/>
      <c r="Z28" s="1574" t="str">
        <f t="shared" si="15"/>
        <v>公共部分装修</v>
      </c>
      <c r="AA28" s="1575">
        <f t="shared" si="3"/>
        <v>1</v>
      </c>
      <c r="AB28" s="1575">
        <f t="shared" si="4"/>
        <v>1</v>
      </c>
      <c r="AC28" s="1575">
        <f t="shared" si="5"/>
        <v>1</v>
      </c>
    </row>
    <row r="29" spans="1:29" ht="15.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5"/>
      <c r="Q29" s="1571" t="str">
        <f t="shared" si="11"/>
        <v>成新率</v>
      </c>
      <c r="R29" s="1572" t="s">
        <v>8</v>
      </c>
      <c r="S29" s="1573" t="e">
        <f t="shared" si="12"/>
        <v>#N/A</v>
      </c>
      <c r="T29" s="1572" t="s">
        <v>8</v>
      </c>
      <c r="U29" s="1573" t="e">
        <f t="shared" si="13"/>
        <v>#N/A</v>
      </c>
      <c r="V29" s="1572" t="s">
        <v>8</v>
      </c>
      <c r="W29" s="1573" t="e">
        <f t="shared" si="14"/>
        <v>#N/A</v>
      </c>
      <c r="X29" s="1566"/>
      <c r="Y29" s="3405"/>
      <c r="Z29" s="1574" t="str">
        <f t="shared" si="15"/>
        <v>成新率</v>
      </c>
      <c r="AA29" s="1575" t="e">
        <f t="shared" si="3"/>
        <v>#N/A</v>
      </c>
      <c r="AB29" s="1575" t="e">
        <f t="shared" si="4"/>
        <v>#N/A</v>
      </c>
      <c r="AC29" s="1575" t="e">
        <f t="shared" si="5"/>
        <v>#N/A</v>
      </c>
    </row>
    <row r="30" spans="1:29" ht="15.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5"/>
      <c r="Q30" s="1571" t="str">
        <f t="shared" si="11"/>
        <v>物业等级</v>
      </c>
      <c r="R30" s="1572" t="s">
        <v>8</v>
      </c>
      <c r="S30" s="1573">
        <f t="shared" si="12"/>
        <v>100</v>
      </c>
      <c r="T30" s="1572" t="s">
        <v>8</v>
      </c>
      <c r="U30" s="1573">
        <f t="shared" si="13"/>
        <v>100</v>
      </c>
      <c r="V30" s="1572" t="s">
        <v>8</v>
      </c>
      <c r="W30" s="1573">
        <f t="shared" si="14"/>
        <v>100</v>
      </c>
      <c r="X30" s="1566"/>
      <c r="Y30" s="3405"/>
      <c r="Z30" s="1574" t="str">
        <f t="shared" si="15"/>
        <v>物业等级</v>
      </c>
      <c r="AA30" s="1575">
        <f t="shared" si="3"/>
        <v>1</v>
      </c>
      <c r="AB30" s="1575">
        <f t="shared" si="4"/>
        <v>1</v>
      </c>
      <c r="AC30" s="1575">
        <f t="shared" si="5"/>
        <v>1</v>
      </c>
    </row>
    <row r="31" spans="1:29" s="1219" customFormat="1" ht="15.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5"/>
      <c r="Q31" s="1150" t="str">
        <f t="shared" si="11"/>
        <v>停车位面积</v>
      </c>
      <c r="R31" s="1567" t="s">
        <v>8</v>
      </c>
      <c r="S31" s="1568" t="e">
        <f t="shared" si="12"/>
        <v>#N/A</v>
      </c>
      <c r="T31" s="1567" t="s">
        <v>8</v>
      </c>
      <c r="U31" s="1568" t="e">
        <f t="shared" si="13"/>
        <v>#N/A</v>
      </c>
      <c r="V31" s="1567" t="s">
        <v>8</v>
      </c>
      <c r="W31" s="1568" t="e">
        <f t="shared" si="14"/>
        <v>#N/A</v>
      </c>
      <c r="X31" s="1569"/>
      <c r="Y31" s="3405"/>
      <c r="Z31" s="1149" t="str">
        <f t="shared" si="15"/>
        <v>停车位面积</v>
      </c>
      <c r="AA31" s="1570" t="e">
        <f t="shared" si="3"/>
        <v>#N/A</v>
      </c>
      <c r="AB31" s="1570" t="e">
        <f t="shared" si="4"/>
        <v>#N/A</v>
      </c>
      <c r="AC31" s="1570" t="e">
        <f t="shared" si="5"/>
        <v>#N/A</v>
      </c>
    </row>
    <row r="32" spans="1:29" ht="15.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5" t="s">
        <v>515</v>
      </c>
      <c r="Q32" s="1571" t="str">
        <f t="shared" si="11"/>
        <v>车位类型</v>
      </c>
      <c r="R32" s="1572" t="s">
        <v>8</v>
      </c>
      <c r="S32" s="1573">
        <f t="shared" si="12"/>
        <v>100</v>
      </c>
      <c r="T32" s="1572" t="s">
        <v>8</v>
      </c>
      <c r="U32" s="1573">
        <f t="shared" si="13"/>
        <v>100</v>
      </c>
      <c r="V32" s="1572" t="s">
        <v>8</v>
      </c>
      <c r="W32" s="1573">
        <f t="shared" si="14"/>
        <v>100</v>
      </c>
      <c r="X32" s="1566"/>
      <c r="Y32" s="3405" t="s">
        <v>515</v>
      </c>
      <c r="Z32" s="1574" t="str">
        <f t="shared" si="15"/>
        <v>车位类型</v>
      </c>
      <c r="AA32" s="1575">
        <f t="shared" si="3"/>
        <v>1</v>
      </c>
      <c r="AB32" s="1575">
        <f t="shared" si="4"/>
        <v>1</v>
      </c>
      <c r="AC32" s="1575">
        <f t="shared" si="5"/>
        <v>1</v>
      </c>
    </row>
    <row r="33" spans="1:29" ht="15.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5"/>
      <c r="Q33" s="1571" t="str">
        <f t="shared" si="11"/>
        <v>是否直接入户</v>
      </c>
      <c r="R33" s="1572" t="s">
        <v>8</v>
      </c>
      <c r="S33" s="1573">
        <f t="shared" si="12"/>
        <v>100</v>
      </c>
      <c r="T33" s="1572" t="s">
        <v>8</v>
      </c>
      <c r="U33" s="1573">
        <f t="shared" si="13"/>
        <v>100</v>
      </c>
      <c r="V33" s="1572" t="s">
        <v>8</v>
      </c>
      <c r="W33" s="1573">
        <f t="shared" si="14"/>
        <v>100</v>
      </c>
      <c r="X33" s="1566"/>
      <c r="Y33" s="3405"/>
      <c r="Z33" s="1574" t="str">
        <f t="shared" si="15"/>
        <v>是否直接入户</v>
      </c>
      <c r="AA33" s="1575">
        <f t="shared" si="3"/>
        <v>1</v>
      </c>
      <c r="AB33" s="1575">
        <f t="shared" si="4"/>
        <v>1</v>
      </c>
      <c r="AC33" s="1575">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s="1338"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5"/>
      <c r="Q35" s="1604">
        <f t="shared" si="11"/>
        <v>111</v>
      </c>
      <c r="R35" s="1576" t="s">
        <v>8</v>
      </c>
      <c r="S35" s="1577">
        <f t="shared" si="12"/>
        <v>100</v>
      </c>
      <c r="T35" s="1576" t="s">
        <v>8</v>
      </c>
      <c r="U35" s="1577">
        <f t="shared" si="13"/>
        <v>100</v>
      </c>
      <c r="V35" s="1576" t="s">
        <v>8</v>
      </c>
      <c r="W35" s="1577">
        <f t="shared" si="14"/>
        <v>100</v>
      </c>
      <c r="X35" s="1578"/>
      <c r="Y35" s="3405"/>
      <c r="Z35" s="1579">
        <f t="shared" si="15"/>
        <v>111</v>
      </c>
      <c r="AA35" s="1575">
        <f t="shared" si="3"/>
        <v>1</v>
      </c>
      <c r="AB35" s="1575">
        <f t="shared" si="4"/>
        <v>1</v>
      </c>
      <c r="AC35" s="1575">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5"/>
      <c r="Q36" s="1571">
        <f t="shared" si="11"/>
        <v>111</v>
      </c>
      <c r="R36" s="1572" t="s">
        <v>8</v>
      </c>
      <c r="S36" s="1573">
        <f t="shared" si="12"/>
        <v>100</v>
      </c>
      <c r="T36" s="1572" t="s">
        <v>8</v>
      </c>
      <c r="U36" s="1573">
        <f t="shared" si="13"/>
        <v>100</v>
      </c>
      <c r="V36" s="1572" t="s">
        <v>8</v>
      </c>
      <c r="W36" s="1573">
        <f t="shared" si="14"/>
        <v>100</v>
      </c>
      <c r="X36" s="1566"/>
      <c r="Y36" s="3405"/>
      <c r="Z36" s="1574">
        <f t="shared" si="15"/>
        <v>111</v>
      </c>
      <c r="AA36" s="1575">
        <f t="shared" si="3"/>
        <v>1</v>
      </c>
      <c r="AB36" s="1575">
        <f t="shared" si="4"/>
        <v>1</v>
      </c>
      <c r="AC36" s="1575">
        <f t="shared" si="5"/>
        <v>1</v>
      </c>
    </row>
    <row r="37" spans="1:29">
      <c r="A37" s="1846" t="s">
        <v>2039</v>
      </c>
      <c r="B37" s="1847" t="s">
        <v>2040</v>
      </c>
      <c r="C37" s="2627" t="s">
        <v>1</v>
      </c>
      <c r="D37" s="2628"/>
      <c r="E37" s="2629"/>
      <c r="F37" s="2630"/>
      <c r="G37" s="2631"/>
      <c r="H37" s="2632"/>
      <c r="I37" s="2629"/>
      <c r="J37" s="2632"/>
      <c r="K37" s="1610"/>
      <c r="L37" s="2144"/>
      <c r="M37" s="2145"/>
      <c r="N37" s="2134"/>
      <c r="O37" s="2145"/>
      <c r="P37" s="3400" t="str">
        <f>A37</f>
        <v>成交单价</v>
      </c>
      <c r="Q37" s="3400"/>
      <c r="R37" s="3504">
        <f>E37</f>
        <v>0</v>
      </c>
      <c r="S37" s="3504"/>
      <c r="T37" s="3504">
        <f>G37</f>
        <v>0</v>
      </c>
      <c r="U37" s="3504"/>
      <c r="V37" s="3504">
        <f>I37</f>
        <v>0</v>
      </c>
      <c r="W37" s="3504"/>
      <c r="X37" s="1558"/>
      <c r="Y37" s="1580"/>
      <c r="Z37" s="1558"/>
      <c r="AA37" s="1558"/>
      <c r="AB37" s="1558"/>
      <c r="AC37" s="1558"/>
    </row>
    <row r="38" spans="1:29" ht="14.5" thickBot="1">
      <c r="A38" s="615" t="s">
        <v>2719</v>
      </c>
      <c r="B38" s="888"/>
      <c r="C38" s="2633" t="e">
        <f>R39</f>
        <v>#DIV/0!</v>
      </c>
      <c r="D38" s="2634"/>
      <c r="E38" s="2635" t="e">
        <f>R38</f>
        <v>#DIV/0!</v>
      </c>
      <c r="F38" s="2635"/>
      <c r="G38" s="2633" t="e">
        <f>T38</f>
        <v>#DIV/0!</v>
      </c>
      <c r="H38" s="2634"/>
      <c r="I38" s="2635" t="e">
        <f>V38</f>
        <v>#DIV/0!</v>
      </c>
      <c r="J38" s="2634"/>
      <c r="K38" s="1611"/>
      <c r="L38" s="2144"/>
      <c r="M38" s="2145"/>
      <c r="N38" s="2145"/>
      <c r="O38" s="2145"/>
      <c r="P38" s="3400" t="str">
        <f>A38</f>
        <v>比较价格（元/平方米）</v>
      </c>
      <c r="Q38" s="3400"/>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8"/>
      <c r="Y38" s="1558"/>
      <c r="Z38" s="1558"/>
      <c r="AA38" s="1558"/>
      <c r="AB38" s="1558"/>
      <c r="AC38" s="1558"/>
    </row>
    <row r="39" spans="1:29" ht="14.5" thickBot="1">
      <c r="A39" s="621" t="s">
        <v>2882</v>
      </c>
      <c r="B39" s="622"/>
      <c r="C39" s="2636" t="e">
        <f>R39</f>
        <v>#DIV/0!</v>
      </c>
      <c r="D39" s="2636"/>
      <c r="E39" s="2636"/>
      <c r="F39" s="2636"/>
      <c r="G39" s="2636"/>
      <c r="H39" s="2636"/>
      <c r="I39" s="2636"/>
      <c r="J39" s="2636"/>
      <c r="K39" s="1612"/>
      <c r="L39" s="2144"/>
      <c r="M39" s="2145"/>
      <c r="N39" s="2145"/>
      <c r="O39" s="2145"/>
      <c r="P39" s="3423" t="str">
        <f>A39</f>
        <v>估价对象XX用房的比较价格（楼面单价，元/平方米）</v>
      </c>
      <c r="Q39" s="3424"/>
      <c r="R39" s="3503" t="e">
        <f>IF(F1="售价",ROUND(AVERAGE(R38:V38),0),ROUND(AVERAGE(R38:V38),1))</f>
        <v>#DIV/0!</v>
      </c>
      <c r="S39" s="3503"/>
      <c r="T39" s="3503"/>
      <c r="U39" s="3503"/>
      <c r="V39" s="3503"/>
      <c r="W39" s="3503"/>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5"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c r="A48" s="645" t="s">
        <v>494</v>
      </c>
      <c r="B48" s="646"/>
      <c r="C48" s="2802" t="str">
        <f>YEAR(C7)&amp;"-"&amp;MONTH(C7)</f>
        <v>2020-3</v>
      </c>
      <c r="D48" s="2804">
        <f>EDATE(C48,-1)</f>
        <v>43862</v>
      </c>
      <c r="E48" s="2804">
        <f t="shared" ref="E48:O48" si="16">EDATE(D48,-1)</f>
        <v>43831</v>
      </c>
      <c r="F48" s="2804">
        <f t="shared" si="16"/>
        <v>43800</v>
      </c>
      <c r="G48" s="2804">
        <f t="shared" si="16"/>
        <v>43770</v>
      </c>
      <c r="H48" s="2804">
        <f t="shared" si="16"/>
        <v>43739</v>
      </c>
      <c r="I48" s="2804">
        <f t="shared" si="16"/>
        <v>43709</v>
      </c>
      <c r="J48" s="2804">
        <f t="shared" si="16"/>
        <v>43678</v>
      </c>
      <c r="K48" s="2804">
        <f t="shared" si="16"/>
        <v>43647</v>
      </c>
      <c r="L48" s="2804">
        <f t="shared" si="16"/>
        <v>43617</v>
      </c>
      <c r="M48" s="2804">
        <f t="shared" si="16"/>
        <v>43586</v>
      </c>
      <c r="N48" s="2804">
        <f t="shared" si="16"/>
        <v>43556</v>
      </c>
      <c r="O48" s="2804">
        <f t="shared" si="16"/>
        <v>43525</v>
      </c>
      <c r="P48" s="2160"/>
      <c r="Q48" s="2161"/>
      <c r="R48" s="2161"/>
      <c r="S48" s="2161"/>
      <c r="T48" s="2161"/>
      <c r="U48" s="2161"/>
      <c r="V48" s="2161"/>
      <c r="W48" s="2161"/>
      <c r="X48" s="2161"/>
      <c r="Y48" s="2161"/>
      <c r="Z48" s="2161"/>
      <c r="AA48" s="2161"/>
      <c r="AB48" s="2161"/>
      <c r="AC48" s="2161"/>
    </row>
    <row r="49" spans="1:29" s="1219"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4.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4.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8.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4.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4.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4.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4.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4.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4.5" thickTop="1">
      <c r="A65" s="669"/>
      <c r="B65" s="1896" t="s">
        <v>2516</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4.5" thickTop="1">
      <c r="A67" s="669"/>
      <c r="B67" s="2597" t="s">
        <v>2517</v>
      </c>
      <c r="C67" s="2598" t="s">
        <v>2518</v>
      </c>
      <c r="D67" s="2598" t="s">
        <v>2519</v>
      </c>
      <c r="E67" s="2598" t="s">
        <v>2520</v>
      </c>
      <c r="F67" s="2598" t="s">
        <v>2521</v>
      </c>
      <c r="G67" s="2598" t="s">
        <v>2522</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4.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4.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4.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4.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4.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4.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4.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4.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8.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4.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4.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4.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4.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4.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4.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4.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4.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4.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4.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4.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
  <cols>
    <col min="1" max="1" width="10.453125" style="1336" customWidth="1"/>
    <col min="2" max="2" width="15.81640625" style="1336" customWidth="1"/>
    <col min="3" max="3" width="14.36328125" style="1336" customWidth="1"/>
    <col min="4" max="4" width="12.1796875" style="1336" customWidth="1"/>
    <col min="5" max="5" width="14.36328125" style="1336" customWidth="1"/>
    <col min="6" max="6" width="12.1796875" style="1336" customWidth="1"/>
    <col min="7" max="7" width="14.453125" style="1336" customWidth="1"/>
    <col min="8" max="8" width="12.1796875" style="1336" customWidth="1"/>
    <col min="9" max="9" width="14.453125" style="1336" customWidth="1"/>
    <col min="10" max="10" width="12.1796875" style="1336" customWidth="1"/>
    <col min="11" max="11" width="12.1796875" style="1342" customWidth="1"/>
    <col min="12" max="12" width="12.1796875" style="1343" customWidth="1"/>
    <col min="13" max="15" width="12.1796875" style="1336" customWidth="1"/>
    <col min="16" max="16" width="4.81640625" style="1336" customWidth="1"/>
    <col min="17" max="17" width="19.453125" style="1336" customWidth="1"/>
    <col min="18" max="22" width="6.08984375" style="1336" customWidth="1"/>
    <col min="23" max="23" width="5.81640625" style="1336" customWidth="1"/>
    <col min="24" max="24" width="4.1796875" style="1336" customWidth="1"/>
    <col min="25" max="25" width="3.453125" style="1336" customWidth="1"/>
    <col min="26" max="26" width="19.81640625" style="1336" customWidth="1"/>
    <col min="27" max="28" width="9.3632812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c r="A4" s="512" t="s">
        <v>762</v>
      </c>
      <c r="B4" s="513"/>
      <c r="C4" s="3406" t="s">
        <v>763</v>
      </c>
      <c r="D4" s="3407"/>
      <c r="E4" s="3432" t="s">
        <v>764</v>
      </c>
      <c r="F4" s="3433"/>
      <c r="G4" s="3406" t="s">
        <v>765</v>
      </c>
      <c r="H4" s="3407"/>
      <c r="I4" s="3406" t="s">
        <v>766</v>
      </c>
      <c r="J4" s="3407"/>
      <c r="K4" s="514" t="s">
        <v>767</v>
      </c>
      <c r="L4" s="2133"/>
      <c r="M4" s="2134"/>
      <c r="N4" s="2134"/>
      <c r="O4" s="2134"/>
      <c r="P4" s="3408" t="s">
        <v>768</v>
      </c>
      <c r="Q4" s="3409"/>
      <c r="R4" s="3394" t="s">
        <v>764</v>
      </c>
      <c r="S4" s="3395"/>
      <c r="T4" s="3394" t="s">
        <v>765</v>
      </c>
      <c r="U4" s="3395"/>
      <c r="V4" s="3414" t="s">
        <v>766</v>
      </c>
      <c r="W4" s="3414"/>
      <c r="X4" s="1566"/>
      <c r="Y4" s="3394" t="s">
        <v>768</v>
      </c>
      <c r="Z4" s="3395"/>
      <c r="AA4" s="3389" t="s">
        <v>764</v>
      </c>
      <c r="AB4" s="3390" t="s">
        <v>765</v>
      </c>
      <c r="AC4" s="3389" t="s">
        <v>766</v>
      </c>
    </row>
    <row r="5" spans="1:29">
      <c r="A5" s="515"/>
      <c r="B5" s="516"/>
      <c r="C5" s="3436" t="s">
        <v>2876</v>
      </c>
      <c r="D5" s="3418"/>
      <c r="E5" s="3434" t="s">
        <v>2877</v>
      </c>
      <c r="F5" s="3435"/>
      <c r="G5" s="3436" t="s">
        <v>2878</v>
      </c>
      <c r="H5" s="3418"/>
      <c r="I5" s="3436" t="s">
        <v>2879</v>
      </c>
      <c r="J5" s="3418"/>
      <c r="K5" s="514"/>
      <c r="L5" s="2133"/>
      <c r="M5" s="2134"/>
      <c r="N5" s="2134"/>
      <c r="O5" s="2134"/>
      <c r="P5" s="3410"/>
      <c r="Q5" s="3411"/>
      <c r="R5" s="3396"/>
      <c r="S5" s="3397"/>
      <c r="T5" s="3396"/>
      <c r="U5" s="3397"/>
      <c r="V5" s="3414"/>
      <c r="W5" s="3414"/>
      <c r="X5" s="1566"/>
      <c r="Y5" s="3396"/>
      <c r="Z5" s="3397"/>
      <c r="AA5" s="3390"/>
      <c r="AB5" s="3390"/>
      <c r="AC5" s="3390"/>
    </row>
    <row r="6" spans="1:29" ht="15" thickBot="1">
      <c r="A6" s="517"/>
      <c r="B6" s="518"/>
      <c r="C6" s="3415" t="s">
        <v>2880</v>
      </c>
      <c r="D6" s="3416"/>
      <c r="E6" s="3437" t="s">
        <v>2880</v>
      </c>
      <c r="F6" s="3438"/>
      <c r="G6" s="3415" t="s">
        <v>2880</v>
      </c>
      <c r="H6" s="3416"/>
      <c r="I6" s="3415" t="s">
        <v>2880</v>
      </c>
      <c r="J6" s="3416"/>
      <c r="K6" s="514" t="s">
        <v>493</v>
      </c>
      <c r="L6" s="2133"/>
      <c r="M6" s="2134"/>
      <c r="N6" s="2134"/>
      <c r="O6" s="2134"/>
      <c r="P6" s="3412"/>
      <c r="Q6" s="3413"/>
      <c r="R6" s="3396"/>
      <c r="S6" s="3397"/>
      <c r="T6" s="3398"/>
      <c r="U6" s="3399"/>
      <c r="V6" s="3414"/>
      <c r="W6" s="3414"/>
      <c r="X6" s="1566"/>
      <c r="Y6" s="3398"/>
      <c r="Z6" s="3399"/>
      <c r="AA6" s="3391"/>
      <c r="AB6" s="3391"/>
      <c r="AC6" s="3391"/>
    </row>
    <row r="7" spans="1:29" s="1219" customFormat="1" ht="14.5" thickBot="1">
      <c r="A7" s="2912"/>
      <c r="B7" s="2919" t="s">
        <v>494</v>
      </c>
      <c r="C7" s="519">
        <f>'数据-取费表'!B2</f>
        <v>43899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2" t="s">
        <v>495</v>
      </c>
      <c r="Q7" s="3401"/>
      <c r="R7" s="1567" t="s">
        <v>8</v>
      </c>
      <c r="S7" s="1568">
        <f t="shared" ref="S7:S14" si="0">F7</f>
        <v>0</v>
      </c>
      <c r="T7" s="1567" t="s">
        <v>8</v>
      </c>
      <c r="U7" s="1568">
        <f t="shared" ref="U7:U14" si="1">H7</f>
        <v>0</v>
      </c>
      <c r="V7" s="1567" t="s">
        <v>8</v>
      </c>
      <c r="W7" s="1568">
        <f t="shared" ref="W7:W14" si="2">J7</f>
        <v>0</v>
      </c>
      <c r="X7" s="1569"/>
      <c r="Y7" s="3392" t="s">
        <v>495</v>
      </c>
      <c r="Z7" s="3393"/>
      <c r="AA7" s="1570" t="e">
        <f>D7/F7</f>
        <v>#DIV/0!</v>
      </c>
      <c r="AB7" s="1570" t="e">
        <f>D7/H7</f>
        <v>#DIV/0!</v>
      </c>
      <c r="AC7" s="1570" t="e">
        <f>D7/J7</f>
        <v>#DIV/0!</v>
      </c>
    </row>
    <row r="8" spans="1:29" s="1219" customFormat="1" ht="14.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2" t="s">
        <v>498</v>
      </c>
      <c r="Q8" s="3393"/>
      <c r="R8" s="1567" t="s">
        <v>8</v>
      </c>
      <c r="S8" s="1568">
        <f t="shared" si="0"/>
        <v>0</v>
      </c>
      <c r="T8" s="1567" t="s">
        <v>8</v>
      </c>
      <c r="U8" s="1568">
        <f t="shared" si="1"/>
        <v>0</v>
      </c>
      <c r="V8" s="1567" t="s">
        <v>8</v>
      </c>
      <c r="W8" s="1568">
        <f t="shared" si="2"/>
        <v>0</v>
      </c>
      <c r="X8" s="1569"/>
      <c r="Y8" s="3392" t="s">
        <v>498</v>
      </c>
      <c r="Z8" s="3393"/>
      <c r="AA8" s="1570" t="e">
        <f t="shared" ref="AA8:AA34" si="3">D8/F8</f>
        <v>#DIV/0!</v>
      </c>
      <c r="AB8" s="1570" t="e">
        <f t="shared" ref="AB8:AB34" si="4">D8/H8</f>
        <v>#DIV/0!</v>
      </c>
      <c r="AC8" s="1570" t="e">
        <f t="shared" ref="AC8:AC34" si="5">D8/J8</f>
        <v>#DIV/0!</v>
      </c>
    </row>
    <row r="9" spans="1:29" s="1219" customFormat="1">
      <c r="A9" s="2914"/>
      <c r="B9" s="2921" t="s">
        <v>2715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0" t="s">
        <v>500</v>
      </c>
      <c r="Q9" s="1150" t="str">
        <f t="shared" ref="Q9:Q14" si="6">B9</f>
        <v>用途</v>
      </c>
      <c r="R9" s="1567" t="s">
        <v>8</v>
      </c>
      <c r="S9" s="1568">
        <f t="shared" si="0"/>
        <v>100</v>
      </c>
      <c r="T9" s="1567" t="s">
        <v>8</v>
      </c>
      <c r="U9" s="1568">
        <f t="shared" si="1"/>
        <v>100</v>
      </c>
      <c r="V9" s="1567" t="s">
        <v>8</v>
      </c>
      <c r="W9" s="1568">
        <f t="shared" si="2"/>
        <v>100</v>
      </c>
      <c r="X9" s="1569"/>
      <c r="Y9" s="3357" t="s">
        <v>501</v>
      </c>
      <c r="Z9" s="1149" t="str">
        <f t="shared" ref="Z9:Z14" si="7">Q9</f>
        <v>用途</v>
      </c>
      <c r="AA9" s="1570">
        <f t="shared" si="3"/>
        <v>1</v>
      </c>
      <c r="AB9" s="1570">
        <f t="shared" si="4"/>
        <v>1</v>
      </c>
      <c r="AC9" s="1570">
        <f t="shared" si="5"/>
        <v>1</v>
      </c>
    </row>
    <row r="10" spans="1:29" s="1337" customFormat="1" ht="28">
      <c r="A10" s="2915"/>
      <c r="B10" s="2920" t="s">
        <v>2716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0"/>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0"/>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0"/>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0"/>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26">
      <c r="A14" s="2910" t="s">
        <v>2713</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2" t="s">
        <v>505</v>
      </c>
      <c r="Q14" s="1571" t="str">
        <f t="shared" si="6"/>
        <v>交通便捷度</v>
      </c>
      <c r="R14" s="1572" t="s">
        <v>8</v>
      </c>
      <c r="S14" s="1573">
        <f t="shared" si="0"/>
        <v>100</v>
      </c>
      <c r="T14" s="1572" t="s">
        <v>8</v>
      </c>
      <c r="U14" s="1573">
        <f t="shared" si="1"/>
        <v>100</v>
      </c>
      <c r="V14" s="1572" t="s">
        <v>8</v>
      </c>
      <c r="W14" s="1573">
        <f t="shared" si="2"/>
        <v>100</v>
      </c>
      <c r="X14" s="1566"/>
      <c r="Y14" s="3402" t="s">
        <v>505</v>
      </c>
      <c r="Z14" s="1574" t="str">
        <f t="shared" si="7"/>
        <v>交通便捷度</v>
      </c>
      <c r="AA14" s="1575">
        <f t="shared" si="3"/>
        <v>1</v>
      </c>
      <c r="AB14" s="1575">
        <f t="shared" si="4"/>
        <v>1</v>
      </c>
      <c r="AC14" s="1575">
        <f t="shared" si="5"/>
        <v>1</v>
      </c>
    </row>
    <row r="15" spans="1:29" ht="15.5">
      <c r="A15" s="532"/>
      <c r="B15" s="869"/>
      <c r="C15" s="576"/>
      <c r="D15" s="555"/>
      <c r="E15" s="576"/>
      <c r="F15" s="557"/>
      <c r="G15" s="576"/>
      <c r="H15" s="559"/>
      <c r="I15" s="576"/>
      <c r="J15" s="555"/>
      <c r="K15" s="899"/>
      <c r="L15" s="2142"/>
      <c r="M15" s="2134"/>
      <c r="N15" s="2134"/>
      <c r="O15" s="2141"/>
      <c r="P15" s="3403"/>
      <c r="Q15" s="1571"/>
      <c r="R15" s="1572"/>
      <c r="S15" s="1573"/>
      <c r="T15" s="1572"/>
      <c r="U15" s="1573"/>
      <c r="V15" s="1572"/>
      <c r="W15" s="1573"/>
      <c r="X15" s="1566"/>
      <c r="Y15" s="3403"/>
      <c r="Z15" s="1574"/>
      <c r="AA15" s="1575">
        <v>1</v>
      </c>
      <c r="AB15" s="1575">
        <v>1</v>
      </c>
      <c r="AC15" s="1575">
        <v>1</v>
      </c>
    </row>
    <row r="16" spans="1:29" ht="56">
      <c r="A16" s="532"/>
      <c r="B16" s="2603" t="s">
        <v>2505</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5">
      <c r="A17" s="532"/>
      <c r="B17" s="566"/>
      <c r="C17" s="873"/>
      <c r="D17" s="555"/>
      <c r="E17" s="576"/>
      <c r="F17" s="557"/>
      <c r="G17" s="576"/>
      <c r="H17" s="555"/>
      <c r="I17" s="576"/>
      <c r="J17" s="555"/>
      <c r="K17" s="899"/>
      <c r="L17" s="2142"/>
      <c r="M17" s="2134"/>
      <c r="N17" s="2134"/>
      <c r="O17" s="2141"/>
      <c r="P17" s="3403"/>
      <c r="Q17" s="1571"/>
      <c r="R17" s="1572"/>
      <c r="S17" s="1573"/>
      <c r="T17" s="1572"/>
      <c r="U17" s="1573"/>
      <c r="V17" s="1572"/>
      <c r="W17" s="1573"/>
      <c r="X17" s="1566"/>
      <c r="Y17" s="3403"/>
      <c r="Z17" s="1574"/>
      <c r="AA17" s="1575">
        <v>1</v>
      </c>
      <c r="AB17" s="1575">
        <v>1</v>
      </c>
      <c r="AC17" s="1575">
        <v>1</v>
      </c>
    </row>
    <row r="18" spans="1:29" ht="42">
      <c r="A18" s="532"/>
      <c r="B18" s="2591" t="s">
        <v>2517</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3"/>
      <c r="Q18" s="2579" t="str">
        <f>B18</f>
        <v>基础设施水平</v>
      </c>
      <c r="R18" s="1572" t="s">
        <v>8</v>
      </c>
      <c r="S18" s="1573">
        <f>F18</f>
        <v>100</v>
      </c>
      <c r="T18" s="1572" t="s">
        <v>8</v>
      </c>
      <c r="U18" s="1573">
        <f>H18</f>
        <v>100</v>
      </c>
      <c r="V18" s="1572" t="s">
        <v>8</v>
      </c>
      <c r="W18" s="1573">
        <f>J18</f>
        <v>100</v>
      </c>
      <c r="X18" s="2581"/>
      <c r="Y18" s="3403"/>
      <c r="Z18" s="2580" t="str">
        <f>Q18</f>
        <v>基础设施水平</v>
      </c>
      <c r="AA18" s="1575">
        <f t="shared" ref="AA18" si="8">D18/F18</f>
        <v>1</v>
      </c>
      <c r="AB18" s="1575">
        <f t="shared" ref="AB18" si="9">D18/H18</f>
        <v>1</v>
      </c>
      <c r="AC18" s="1575">
        <f t="shared" ref="AC18" si="10">D18/J18</f>
        <v>1</v>
      </c>
    </row>
    <row r="19" spans="1:29" ht="15.5">
      <c r="A19" s="532"/>
      <c r="B19" s="578"/>
      <c r="C19" s="873"/>
      <c r="D19" s="559"/>
      <c r="E19" s="873"/>
      <c r="F19" s="563"/>
      <c r="G19" s="873"/>
      <c r="H19" s="555"/>
      <c r="I19" s="576"/>
      <c r="J19" s="555"/>
      <c r="K19" s="2602"/>
      <c r="L19" s="2142"/>
      <c r="M19" s="2134"/>
      <c r="N19" s="2134"/>
      <c r="O19" s="2141"/>
      <c r="P19" s="3403"/>
      <c r="Q19" s="2579"/>
      <c r="R19" s="1572"/>
      <c r="S19" s="1573"/>
      <c r="T19" s="1572"/>
      <c r="U19" s="1573"/>
      <c r="V19" s="1572"/>
      <c r="W19" s="1573"/>
      <c r="X19" s="2581"/>
      <c r="Y19" s="3403"/>
      <c r="Z19" s="2580"/>
      <c r="AA19" s="1575">
        <v>1</v>
      </c>
      <c r="AB19" s="1575">
        <v>1</v>
      </c>
      <c r="AC19" s="1575">
        <v>1</v>
      </c>
    </row>
    <row r="20" spans="1:29" ht="98">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5">
      <c r="A21" s="532"/>
      <c r="B21" s="595"/>
      <c r="C21" s="576"/>
      <c r="D21" s="555"/>
      <c r="E21" s="576"/>
      <c r="F21" s="557"/>
      <c r="G21" s="576"/>
      <c r="H21" s="555"/>
      <c r="I21" s="576"/>
      <c r="J21" s="555"/>
      <c r="K21" s="899"/>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3"/>
      <c r="Q24" s="1571">
        <f t="shared" ref="Q24:Q34"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5">
      <c r="A26" s="2907" t="s">
        <v>2714</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4"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5" t="s">
        <v>786</v>
      </c>
      <c r="Z26" s="1574" t="str">
        <f t="shared" ref="Z26:Z34" si="15">Q26</f>
        <v>公共部分装修</v>
      </c>
      <c r="AA26" s="1575">
        <f t="shared" si="3"/>
        <v>1</v>
      </c>
      <c r="AB26" s="1575">
        <f t="shared" si="4"/>
        <v>1</v>
      </c>
      <c r="AC26" s="1575">
        <f t="shared" si="5"/>
        <v>1</v>
      </c>
    </row>
    <row r="27" spans="1:29" s="1338" customFormat="1" ht="15.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5"/>
      <c r="Q27" s="1604" t="str">
        <f t="shared" si="11"/>
        <v>成新率</v>
      </c>
      <c r="R27" s="1576" t="s">
        <v>8</v>
      </c>
      <c r="S27" s="1577" t="e">
        <f t="shared" si="12"/>
        <v>#N/A</v>
      </c>
      <c r="T27" s="1576" t="s">
        <v>8</v>
      </c>
      <c r="U27" s="1577" t="e">
        <f t="shared" si="13"/>
        <v>#N/A</v>
      </c>
      <c r="V27" s="1576" t="s">
        <v>8</v>
      </c>
      <c r="W27" s="1577" t="e">
        <f t="shared" si="14"/>
        <v>#N/A</v>
      </c>
      <c r="X27" s="1578"/>
      <c r="Y27" s="3405"/>
      <c r="Z27" s="1579" t="str">
        <f t="shared" si="15"/>
        <v>成新率</v>
      </c>
      <c r="AA27" s="1575" t="e">
        <f t="shared" si="3"/>
        <v>#N/A</v>
      </c>
      <c r="AB27" s="1575" t="e">
        <f t="shared" si="4"/>
        <v>#N/A</v>
      </c>
      <c r="AC27" s="1575" t="e">
        <f t="shared" si="5"/>
        <v>#N/A</v>
      </c>
    </row>
    <row r="28" spans="1:29" ht="15.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5"/>
      <c r="Q28" s="1571" t="str">
        <f t="shared" si="11"/>
        <v>物业等级</v>
      </c>
      <c r="R28" s="1572" t="s">
        <v>8</v>
      </c>
      <c r="S28" s="1573">
        <f t="shared" si="12"/>
        <v>100</v>
      </c>
      <c r="T28" s="1572" t="s">
        <v>8</v>
      </c>
      <c r="U28" s="1573">
        <f t="shared" si="13"/>
        <v>100</v>
      </c>
      <c r="V28" s="1572" t="s">
        <v>8</v>
      </c>
      <c r="W28" s="1573">
        <f t="shared" si="14"/>
        <v>100</v>
      </c>
      <c r="X28" s="1566"/>
      <c r="Y28" s="3405"/>
      <c r="Z28" s="1574" t="str">
        <f t="shared" si="15"/>
        <v>物业等级</v>
      </c>
      <c r="AA28" s="1575">
        <f t="shared" si="3"/>
        <v>1</v>
      </c>
      <c r="AB28" s="1575">
        <f t="shared" si="4"/>
        <v>1</v>
      </c>
      <c r="AC28" s="1575">
        <f t="shared" si="5"/>
        <v>1</v>
      </c>
    </row>
    <row r="29" spans="1:29" ht="15.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5"/>
      <c r="Q29" s="1571" t="str">
        <f t="shared" si="11"/>
        <v>有无电梯</v>
      </c>
      <c r="R29" s="1572" t="s">
        <v>8</v>
      </c>
      <c r="S29" s="1573">
        <f t="shared" si="12"/>
        <v>100</v>
      </c>
      <c r="T29" s="1572" t="s">
        <v>8</v>
      </c>
      <c r="U29" s="1573">
        <f t="shared" si="13"/>
        <v>100</v>
      </c>
      <c r="V29" s="1572" t="s">
        <v>8</v>
      </c>
      <c r="W29" s="1573">
        <f t="shared" si="14"/>
        <v>100</v>
      </c>
      <c r="X29" s="1566"/>
      <c r="Y29" s="3405"/>
      <c r="Z29" s="1574" t="str">
        <f t="shared" si="15"/>
        <v>有无电梯</v>
      </c>
      <c r="AA29" s="1575">
        <f t="shared" si="3"/>
        <v>1</v>
      </c>
      <c r="AB29" s="1575">
        <f t="shared" si="4"/>
        <v>1</v>
      </c>
      <c r="AC29" s="1575">
        <f t="shared" si="5"/>
        <v>1</v>
      </c>
    </row>
    <row r="30" spans="1:29" ht="15.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5"/>
      <c r="Q30" s="1571" t="str">
        <f t="shared" si="11"/>
        <v>建筑面积</v>
      </c>
      <c r="R30" s="1572" t="s">
        <v>8</v>
      </c>
      <c r="S30" s="1573" t="e">
        <f t="shared" si="12"/>
        <v>#N/A</v>
      </c>
      <c r="T30" s="1572" t="s">
        <v>8</v>
      </c>
      <c r="U30" s="1573" t="e">
        <f t="shared" si="13"/>
        <v>#N/A</v>
      </c>
      <c r="V30" s="1572" t="s">
        <v>8</v>
      </c>
      <c r="W30" s="1573" t="e">
        <f t="shared" si="14"/>
        <v>#N/A</v>
      </c>
      <c r="X30" s="1566"/>
      <c r="Y30" s="3405"/>
      <c r="Z30" s="1574" t="str">
        <f t="shared" si="15"/>
        <v>建筑面积</v>
      </c>
      <c r="AA30" s="1575" t="e">
        <f t="shared" si="3"/>
        <v>#N/A</v>
      </c>
      <c r="AB30" s="1575" t="e">
        <f t="shared" si="4"/>
        <v>#N/A</v>
      </c>
      <c r="AC30" s="1575" t="e">
        <f t="shared" si="5"/>
        <v>#N/A</v>
      </c>
    </row>
    <row r="31" spans="1:29" s="1219" customFormat="1" ht="15.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5"/>
      <c r="Q31" s="1150" t="str">
        <f t="shared" si="11"/>
        <v>是否封闭</v>
      </c>
      <c r="R31" s="1567" t="s">
        <v>8</v>
      </c>
      <c r="S31" s="1568">
        <f t="shared" si="12"/>
        <v>100</v>
      </c>
      <c r="T31" s="1567" t="s">
        <v>8</v>
      </c>
      <c r="U31" s="1568">
        <f t="shared" si="13"/>
        <v>100</v>
      </c>
      <c r="V31" s="1567" t="s">
        <v>8</v>
      </c>
      <c r="W31" s="1568">
        <f t="shared" si="14"/>
        <v>100</v>
      </c>
      <c r="X31" s="1569"/>
      <c r="Y31" s="3405"/>
      <c r="Z31" s="1149" t="str">
        <f t="shared" si="15"/>
        <v>是否封闭</v>
      </c>
      <c r="AA31" s="1570">
        <f t="shared" si="3"/>
        <v>1</v>
      </c>
      <c r="AB31" s="1570">
        <f t="shared" si="4"/>
        <v>1</v>
      </c>
      <c r="AC31" s="1570">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5" t="s">
        <v>515</v>
      </c>
      <c r="Q32" s="1571">
        <f t="shared" si="11"/>
        <v>111</v>
      </c>
      <c r="R32" s="1572" t="s">
        <v>8</v>
      </c>
      <c r="S32" s="1573">
        <f t="shared" si="12"/>
        <v>100</v>
      </c>
      <c r="T32" s="1572" t="s">
        <v>8</v>
      </c>
      <c r="U32" s="1573">
        <f t="shared" si="13"/>
        <v>100</v>
      </c>
      <c r="V32" s="1572" t="s">
        <v>8</v>
      </c>
      <c r="W32" s="1573">
        <f t="shared" si="14"/>
        <v>100</v>
      </c>
      <c r="X32" s="1566"/>
      <c r="Y32" s="3405" t="s">
        <v>515</v>
      </c>
      <c r="Z32" s="1574">
        <f t="shared" si="15"/>
        <v>111</v>
      </c>
      <c r="AA32" s="1575">
        <f t="shared" si="3"/>
        <v>1</v>
      </c>
      <c r="AB32" s="1575">
        <f t="shared" si="4"/>
        <v>1</v>
      </c>
      <c r="AC32" s="1575">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5"/>
      <c r="Q33" s="1571">
        <f t="shared" si="11"/>
        <v>111</v>
      </c>
      <c r="R33" s="1572" t="s">
        <v>8</v>
      </c>
      <c r="S33" s="1573">
        <f t="shared" si="12"/>
        <v>100</v>
      </c>
      <c r="T33" s="1572" t="s">
        <v>8</v>
      </c>
      <c r="U33" s="1573">
        <f t="shared" si="13"/>
        <v>100</v>
      </c>
      <c r="V33" s="1572" t="s">
        <v>8</v>
      </c>
      <c r="W33" s="1573">
        <f t="shared" si="14"/>
        <v>100</v>
      </c>
      <c r="X33" s="1566"/>
      <c r="Y33" s="3405"/>
      <c r="Z33" s="1574">
        <f t="shared" si="15"/>
        <v>111</v>
      </c>
      <c r="AA33" s="1575">
        <f t="shared" si="3"/>
        <v>1</v>
      </c>
      <c r="AB33" s="1575">
        <f t="shared" si="4"/>
        <v>1</v>
      </c>
      <c r="AC33" s="1575">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c r="A35" s="607" t="s">
        <v>701</v>
      </c>
      <c r="B35" s="887"/>
      <c r="C35" s="2627" t="s">
        <v>1</v>
      </c>
      <c r="D35" s="2628"/>
      <c r="E35" s="2629"/>
      <c r="F35" s="2630"/>
      <c r="G35" s="2631"/>
      <c r="H35" s="2632"/>
      <c r="I35" s="2629"/>
      <c r="J35" s="2632"/>
      <c r="K35" s="1610"/>
      <c r="L35" s="2144"/>
      <c r="M35" s="2145"/>
      <c r="N35" s="2134"/>
      <c r="O35" s="2145"/>
      <c r="P35" s="3400" t="str">
        <f>A35</f>
        <v>成交单价（元/平方米）</v>
      </c>
      <c r="Q35" s="3400"/>
      <c r="R35" s="3504">
        <f>E35</f>
        <v>0</v>
      </c>
      <c r="S35" s="3504"/>
      <c r="T35" s="3504">
        <f>G35</f>
        <v>0</v>
      </c>
      <c r="U35" s="3504"/>
      <c r="V35" s="3504">
        <f>I35</f>
        <v>0</v>
      </c>
      <c r="W35" s="3504"/>
      <c r="X35" s="1558"/>
      <c r="Y35" s="1580"/>
      <c r="Z35" s="1558"/>
      <c r="AA35" s="1558"/>
      <c r="AB35" s="1558"/>
      <c r="AC35" s="1558"/>
    </row>
    <row r="36" spans="1:29" ht="14.5" thickBot="1">
      <c r="A36" s="615" t="s">
        <v>2719</v>
      </c>
      <c r="B36" s="888"/>
      <c r="C36" s="2633" t="e">
        <f>R37</f>
        <v>#DIV/0!</v>
      </c>
      <c r="D36" s="2634"/>
      <c r="E36" s="2635" t="e">
        <f>R36</f>
        <v>#DIV/0!</v>
      </c>
      <c r="F36" s="2635"/>
      <c r="G36" s="2633" t="e">
        <f>T36</f>
        <v>#DIV/0!</v>
      </c>
      <c r="H36" s="2634"/>
      <c r="I36" s="2635" t="e">
        <f>V36</f>
        <v>#DIV/0!</v>
      </c>
      <c r="J36" s="2634"/>
      <c r="K36" s="1611"/>
      <c r="L36" s="2144"/>
      <c r="M36" s="2145"/>
      <c r="N36" s="2134"/>
      <c r="O36" s="2145"/>
      <c r="P36" s="3400" t="str">
        <f>A36</f>
        <v>比较价格（元/平方米）</v>
      </c>
      <c r="Q36" s="340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8"/>
      <c r="Y36" s="1558"/>
      <c r="Z36" s="1558"/>
      <c r="AA36" s="1558"/>
      <c r="AB36" s="1558"/>
      <c r="AC36" s="1558"/>
    </row>
    <row r="37" spans="1:29" ht="14.5" thickBot="1">
      <c r="A37" s="621" t="s">
        <v>2882</v>
      </c>
      <c r="B37" s="622"/>
      <c r="C37" s="2636" t="e">
        <f>R37</f>
        <v>#DIV/0!</v>
      </c>
      <c r="D37" s="2636"/>
      <c r="E37" s="2636"/>
      <c r="F37" s="2636"/>
      <c r="G37" s="2636"/>
      <c r="H37" s="2636"/>
      <c r="I37" s="2636"/>
      <c r="J37" s="2636"/>
      <c r="K37" s="1612"/>
      <c r="L37" s="2144"/>
      <c r="M37" s="2145"/>
      <c r="N37" s="2145"/>
      <c r="O37" s="2145"/>
      <c r="P37" s="3423" t="str">
        <f>A37</f>
        <v>估价对象XX用房的比较价格（楼面单价，元/平方米）</v>
      </c>
      <c r="Q37" s="3424"/>
      <c r="R37" s="3503" t="e">
        <f>IF(F1="售价",ROUND(AVERAGE(R36:V36),0),ROUND(AVERAGE(R36:V36),1))</f>
        <v>#DIV/0!</v>
      </c>
      <c r="S37" s="3503"/>
      <c r="T37" s="3503"/>
      <c r="U37" s="3503"/>
      <c r="V37" s="3503"/>
      <c r="W37" s="3503"/>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5"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c r="A46" s="645" t="s">
        <v>494</v>
      </c>
      <c r="B46" s="646"/>
      <c r="C46" s="2802" t="str">
        <f>YEAR(C7)&amp;"-"&amp;MONTH(C7)</f>
        <v>2020-3</v>
      </c>
      <c r="D46" s="2804">
        <f>EDATE(C46,-1)</f>
        <v>43862</v>
      </c>
      <c r="E46" s="2804">
        <f t="shared" ref="E46:O46" si="16">EDATE(D46,-1)</f>
        <v>43831</v>
      </c>
      <c r="F46" s="2804">
        <f t="shared" si="16"/>
        <v>43800</v>
      </c>
      <c r="G46" s="2804">
        <f t="shared" si="16"/>
        <v>43770</v>
      </c>
      <c r="H46" s="2804">
        <f t="shared" si="16"/>
        <v>43739</v>
      </c>
      <c r="I46" s="2804">
        <f t="shared" si="16"/>
        <v>43709</v>
      </c>
      <c r="J46" s="2804">
        <f t="shared" si="16"/>
        <v>43678</v>
      </c>
      <c r="K46" s="2804">
        <f t="shared" si="16"/>
        <v>43647</v>
      </c>
      <c r="L46" s="2804">
        <f t="shared" si="16"/>
        <v>43617</v>
      </c>
      <c r="M46" s="2804">
        <f t="shared" si="16"/>
        <v>43586</v>
      </c>
      <c r="N46" s="2804">
        <f t="shared" si="16"/>
        <v>43556</v>
      </c>
      <c r="O46" s="2804">
        <f t="shared" si="16"/>
        <v>43525</v>
      </c>
      <c r="P46" s="2160"/>
      <c r="Q46" s="2161"/>
      <c r="R46" s="2161"/>
      <c r="S46" s="2161"/>
      <c r="T46" s="2161"/>
      <c r="U46" s="2161"/>
      <c r="V46" s="2161"/>
      <c r="W46" s="2161"/>
      <c r="X46" s="2161"/>
      <c r="Y46" s="2161"/>
      <c r="Z46" s="2161"/>
      <c r="AA46" s="2161"/>
      <c r="AB46" s="2161"/>
      <c r="AC46" s="2161"/>
    </row>
    <row r="47" spans="1:29" s="1219"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4.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4.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8.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4.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4.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4.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4.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4.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4.5" thickTop="1">
      <c r="A63" s="669"/>
      <c r="B63" s="1896" t="s">
        <v>2516</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4.5" thickTop="1">
      <c r="A65" s="669"/>
      <c r="B65" s="2597" t="s">
        <v>2517</v>
      </c>
      <c r="C65" s="2598" t="s">
        <v>2518</v>
      </c>
      <c r="D65" s="2598" t="s">
        <v>2519</v>
      </c>
      <c r="E65" s="2598" t="s">
        <v>2520</v>
      </c>
      <c r="F65" s="2598" t="s">
        <v>2521</v>
      </c>
      <c r="G65" s="2598" t="s">
        <v>2522</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4.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4.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4.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4.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4.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4.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4.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4.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4.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4.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4.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4.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4.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4.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4.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5"/>
  <cols>
    <col min="1" max="1" width="11.453125" style="1249" customWidth="1"/>
    <col min="2" max="2" width="9.1796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13" t="s">
        <v>2266</v>
      </c>
      <c r="D1" s="3514"/>
      <c r="E1" s="3514"/>
      <c r="F1" s="3514"/>
      <c r="G1" s="3514"/>
      <c r="H1" s="3514"/>
      <c r="I1" s="3514"/>
      <c r="J1" s="3514"/>
      <c r="K1" s="3514"/>
      <c r="L1" s="3514"/>
      <c r="M1" s="3514"/>
      <c r="N1" s="3514"/>
      <c r="O1" s="3514"/>
      <c r="P1" s="3514"/>
      <c r="Q1" s="3514"/>
      <c r="R1" s="3514"/>
      <c r="S1" s="3515"/>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13">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13">
      <c r="A5" s="2251"/>
      <c r="B5" s="3087" t="s">
        <v>2875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13">
      <c r="A7" s="2251"/>
      <c r="B7" s="3089" t="s">
        <v>2874</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13">
      <c r="A9" s="2251"/>
      <c r="B9" s="3089" t="s">
        <v>2873</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13">
      <c r="A11" s="2251"/>
      <c r="B11" s="3087" t="s">
        <v>2888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13">
      <c r="A13" s="2251"/>
      <c r="B13" s="3087" t="s">
        <v>2872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13">
      <c r="A15" s="2251"/>
      <c r="B15" s="3087" t="s">
        <v>2871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ht="13">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ht="13">
      <c r="A22" s="799" t="s">
        <v>795</v>
      </c>
      <c r="B22" s="53">
        <f>SUM(B24:B10000)</f>
        <v>0</v>
      </c>
      <c r="C22" s="3510" t="s">
        <v>19</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3" customFormat="1" ht="26">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ht="13">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78" customWidth="1"/>
    <col min="2" max="2" width="9" style="1778"/>
    <col min="3" max="4" width="9.6328125" style="1778" customWidth="1"/>
    <col min="5" max="16384" width="9" style="1778"/>
  </cols>
  <sheetData>
    <row r="1" spans="1:4" ht="23">
      <c r="A1" s="1777" t="s">
        <v>1866</v>
      </c>
    </row>
    <row r="2" spans="1:4">
      <c r="A2" s="1779"/>
    </row>
    <row r="3" spans="1:4" ht="17.5">
      <c r="A3" s="1797" t="str">
        <f>项目基本情况!B5&amp;"："</f>
        <v>：</v>
      </c>
    </row>
    <row r="4" spans="1:4" ht="3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7.5">
      <c r="A5" s="1794" t="s">
        <v>1867</v>
      </c>
    </row>
    <row r="6" spans="1:4" ht="70">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124364.83平方米。</v>
      </c>
    </row>
    <row r="7" spans="1:4" ht="87.5">
      <c r="A7" s="2873" t="s">
        <v>2707</v>
      </c>
    </row>
    <row r="8" spans="1:4" ht="17.5">
      <c r="A8" s="1794" t="s">
        <v>1868</v>
      </c>
    </row>
    <row r="9" spans="1:4" ht="70">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7.5">
      <c r="A10" s="1797" t="s">
        <v>1988</v>
      </c>
    </row>
    <row r="11" spans="1:4" ht="17.5">
      <c r="A11" s="1780" t="str">
        <f>TEXT(项目基本情况!D3,"yyyy年m月d日;;")&amp;IF(项目基本情况!B3=项目基本情况!D3,"（评估专业人员勘察现场之日）","")</f>
        <v>2020年3月9日（评估专业人员勘察现场之日）</v>
      </c>
    </row>
    <row r="12" spans="1:4" ht="17.5">
      <c r="A12" s="1797" t="s">
        <v>1987</v>
      </c>
    </row>
    <row r="13" spans="1:4" ht="17.5">
      <c r="A13" s="1791" t="s">
        <v>2033</v>
      </c>
    </row>
    <row r="14" spans="1:4" ht="17.5">
      <c r="A14" s="1791" t="str">
        <f>"根据"&amp;项目基本情况!F12&amp;"，本次评估估价对象证载（地类）用途为"&amp;项目基本情况!B12&amp;"。"</f>
        <v>根据，本次评估估价对象证载（地类）用途为。</v>
      </c>
      <c r="C14" s="1781"/>
      <c r="D14" s="1782"/>
    </row>
    <row r="15" spans="1:4" ht="1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7.5">
      <c r="A16" s="1791" t="s">
        <v>2034</v>
      </c>
    </row>
    <row r="17" spans="1:1" ht="5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791" t="s">
        <v>2035</v>
      </c>
    </row>
    <row r="20" spans="1:1" ht="5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根据《建设用地规划许可证》，估价对象（分摊）出让国有建设用地使用权面积为10423.25平方米。根据《建设用地规划许可证》，估价对象规划建筑面积为124364.83平方米。</v>
      </c>
    </row>
    <row r="21" spans="1:1" ht="8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91" t="s">
        <v>2036</v>
      </c>
    </row>
    <row r="23" spans="1:1" ht="17.5">
      <c r="A23" s="2875" t="s">
        <v>2708</v>
      </c>
    </row>
    <row r="24" spans="1:1" ht="17.5">
      <c r="A24" s="1791" t="s">
        <v>2037</v>
      </c>
    </row>
    <row r="25" spans="1:1" ht="87.5">
      <c r="A25" s="1791" t="str">
        <f>定义!C53</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row>
    <row r="26" spans="1:1" ht="3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91" t="str">
        <f>IF(项目基本情况!E9="——","",定义!C57)</f>
        <v/>
      </c>
    </row>
    <row r="29" spans="1:1" ht="17.5">
      <c r="A29" s="1797" t="s">
        <v>1989</v>
      </c>
    </row>
    <row r="30" spans="1:1" ht="70">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5">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941" customWidth="1"/>
    <col min="2" max="2" width="13.1796875" style="2947" customWidth="1"/>
    <col min="3" max="3" width="15.6328125" style="2947" customWidth="1"/>
    <col min="4" max="4" width="9.36328125" style="2947" bestFit="1" customWidth="1"/>
    <col min="5" max="5" width="13.453125" style="2947" customWidth="1"/>
    <col min="6" max="6" width="9" style="2947"/>
    <col min="7" max="7" width="9.36328125" style="2947" bestFit="1" customWidth="1"/>
    <col min="8" max="9" width="9" style="2947"/>
    <col min="10" max="10" width="9.36328125" style="2947" bestFit="1" customWidth="1"/>
    <col min="11" max="11" width="4" style="2941" customWidth="1"/>
    <col min="12" max="12" width="5.08984375" style="2947" customWidth="1"/>
    <col min="13" max="13" width="13.81640625" style="2947" customWidth="1"/>
    <col min="14" max="256" width="9" style="2947"/>
    <col min="257" max="257" width="4.90625" style="2939" customWidth="1"/>
    <col min="258" max="258" width="13.1796875" style="2939" customWidth="1"/>
    <col min="259" max="259" width="15.6328125" style="2939" customWidth="1"/>
    <col min="260" max="260" width="9.36328125" style="2939" bestFit="1" customWidth="1"/>
    <col min="261" max="261" width="13.453125" style="2939" customWidth="1"/>
    <col min="262" max="262" width="9" style="2939"/>
    <col min="263" max="263" width="9.36328125" style="2939" bestFit="1" customWidth="1"/>
    <col min="264" max="265" width="9" style="2939"/>
    <col min="266" max="266" width="9.36328125" style="2939" bestFit="1" customWidth="1"/>
    <col min="267" max="267" width="4" style="2939" customWidth="1"/>
    <col min="268" max="268" width="5.08984375" style="2939" customWidth="1"/>
    <col min="269" max="269" width="13.81640625" style="2939" customWidth="1"/>
    <col min="270" max="512" width="9" style="2939"/>
    <col min="513" max="513" width="4.90625" style="2939" customWidth="1"/>
    <col min="514" max="514" width="13.1796875" style="2939" customWidth="1"/>
    <col min="515" max="515" width="15.6328125" style="2939" customWidth="1"/>
    <col min="516" max="516" width="9.36328125" style="2939" bestFit="1" customWidth="1"/>
    <col min="517" max="517" width="13.453125" style="2939" customWidth="1"/>
    <col min="518" max="518" width="9" style="2939"/>
    <col min="519" max="519" width="9.36328125" style="2939" bestFit="1" customWidth="1"/>
    <col min="520" max="521" width="9" style="2939"/>
    <col min="522" max="522" width="9.36328125" style="2939" bestFit="1" customWidth="1"/>
    <col min="523" max="523" width="4" style="2939" customWidth="1"/>
    <col min="524" max="524" width="5.08984375" style="2939" customWidth="1"/>
    <col min="525" max="525" width="13.81640625" style="2939" customWidth="1"/>
    <col min="526" max="768" width="9" style="2939"/>
    <col min="769" max="769" width="4.90625" style="2939" customWidth="1"/>
    <col min="770" max="770" width="13.1796875" style="2939" customWidth="1"/>
    <col min="771" max="771" width="15.6328125" style="2939" customWidth="1"/>
    <col min="772" max="772" width="9.36328125" style="2939" bestFit="1" customWidth="1"/>
    <col min="773" max="773" width="13.453125" style="2939" customWidth="1"/>
    <col min="774" max="774" width="9" style="2939"/>
    <col min="775" max="775" width="9.36328125" style="2939" bestFit="1" customWidth="1"/>
    <col min="776" max="777" width="9" style="2939"/>
    <col min="778" max="778" width="9.36328125" style="2939" bestFit="1" customWidth="1"/>
    <col min="779" max="779" width="4" style="2939" customWidth="1"/>
    <col min="780" max="780" width="5.08984375" style="2939" customWidth="1"/>
    <col min="781" max="781" width="13.81640625" style="2939" customWidth="1"/>
    <col min="782" max="1024" width="9" style="2939"/>
    <col min="1025" max="1025" width="4.90625" style="2939" customWidth="1"/>
    <col min="1026" max="1026" width="13.1796875" style="2939" customWidth="1"/>
    <col min="1027" max="1027" width="15.6328125" style="2939" customWidth="1"/>
    <col min="1028" max="1028" width="9.36328125" style="2939" bestFit="1" customWidth="1"/>
    <col min="1029" max="1029" width="13.453125" style="2939" customWidth="1"/>
    <col min="1030" max="1030" width="9" style="2939"/>
    <col min="1031" max="1031" width="9.36328125" style="2939" bestFit="1" customWidth="1"/>
    <col min="1032" max="1033" width="9" style="2939"/>
    <col min="1034" max="1034" width="9.36328125" style="2939" bestFit="1" customWidth="1"/>
    <col min="1035" max="1035" width="4" style="2939" customWidth="1"/>
    <col min="1036" max="1036" width="5.08984375" style="2939" customWidth="1"/>
    <col min="1037" max="1037" width="13.81640625" style="2939" customWidth="1"/>
    <col min="1038" max="1280" width="9" style="2939"/>
    <col min="1281" max="1281" width="4.90625" style="2939" customWidth="1"/>
    <col min="1282" max="1282" width="13.1796875" style="2939" customWidth="1"/>
    <col min="1283" max="1283" width="15.6328125" style="2939" customWidth="1"/>
    <col min="1284" max="1284" width="9.36328125" style="2939" bestFit="1" customWidth="1"/>
    <col min="1285" max="1285" width="13.453125" style="2939" customWidth="1"/>
    <col min="1286" max="1286" width="9" style="2939"/>
    <col min="1287" max="1287" width="9.36328125" style="2939" bestFit="1" customWidth="1"/>
    <col min="1288" max="1289" width="9" style="2939"/>
    <col min="1290" max="1290" width="9.36328125" style="2939" bestFit="1" customWidth="1"/>
    <col min="1291" max="1291" width="4" style="2939" customWidth="1"/>
    <col min="1292" max="1292" width="5.08984375" style="2939" customWidth="1"/>
    <col min="1293" max="1293" width="13.81640625" style="2939" customWidth="1"/>
    <col min="1294" max="1536" width="9" style="2939"/>
    <col min="1537" max="1537" width="4.90625" style="2939" customWidth="1"/>
    <col min="1538" max="1538" width="13.1796875" style="2939" customWidth="1"/>
    <col min="1539" max="1539" width="15.6328125" style="2939" customWidth="1"/>
    <col min="1540" max="1540" width="9.36328125" style="2939" bestFit="1" customWidth="1"/>
    <col min="1541" max="1541" width="13.453125" style="2939" customWidth="1"/>
    <col min="1542" max="1542" width="9" style="2939"/>
    <col min="1543" max="1543" width="9.36328125" style="2939" bestFit="1" customWidth="1"/>
    <col min="1544" max="1545" width="9" style="2939"/>
    <col min="1546" max="1546" width="9.36328125" style="2939" bestFit="1" customWidth="1"/>
    <col min="1547" max="1547" width="4" style="2939" customWidth="1"/>
    <col min="1548" max="1548" width="5.08984375" style="2939" customWidth="1"/>
    <col min="1549" max="1549" width="13.81640625" style="2939" customWidth="1"/>
    <col min="1550" max="1792" width="9" style="2939"/>
    <col min="1793" max="1793" width="4.90625" style="2939" customWidth="1"/>
    <col min="1794" max="1794" width="13.1796875" style="2939" customWidth="1"/>
    <col min="1795" max="1795" width="15.6328125" style="2939" customWidth="1"/>
    <col min="1796" max="1796" width="9.36328125" style="2939" bestFit="1" customWidth="1"/>
    <col min="1797" max="1797" width="13.453125" style="2939" customWidth="1"/>
    <col min="1798" max="1798" width="9" style="2939"/>
    <col min="1799" max="1799" width="9.36328125" style="2939" bestFit="1" customWidth="1"/>
    <col min="1800" max="1801" width="9" style="2939"/>
    <col min="1802" max="1802" width="9.36328125" style="2939" bestFit="1" customWidth="1"/>
    <col min="1803" max="1803" width="4" style="2939" customWidth="1"/>
    <col min="1804" max="1804" width="5.08984375" style="2939" customWidth="1"/>
    <col min="1805" max="1805" width="13.81640625" style="2939" customWidth="1"/>
    <col min="1806" max="2048" width="9" style="2939"/>
    <col min="2049" max="2049" width="4.90625" style="2939" customWidth="1"/>
    <col min="2050" max="2050" width="13.1796875" style="2939" customWidth="1"/>
    <col min="2051" max="2051" width="15.6328125" style="2939" customWidth="1"/>
    <col min="2052" max="2052" width="9.36328125" style="2939" bestFit="1" customWidth="1"/>
    <col min="2053" max="2053" width="13.453125" style="2939" customWidth="1"/>
    <col min="2054" max="2054" width="9" style="2939"/>
    <col min="2055" max="2055" width="9.36328125" style="2939" bestFit="1" customWidth="1"/>
    <col min="2056" max="2057" width="9" style="2939"/>
    <col min="2058" max="2058" width="9.36328125" style="2939" bestFit="1" customWidth="1"/>
    <col min="2059" max="2059" width="4" style="2939" customWidth="1"/>
    <col min="2060" max="2060" width="5.08984375" style="2939" customWidth="1"/>
    <col min="2061" max="2061" width="13.81640625" style="2939" customWidth="1"/>
    <col min="2062" max="2304" width="9" style="2939"/>
    <col min="2305" max="2305" width="4.90625" style="2939" customWidth="1"/>
    <col min="2306" max="2306" width="13.1796875" style="2939" customWidth="1"/>
    <col min="2307" max="2307" width="15.6328125" style="2939" customWidth="1"/>
    <col min="2308" max="2308" width="9.36328125" style="2939" bestFit="1" customWidth="1"/>
    <col min="2309" max="2309" width="13.453125" style="2939" customWidth="1"/>
    <col min="2310" max="2310" width="9" style="2939"/>
    <col min="2311" max="2311" width="9.36328125" style="2939" bestFit="1" customWidth="1"/>
    <col min="2312" max="2313" width="9" style="2939"/>
    <col min="2314" max="2314" width="9.36328125" style="2939" bestFit="1" customWidth="1"/>
    <col min="2315" max="2315" width="4" style="2939" customWidth="1"/>
    <col min="2316" max="2316" width="5.08984375" style="2939" customWidth="1"/>
    <col min="2317" max="2317" width="13.81640625" style="2939" customWidth="1"/>
    <col min="2318" max="2560" width="9" style="2939"/>
    <col min="2561" max="2561" width="4.90625" style="2939" customWidth="1"/>
    <col min="2562" max="2562" width="13.1796875" style="2939" customWidth="1"/>
    <col min="2563" max="2563" width="15.6328125" style="2939" customWidth="1"/>
    <col min="2564" max="2564" width="9.36328125" style="2939" bestFit="1" customWidth="1"/>
    <col min="2565" max="2565" width="13.453125" style="2939" customWidth="1"/>
    <col min="2566" max="2566" width="9" style="2939"/>
    <col min="2567" max="2567" width="9.36328125" style="2939" bestFit="1" customWidth="1"/>
    <col min="2568" max="2569" width="9" style="2939"/>
    <col min="2570" max="2570" width="9.36328125" style="2939" bestFit="1" customWidth="1"/>
    <col min="2571" max="2571" width="4" style="2939" customWidth="1"/>
    <col min="2572" max="2572" width="5.08984375" style="2939" customWidth="1"/>
    <col min="2573" max="2573" width="13.81640625" style="2939" customWidth="1"/>
    <col min="2574" max="2816" width="9" style="2939"/>
    <col min="2817" max="2817" width="4.90625" style="2939" customWidth="1"/>
    <col min="2818" max="2818" width="13.1796875" style="2939" customWidth="1"/>
    <col min="2819" max="2819" width="15.6328125" style="2939" customWidth="1"/>
    <col min="2820" max="2820" width="9.36328125" style="2939" bestFit="1" customWidth="1"/>
    <col min="2821" max="2821" width="13.453125" style="2939" customWidth="1"/>
    <col min="2822" max="2822" width="9" style="2939"/>
    <col min="2823" max="2823" width="9.36328125" style="2939" bestFit="1" customWidth="1"/>
    <col min="2824" max="2825" width="9" style="2939"/>
    <col min="2826" max="2826" width="9.36328125" style="2939" bestFit="1" customWidth="1"/>
    <col min="2827" max="2827" width="4" style="2939" customWidth="1"/>
    <col min="2828" max="2828" width="5.08984375" style="2939" customWidth="1"/>
    <col min="2829" max="2829" width="13.81640625" style="2939" customWidth="1"/>
    <col min="2830" max="3072" width="9" style="2939"/>
    <col min="3073" max="3073" width="4.90625" style="2939" customWidth="1"/>
    <col min="3074" max="3074" width="13.1796875" style="2939" customWidth="1"/>
    <col min="3075" max="3075" width="15.6328125" style="2939" customWidth="1"/>
    <col min="3076" max="3076" width="9.36328125" style="2939" bestFit="1" customWidth="1"/>
    <col min="3077" max="3077" width="13.453125" style="2939" customWidth="1"/>
    <col min="3078" max="3078" width="9" style="2939"/>
    <col min="3079" max="3079" width="9.36328125" style="2939" bestFit="1" customWidth="1"/>
    <col min="3080" max="3081" width="9" style="2939"/>
    <col min="3082" max="3082" width="9.36328125" style="2939" bestFit="1" customWidth="1"/>
    <col min="3083" max="3083" width="4" style="2939" customWidth="1"/>
    <col min="3084" max="3084" width="5.08984375" style="2939" customWidth="1"/>
    <col min="3085" max="3085" width="13.81640625" style="2939" customWidth="1"/>
    <col min="3086" max="3328" width="9" style="2939"/>
    <col min="3329" max="3329" width="4.90625" style="2939" customWidth="1"/>
    <col min="3330" max="3330" width="13.1796875" style="2939" customWidth="1"/>
    <col min="3331" max="3331" width="15.6328125" style="2939" customWidth="1"/>
    <col min="3332" max="3332" width="9.36328125" style="2939" bestFit="1" customWidth="1"/>
    <col min="3333" max="3333" width="13.453125" style="2939" customWidth="1"/>
    <col min="3334" max="3334" width="9" style="2939"/>
    <col min="3335" max="3335" width="9.36328125" style="2939" bestFit="1" customWidth="1"/>
    <col min="3336" max="3337" width="9" style="2939"/>
    <col min="3338" max="3338" width="9.36328125" style="2939" bestFit="1" customWidth="1"/>
    <col min="3339" max="3339" width="4" style="2939" customWidth="1"/>
    <col min="3340" max="3340" width="5.08984375" style="2939" customWidth="1"/>
    <col min="3341" max="3341" width="13.81640625" style="2939" customWidth="1"/>
    <col min="3342" max="3584" width="9" style="2939"/>
    <col min="3585" max="3585" width="4.90625" style="2939" customWidth="1"/>
    <col min="3586" max="3586" width="13.1796875" style="2939" customWidth="1"/>
    <col min="3587" max="3587" width="15.6328125" style="2939" customWidth="1"/>
    <col min="3588" max="3588" width="9.36328125" style="2939" bestFit="1" customWidth="1"/>
    <col min="3589" max="3589" width="13.453125" style="2939" customWidth="1"/>
    <col min="3590" max="3590" width="9" style="2939"/>
    <col min="3591" max="3591" width="9.36328125" style="2939" bestFit="1" customWidth="1"/>
    <col min="3592" max="3593" width="9" style="2939"/>
    <col min="3594" max="3594" width="9.36328125" style="2939" bestFit="1" customWidth="1"/>
    <col min="3595" max="3595" width="4" style="2939" customWidth="1"/>
    <col min="3596" max="3596" width="5.08984375" style="2939" customWidth="1"/>
    <col min="3597" max="3597" width="13.81640625" style="2939" customWidth="1"/>
    <col min="3598" max="3840" width="9" style="2939"/>
    <col min="3841" max="3841" width="4.90625" style="2939" customWidth="1"/>
    <col min="3842" max="3842" width="13.1796875" style="2939" customWidth="1"/>
    <col min="3843" max="3843" width="15.6328125" style="2939" customWidth="1"/>
    <col min="3844" max="3844" width="9.36328125" style="2939" bestFit="1" customWidth="1"/>
    <col min="3845" max="3845" width="13.453125" style="2939" customWidth="1"/>
    <col min="3846" max="3846" width="9" style="2939"/>
    <col min="3847" max="3847" width="9.36328125" style="2939" bestFit="1" customWidth="1"/>
    <col min="3848" max="3849" width="9" style="2939"/>
    <col min="3850" max="3850" width="9.36328125" style="2939" bestFit="1" customWidth="1"/>
    <col min="3851" max="3851" width="4" style="2939" customWidth="1"/>
    <col min="3852" max="3852" width="5.08984375" style="2939" customWidth="1"/>
    <col min="3853" max="3853" width="13.81640625" style="2939" customWidth="1"/>
    <col min="3854" max="4096" width="9" style="2939"/>
    <col min="4097" max="4097" width="4.90625" style="2939" customWidth="1"/>
    <col min="4098" max="4098" width="13.1796875" style="2939" customWidth="1"/>
    <col min="4099" max="4099" width="15.6328125" style="2939" customWidth="1"/>
    <col min="4100" max="4100" width="9.36328125" style="2939" bestFit="1" customWidth="1"/>
    <col min="4101" max="4101" width="13.453125" style="2939" customWidth="1"/>
    <col min="4102" max="4102" width="9" style="2939"/>
    <col min="4103" max="4103" width="9.36328125" style="2939" bestFit="1" customWidth="1"/>
    <col min="4104" max="4105" width="9" style="2939"/>
    <col min="4106" max="4106" width="9.36328125" style="2939" bestFit="1" customWidth="1"/>
    <col min="4107" max="4107" width="4" style="2939" customWidth="1"/>
    <col min="4108" max="4108" width="5.08984375" style="2939" customWidth="1"/>
    <col min="4109" max="4109" width="13.81640625" style="2939" customWidth="1"/>
    <col min="4110" max="4352" width="9" style="2939"/>
    <col min="4353" max="4353" width="4.90625" style="2939" customWidth="1"/>
    <col min="4354" max="4354" width="13.1796875" style="2939" customWidth="1"/>
    <col min="4355" max="4355" width="15.6328125" style="2939" customWidth="1"/>
    <col min="4356" max="4356" width="9.36328125" style="2939" bestFit="1" customWidth="1"/>
    <col min="4357" max="4357" width="13.453125" style="2939" customWidth="1"/>
    <col min="4358" max="4358" width="9" style="2939"/>
    <col min="4359" max="4359" width="9.36328125" style="2939" bestFit="1" customWidth="1"/>
    <col min="4360" max="4361" width="9" style="2939"/>
    <col min="4362" max="4362" width="9.36328125" style="2939" bestFit="1" customWidth="1"/>
    <col min="4363" max="4363" width="4" style="2939" customWidth="1"/>
    <col min="4364" max="4364" width="5.08984375" style="2939" customWidth="1"/>
    <col min="4365" max="4365" width="13.81640625" style="2939" customWidth="1"/>
    <col min="4366" max="4608" width="9" style="2939"/>
    <col min="4609" max="4609" width="4.90625" style="2939" customWidth="1"/>
    <col min="4610" max="4610" width="13.1796875" style="2939" customWidth="1"/>
    <col min="4611" max="4611" width="15.6328125" style="2939" customWidth="1"/>
    <col min="4612" max="4612" width="9.36328125" style="2939" bestFit="1" customWidth="1"/>
    <col min="4613" max="4613" width="13.453125" style="2939" customWidth="1"/>
    <col min="4614" max="4614" width="9" style="2939"/>
    <col min="4615" max="4615" width="9.36328125" style="2939" bestFit="1" customWidth="1"/>
    <col min="4616" max="4617" width="9" style="2939"/>
    <col min="4618" max="4618" width="9.36328125" style="2939" bestFit="1" customWidth="1"/>
    <col min="4619" max="4619" width="4" style="2939" customWidth="1"/>
    <col min="4620" max="4620" width="5.08984375" style="2939" customWidth="1"/>
    <col min="4621" max="4621" width="13.81640625" style="2939" customWidth="1"/>
    <col min="4622" max="4864" width="9" style="2939"/>
    <col min="4865" max="4865" width="4.90625" style="2939" customWidth="1"/>
    <col min="4866" max="4866" width="13.1796875" style="2939" customWidth="1"/>
    <col min="4867" max="4867" width="15.6328125" style="2939" customWidth="1"/>
    <col min="4868" max="4868" width="9.36328125" style="2939" bestFit="1" customWidth="1"/>
    <col min="4869" max="4869" width="13.453125" style="2939" customWidth="1"/>
    <col min="4870" max="4870" width="9" style="2939"/>
    <col min="4871" max="4871" width="9.36328125" style="2939" bestFit="1" customWidth="1"/>
    <col min="4872" max="4873" width="9" style="2939"/>
    <col min="4874" max="4874" width="9.36328125" style="2939" bestFit="1" customWidth="1"/>
    <col min="4875" max="4875" width="4" style="2939" customWidth="1"/>
    <col min="4876" max="4876" width="5.08984375" style="2939" customWidth="1"/>
    <col min="4877" max="4877" width="13.81640625" style="2939" customWidth="1"/>
    <col min="4878" max="5120" width="9" style="2939"/>
    <col min="5121" max="5121" width="4.90625" style="2939" customWidth="1"/>
    <col min="5122" max="5122" width="13.1796875" style="2939" customWidth="1"/>
    <col min="5123" max="5123" width="15.6328125" style="2939" customWidth="1"/>
    <col min="5124" max="5124" width="9.36328125" style="2939" bestFit="1" customWidth="1"/>
    <col min="5125" max="5125" width="13.453125" style="2939" customWidth="1"/>
    <col min="5126" max="5126" width="9" style="2939"/>
    <col min="5127" max="5127" width="9.36328125" style="2939" bestFit="1" customWidth="1"/>
    <col min="5128" max="5129" width="9" style="2939"/>
    <col min="5130" max="5130" width="9.36328125" style="2939" bestFit="1" customWidth="1"/>
    <col min="5131" max="5131" width="4" style="2939" customWidth="1"/>
    <col min="5132" max="5132" width="5.08984375" style="2939" customWidth="1"/>
    <col min="5133" max="5133" width="13.81640625" style="2939" customWidth="1"/>
    <col min="5134" max="5376" width="9" style="2939"/>
    <col min="5377" max="5377" width="4.90625" style="2939" customWidth="1"/>
    <col min="5378" max="5378" width="13.1796875" style="2939" customWidth="1"/>
    <col min="5379" max="5379" width="15.6328125" style="2939" customWidth="1"/>
    <col min="5380" max="5380" width="9.36328125" style="2939" bestFit="1" customWidth="1"/>
    <col min="5381" max="5381" width="13.453125" style="2939" customWidth="1"/>
    <col min="5382" max="5382" width="9" style="2939"/>
    <col min="5383" max="5383" width="9.36328125" style="2939" bestFit="1" customWidth="1"/>
    <col min="5384" max="5385" width="9" style="2939"/>
    <col min="5386" max="5386" width="9.36328125" style="2939" bestFit="1" customWidth="1"/>
    <col min="5387" max="5387" width="4" style="2939" customWidth="1"/>
    <col min="5388" max="5388" width="5.08984375" style="2939" customWidth="1"/>
    <col min="5389" max="5389" width="13.81640625" style="2939" customWidth="1"/>
    <col min="5390" max="5632" width="9" style="2939"/>
    <col min="5633" max="5633" width="4.90625" style="2939" customWidth="1"/>
    <col min="5634" max="5634" width="13.1796875" style="2939" customWidth="1"/>
    <col min="5635" max="5635" width="15.6328125" style="2939" customWidth="1"/>
    <col min="5636" max="5636" width="9.36328125" style="2939" bestFit="1" customWidth="1"/>
    <col min="5637" max="5637" width="13.453125" style="2939" customWidth="1"/>
    <col min="5638" max="5638" width="9" style="2939"/>
    <col min="5639" max="5639" width="9.36328125" style="2939" bestFit="1" customWidth="1"/>
    <col min="5640" max="5641" width="9" style="2939"/>
    <col min="5642" max="5642" width="9.36328125" style="2939" bestFit="1" customWidth="1"/>
    <col min="5643" max="5643" width="4" style="2939" customWidth="1"/>
    <col min="5644" max="5644" width="5.08984375" style="2939" customWidth="1"/>
    <col min="5645" max="5645" width="13.81640625" style="2939" customWidth="1"/>
    <col min="5646" max="5888" width="9" style="2939"/>
    <col min="5889" max="5889" width="4.90625" style="2939" customWidth="1"/>
    <col min="5890" max="5890" width="13.1796875" style="2939" customWidth="1"/>
    <col min="5891" max="5891" width="15.6328125" style="2939" customWidth="1"/>
    <col min="5892" max="5892" width="9.36328125" style="2939" bestFit="1" customWidth="1"/>
    <col min="5893" max="5893" width="13.453125" style="2939" customWidth="1"/>
    <col min="5894" max="5894" width="9" style="2939"/>
    <col min="5895" max="5895" width="9.36328125" style="2939" bestFit="1" customWidth="1"/>
    <col min="5896" max="5897" width="9" style="2939"/>
    <col min="5898" max="5898" width="9.36328125" style="2939" bestFit="1" customWidth="1"/>
    <col min="5899" max="5899" width="4" style="2939" customWidth="1"/>
    <col min="5900" max="5900" width="5.08984375" style="2939" customWidth="1"/>
    <col min="5901" max="5901" width="13.81640625" style="2939" customWidth="1"/>
    <col min="5902" max="6144" width="9" style="2939"/>
    <col min="6145" max="6145" width="4.90625" style="2939" customWidth="1"/>
    <col min="6146" max="6146" width="13.1796875" style="2939" customWidth="1"/>
    <col min="6147" max="6147" width="15.6328125" style="2939" customWidth="1"/>
    <col min="6148" max="6148" width="9.36328125" style="2939" bestFit="1" customWidth="1"/>
    <col min="6149" max="6149" width="13.453125" style="2939" customWidth="1"/>
    <col min="6150" max="6150" width="9" style="2939"/>
    <col min="6151" max="6151" width="9.36328125" style="2939" bestFit="1" customWidth="1"/>
    <col min="6152" max="6153" width="9" style="2939"/>
    <col min="6154" max="6154" width="9.36328125" style="2939" bestFit="1" customWidth="1"/>
    <col min="6155" max="6155" width="4" style="2939" customWidth="1"/>
    <col min="6156" max="6156" width="5.08984375" style="2939" customWidth="1"/>
    <col min="6157" max="6157" width="13.81640625" style="2939" customWidth="1"/>
    <col min="6158" max="6400" width="9" style="2939"/>
    <col min="6401" max="6401" width="4.90625" style="2939" customWidth="1"/>
    <col min="6402" max="6402" width="13.1796875" style="2939" customWidth="1"/>
    <col min="6403" max="6403" width="15.6328125" style="2939" customWidth="1"/>
    <col min="6404" max="6404" width="9.36328125" style="2939" bestFit="1" customWidth="1"/>
    <col min="6405" max="6405" width="13.453125" style="2939" customWidth="1"/>
    <col min="6406" max="6406" width="9" style="2939"/>
    <col min="6407" max="6407" width="9.36328125" style="2939" bestFit="1" customWidth="1"/>
    <col min="6408" max="6409" width="9" style="2939"/>
    <col min="6410" max="6410" width="9.36328125" style="2939" bestFit="1" customWidth="1"/>
    <col min="6411" max="6411" width="4" style="2939" customWidth="1"/>
    <col min="6412" max="6412" width="5.08984375" style="2939" customWidth="1"/>
    <col min="6413" max="6413" width="13.81640625" style="2939" customWidth="1"/>
    <col min="6414" max="6656" width="9" style="2939"/>
    <col min="6657" max="6657" width="4.90625" style="2939" customWidth="1"/>
    <col min="6658" max="6658" width="13.1796875" style="2939" customWidth="1"/>
    <col min="6659" max="6659" width="15.6328125" style="2939" customWidth="1"/>
    <col min="6660" max="6660" width="9.36328125" style="2939" bestFit="1" customWidth="1"/>
    <col min="6661" max="6661" width="13.453125" style="2939" customWidth="1"/>
    <col min="6662" max="6662" width="9" style="2939"/>
    <col min="6663" max="6663" width="9.36328125" style="2939" bestFit="1" customWidth="1"/>
    <col min="6664" max="6665" width="9" style="2939"/>
    <col min="6666" max="6666" width="9.36328125" style="2939" bestFit="1" customWidth="1"/>
    <col min="6667" max="6667" width="4" style="2939" customWidth="1"/>
    <col min="6668" max="6668" width="5.08984375" style="2939" customWidth="1"/>
    <col min="6669" max="6669" width="13.81640625" style="2939" customWidth="1"/>
    <col min="6670" max="6912" width="9" style="2939"/>
    <col min="6913" max="6913" width="4.90625" style="2939" customWidth="1"/>
    <col min="6914" max="6914" width="13.1796875" style="2939" customWidth="1"/>
    <col min="6915" max="6915" width="15.6328125" style="2939" customWidth="1"/>
    <col min="6916" max="6916" width="9.36328125" style="2939" bestFit="1" customWidth="1"/>
    <col min="6917" max="6917" width="13.453125" style="2939" customWidth="1"/>
    <col min="6918" max="6918" width="9" style="2939"/>
    <col min="6919" max="6919" width="9.36328125" style="2939" bestFit="1" customWidth="1"/>
    <col min="6920" max="6921" width="9" style="2939"/>
    <col min="6922" max="6922" width="9.36328125" style="2939" bestFit="1" customWidth="1"/>
    <col min="6923" max="6923" width="4" style="2939" customWidth="1"/>
    <col min="6924" max="6924" width="5.08984375" style="2939" customWidth="1"/>
    <col min="6925" max="6925" width="13.81640625" style="2939" customWidth="1"/>
    <col min="6926" max="7168" width="9" style="2939"/>
    <col min="7169" max="7169" width="4.90625" style="2939" customWidth="1"/>
    <col min="7170" max="7170" width="13.1796875" style="2939" customWidth="1"/>
    <col min="7171" max="7171" width="15.6328125" style="2939" customWidth="1"/>
    <col min="7172" max="7172" width="9.36328125" style="2939" bestFit="1" customWidth="1"/>
    <col min="7173" max="7173" width="13.453125" style="2939" customWidth="1"/>
    <col min="7174" max="7174" width="9" style="2939"/>
    <col min="7175" max="7175" width="9.36328125" style="2939" bestFit="1" customWidth="1"/>
    <col min="7176" max="7177" width="9" style="2939"/>
    <col min="7178" max="7178" width="9.36328125" style="2939" bestFit="1" customWidth="1"/>
    <col min="7179" max="7179" width="4" style="2939" customWidth="1"/>
    <col min="7180" max="7180" width="5.08984375" style="2939" customWidth="1"/>
    <col min="7181" max="7181" width="13.81640625" style="2939" customWidth="1"/>
    <col min="7182" max="7424" width="9" style="2939"/>
    <col min="7425" max="7425" width="4.90625" style="2939" customWidth="1"/>
    <col min="7426" max="7426" width="13.1796875" style="2939" customWidth="1"/>
    <col min="7427" max="7427" width="15.6328125" style="2939" customWidth="1"/>
    <col min="7428" max="7428" width="9.36328125" style="2939" bestFit="1" customWidth="1"/>
    <col min="7429" max="7429" width="13.453125" style="2939" customWidth="1"/>
    <col min="7430" max="7430" width="9" style="2939"/>
    <col min="7431" max="7431" width="9.36328125" style="2939" bestFit="1" customWidth="1"/>
    <col min="7432" max="7433" width="9" style="2939"/>
    <col min="7434" max="7434" width="9.36328125" style="2939" bestFit="1" customWidth="1"/>
    <col min="7435" max="7435" width="4" style="2939" customWidth="1"/>
    <col min="7436" max="7436" width="5.08984375" style="2939" customWidth="1"/>
    <col min="7437" max="7437" width="13.81640625" style="2939" customWidth="1"/>
    <col min="7438" max="7680" width="9" style="2939"/>
    <col min="7681" max="7681" width="4.90625" style="2939" customWidth="1"/>
    <col min="7682" max="7682" width="13.1796875" style="2939" customWidth="1"/>
    <col min="7683" max="7683" width="15.6328125" style="2939" customWidth="1"/>
    <col min="7684" max="7684" width="9.36328125" style="2939" bestFit="1" customWidth="1"/>
    <col min="7685" max="7685" width="13.453125" style="2939" customWidth="1"/>
    <col min="7686" max="7686" width="9" style="2939"/>
    <col min="7687" max="7687" width="9.36328125" style="2939" bestFit="1" customWidth="1"/>
    <col min="7688" max="7689" width="9" style="2939"/>
    <col min="7690" max="7690" width="9.36328125" style="2939" bestFit="1" customWidth="1"/>
    <col min="7691" max="7691" width="4" style="2939" customWidth="1"/>
    <col min="7692" max="7692" width="5.08984375" style="2939" customWidth="1"/>
    <col min="7693" max="7693" width="13.81640625" style="2939" customWidth="1"/>
    <col min="7694" max="7936" width="9" style="2939"/>
    <col min="7937" max="7937" width="4.90625" style="2939" customWidth="1"/>
    <col min="7938" max="7938" width="13.1796875" style="2939" customWidth="1"/>
    <col min="7939" max="7939" width="15.6328125" style="2939" customWidth="1"/>
    <col min="7940" max="7940" width="9.36328125" style="2939" bestFit="1" customWidth="1"/>
    <col min="7941" max="7941" width="13.453125" style="2939" customWidth="1"/>
    <col min="7942" max="7942" width="9" style="2939"/>
    <col min="7943" max="7943" width="9.36328125" style="2939" bestFit="1" customWidth="1"/>
    <col min="7944" max="7945" width="9" style="2939"/>
    <col min="7946" max="7946" width="9.36328125" style="2939" bestFit="1" customWidth="1"/>
    <col min="7947" max="7947" width="4" style="2939" customWidth="1"/>
    <col min="7948" max="7948" width="5.08984375" style="2939" customWidth="1"/>
    <col min="7949" max="7949" width="13.81640625" style="2939" customWidth="1"/>
    <col min="7950" max="8192" width="9" style="2939"/>
    <col min="8193" max="8193" width="4.90625" style="2939" customWidth="1"/>
    <col min="8194" max="8194" width="13.1796875" style="2939" customWidth="1"/>
    <col min="8195" max="8195" width="15.6328125" style="2939" customWidth="1"/>
    <col min="8196" max="8196" width="9.36328125" style="2939" bestFit="1" customWidth="1"/>
    <col min="8197" max="8197" width="13.453125" style="2939" customWidth="1"/>
    <col min="8198" max="8198" width="9" style="2939"/>
    <col min="8199" max="8199" width="9.36328125" style="2939" bestFit="1" customWidth="1"/>
    <col min="8200" max="8201" width="9" style="2939"/>
    <col min="8202" max="8202" width="9.36328125" style="2939" bestFit="1" customWidth="1"/>
    <col min="8203" max="8203" width="4" style="2939" customWidth="1"/>
    <col min="8204" max="8204" width="5.08984375" style="2939" customWidth="1"/>
    <col min="8205" max="8205" width="13.81640625" style="2939" customWidth="1"/>
    <col min="8206" max="8448" width="9" style="2939"/>
    <col min="8449" max="8449" width="4.90625" style="2939" customWidth="1"/>
    <col min="8450" max="8450" width="13.1796875" style="2939" customWidth="1"/>
    <col min="8451" max="8451" width="15.6328125" style="2939" customWidth="1"/>
    <col min="8452" max="8452" width="9.36328125" style="2939" bestFit="1" customWidth="1"/>
    <col min="8453" max="8453" width="13.453125" style="2939" customWidth="1"/>
    <col min="8454" max="8454" width="9" style="2939"/>
    <col min="8455" max="8455" width="9.36328125" style="2939" bestFit="1" customWidth="1"/>
    <col min="8456" max="8457" width="9" style="2939"/>
    <col min="8458" max="8458" width="9.36328125" style="2939" bestFit="1" customWidth="1"/>
    <col min="8459" max="8459" width="4" style="2939" customWidth="1"/>
    <col min="8460" max="8460" width="5.08984375" style="2939" customWidth="1"/>
    <col min="8461" max="8461" width="13.81640625" style="2939" customWidth="1"/>
    <col min="8462" max="8704" width="9" style="2939"/>
    <col min="8705" max="8705" width="4.90625" style="2939" customWidth="1"/>
    <col min="8706" max="8706" width="13.1796875" style="2939" customWidth="1"/>
    <col min="8707" max="8707" width="15.6328125" style="2939" customWidth="1"/>
    <col min="8708" max="8708" width="9.36328125" style="2939" bestFit="1" customWidth="1"/>
    <col min="8709" max="8709" width="13.453125" style="2939" customWidth="1"/>
    <col min="8710" max="8710" width="9" style="2939"/>
    <col min="8711" max="8711" width="9.36328125" style="2939" bestFit="1" customWidth="1"/>
    <col min="8712" max="8713" width="9" style="2939"/>
    <col min="8714" max="8714" width="9.36328125" style="2939" bestFit="1" customWidth="1"/>
    <col min="8715" max="8715" width="4" style="2939" customWidth="1"/>
    <col min="8716" max="8716" width="5.08984375" style="2939" customWidth="1"/>
    <col min="8717" max="8717" width="13.81640625" style="2939" customWidth="1"/>
    <col min="8718" max="8960" width="9" style="2939"/>
    <col min="8961" max="8961" width="4.90625" style="2939" customWidth="1"/>
    <col min="8962" max="8962" width="13.1796875" style="2939" customWidth="1"/>
    <col min="8963" max="8963" width="15.6328125" style="2939" customWidth="1"/>
    <col min="8964" max="8964" width="9.36328125" style="2939" bestFit="1" customWidth="1"/>
    <col min="8965" max="8965" width="13.453125" style="2939" customWidth="1"/>
    <col min="8966" max="8966" width="9" style="2939"/>
    <col min="8967" max="8967" width="9.36328125" style="2939" bestFit="1" customWidth="1"/>
    <col min="8968" max="8969" width="9" style="2939"/>
    <col min="8970" max="8970" width="9.36328125" style="2939" bestFit="1" customWidth="1"/>
    <col min="8971" max="8971" width="4" style="2939" customWidth="1"/>
    <col min="8972" max="8972" width="5.08984375" style="2939" customWidth="1"/>
    <col min="8973" max="8973" width="13.81640625" style="2939" customWidth="1"/>
    <col min="8974" max="9216" width="9" style="2939"/>
    <col min="9217" max="9217" width="4.90625" style="2939" customWidth="1"/>
    <col min="9218" max="9218" width="13.1796875" style="2939" customWidth="1"/>
    <col min="9219" max="9219" width="15.6328125" style="2939" customWidth="1"/>
    <col min="9220" max="9220" width="9.36328125" style="2939" bestFit="1" customWidth="1"/>
    <col min="9221" max="9221" width="13.453125" style="2939" customWidth="1"/>
    <col min="9222" max="9222" width="9" style="2939"/>
    <col min="9223" max="9223" width="9.36328125" style="2939" bestFit="1" customWidth="1"/>
    <col min="9224" max="9225" width="9" style="2939"/>
    <col min="9226" max="9226" width="9.36328125" style="2939" bestFit="1" customWidth="1"/>
    <col min="9227" max="9227" width="4" style="2939" customWidth="1"/>
    <col min="9228" max="9228" width="5.08984375" style="2939" customWidth="1"/>
    <col min="9229" max="9229" width="13.81640625" style="2939" customWidth="1"/>
    <col min="9230" max="9472" width="9" style="2939"/>
    <col min="9473" max="9473" width="4.90625" style="2939" customWidth="1"/>
    <col min="9474" max="9474" width="13.1796875" style="2939" customWidth="1"/>
    <col min="9475" max="9475" width="15.6328125" style="2939" customWidth="1"/>
    <col min="9476" max="9476" width="9.36328125" style="2939" bestFit="1" customWidth="1"/>
    <col min="9477" max="9477" width="13.453125" style="2939" customWidth="1"/>
    <col min="9478" max="9478" width="9" style="2939"/>
    <col min="9479" max="9479" width="9.36328125" style="2939" bestFit="1" customWidth="1"/>
    <col min="9480" max="9481" width="9" style="2939"/>
    <col min="9482" max="9482" width="9.36328125" style="2939" bestFit="1" customWidth="1"/>
    <col min="9483" max="9483" width="4" style="2939" customWidth="1"/>
    <col min="9484" max="9484" width="5.08984375" style="2939" customWidth="1"/>
    <col min="9485" max="9485" width="13.81640625" style="2939" customWidth="1"/>
    <col min="9486" max="9728" width="9" style="2939"/>
    <col min="9729" max="9729" width="4.90625" style="2939" customWidth="1"/>
    <col min="9730" max="9730" width="13.1796875" style="2939" customWidth="1"/>
    <col min="9731" max="9731" width="15.6328125" style="2939" customWidth="1"/>
    <col min="9732" max="9732" width="9.36328125" style="2939" bestFit="1" customWidth="1"/>
    <col min="9733" max="9733" width="13.453125" style="2939" customWidth="1"/>
    <col min="9734" max="9734" width="9" style="2939"/>
    <col min="9735" max="9735" width="9.36328125" style="2939" bestFit="1" customWidth="1"/>
    <col min="9736" max="9737" width="9" style="2939"/>
    <col min="9738" max="9738" width="9.36328125" style="2939" bestFit="1" customWidth="1"/>
    <col min="9739" max="9739" width="4" style="2939" customWidth="1"/>
    <col min="9740" max="9740" width="5.08984375" style="2939" customWidth="1"/>
    <col min="9741" max="9741" width="13.81640625" style="2939" customWidth="1"/>
    <col min="9742" max="9984" width="9" style="2939"/>
    <col min="9985" max="9985" width="4.90625" style="2939" customWidth="1"/>
    <col min="9986" max="9986" width="13.1796875" style="2939" customWidth="1"/>
    <col min="9987" max="9987" width="15.6328125" style="2939" customWidth="1"/>
    <col min="9988" max="9988" width="9.36328125" style="2939" bestFit="1" customWidth="1"/>
    <col min="9989" max="9989" width="13.453125" style="2939" customWidth="1"/>
    <col min="9990" max="9990" width="9" style="2939"/>
    <col min="9991" max="9991" width="9.36328125" style="2939" bestFit="1" customWidth="1"/>
    <col min="9992" max="9993" width="9" style="2939"/>
    <col min="9994" max="9994" width="9.36328125" style="2939" bestFit="1" customWidth="1"/>
    <col min="9995" max="9995" width="4" style="2939" customWidth="1"/>
    <col min="9996" max="9996" width="5.08984375" style="2939" customWidth="1"/>
    <col min="9997" max="9997" width="13.81640625" style="2939" customWidth="1"/>
    <col min="9998" max="10240" width="9" style="2939"/>
    <col min="10241" max="10241" width="4.90625" style="2939" customWidth="1"/>
    <col min="10242" max="10242" width="13.1796875" style="2939" customWidth="1"/>
    <col min="10243" max="10243" width="15.6328125" style="2939" customWidth="1"/>
    <col min="10244" max="10244" width="9.36328125" style="2939" bestFit="1" customWidth="1"/>
    <col min="10245" max="10245" width="13.453125" style="2939" customWidth="1"/>
    <col min="10246" max="10246" width="9" style="2939"/>
    <col min="10247" max="10247" width="9.36328125" style="2939" bestFit="1" customWidth="1"/>
    <col min="10248" max="10249" width="9" style="2939"/>
    <col min="10250" max="10250" width="9.36328125" style="2939" bestFit="1" customWidth="1"/>
    <col min="10251" max="10251" width="4" style="2939" customWidth="1"/>
    <col min="10252" max="10252" width="5.08984375" style="2939" customWidth="1"/>
    <col min="10253" max="10253" width="13.81640625" style="2939" customWidth="1"/>
    <col min="10254" max="10496" width="9" style="2939"/>
    <col min="10497" max="10497" width="4.90625" style="2939" customWidth="1"/>
    <col min="10498" max="10498" width="13.1796875" style="2939" customWidth="1"/>
    <col min="10499" max="10499" width="15.6328125" style="2939" customWidth="1"/>
    <col min="10500" max="10500" width="9.36328125" style="2939" bestFit="1" customWidth="1"/>
    <col min="10501" max="10501" width="13.453125" style="2939" customWidth="1"/>
    <col min="10502" max="10502" width="9" style="2939"/>
    <col min="10503" max="10503" width="9.36328125" style="2939" bestFit="1" customWidth="1"/>
    <col min="10504" max="10505" width="9" style="2939"/>
    <col min="10506" max="10506" width="9.36328125" style="2939" bestFit="1" customWidth="1"/>
    <col min="10507" max="10507" width="4" style="2939" customWidth="1"/>
    <col min="10508" max="10508" width="5.08984375" style="2939" customWidth="1"/>
    <col min="10509" max="10509" width="13.81640625" style="2939" customWidth="1"/>
    <col min="10510" max="10752" width="9" style="2939"/>
    <col min="10753" max="10753" width="4.90625" style="2939" customWidth="1"/>
    <col min="10754" max="10754" width="13.1796875" style="2939" customWidth="1"/>
    <col min="10755" max="10755" width="15.6328125" style="2939" customWidth="1"/>
    <col min="10756" max="10756" width="9.36328125" style="2939" bestFit="1" customWidth="1"/>
    <col min="10757" max="10757" width="13.453125" style="2939" customWidth="1"/>
    <col min="10758" max="10758" width="9" style="2939"/>
    <col min="10759" max="10759" width="9.36328125" style="2939" bestFit="1" customWidth="1"/>
    <col min="10760" max="10761" width="9" style="2939"/>
    <col min="10762" max="10762" width="9.36328125" style="2939" bestFit="1" customWidth="1"/>
    <col min="10763" max="10763" width="4" style="2939" customWidth="1"/>
    <col min="10764" max="10764" width="5.08984375" style="2939" customWidth="1"/>
    <col min="10765" max="10765" width="13.81640625" style="2939" customWidth="1"/>
    <col min="10766" max="11008" width="9" style="2939"/>
    <col min="11009" max="11009" width="4.90625" style="2939" customWidth="1"/>
    <col min="11010" max="11010" width="13.1796875" style="2939" customWidth="1"/>
    <col min="11011" max="11011" width="15.6328125" style="2939" customWidth="1"/>
    <col min="11012" max="11012" width="9.36328125" style="2939" bestFit="1" customWidth="1"/>
    <col min="11013" max="11013" width="13.453125" style="2939" customWidth="1"/>
    <col min="11014" max="11014" width="9" style="2939"/>
    <col min="11015" max="11015" width="9.36328125" style="2939" bestFit="1" customWidth="1"/>
    <col min="11016" max="11017" width="9" style="2939"/>
    <col min="11018" max="11018" width="9.36328125" style="2939" bestFit="1" customWidth="1"/>
    <col min="11019" max="11019" width="4" style="2939" customWidth="1"/>
    <col min="11020" max="11020" width="5.08984375" style="2939" customWidth="1"/>
    <col min="11021" max="11021" width="13.81640625" style="2939" customWidth="1"/>
    <col min="11022" max="11264" width="9" style="2939"/>
    <col min="11265" max="11265" width="4.90625" style="2939" customWidth="1"/>
    <col min="11266" max="11266" width="13.1796875" style="2939" customWidth="1"/>
    <col min="11267" max="11267" width="15.6328125" style="2939" customWidth="1"/>
    <col min="11268" max="11268" width="9.36328125" style="2939" bestFit="1" customWidth="1"/>
    <col min="11269" max="11269" width="13.453125" style="2939" customWidth="1"/>
    <col min="11270" max="11270" width="9" style="2939"/>
    <col min="11271" max="11271" width="9.36328125" style="2939" bestFit="1" customWidth="1"/>
    <col min="11272" max="11273" width="9" style="2939"/>
    <col min="11274" max="11274" width="9.36328125" style="2939" bestFit="1" customWidth="1"/>
    <col min="11275" max="11275" width="4" style="2939" customWidth="1"/>
    <col min="11276" max="11276" width="5.08984375" style="2939" customWidth="1"/>
    <col min="11277" max="11277" width="13.81640625" style="2939" customWidth="1"/>
    <col min="11278" max="11520" width="9" style="2939"/>
    <col min="11521" max="11521" width="4.90625" style="2939" customWidth="1"/>
    <col min="11522" max="11522" width="13.1796875" style="2939" customWidth="1"/>
    <col min="11523" max="11523" width="15.6328125" style="2939" customWidth="1"/>
    <col min="11524" max="11524" width="9.36328125" style="2939" bestFit="1" customWidth="1"/>
    <col min="11525" max="11525" width="13.453125" style="2939" customWidth="1"/>
    <col min="11526" max="11526" width="9" style="2939"/>
    <col min="11527" max="11527" width="9.36328125" style="2939" bestFit="1" customWidth="1"/>
    <col min="11528" max="11529" width="9" style="2939"/>
    <col min="11530" max="11530" width="9.36328125" style="2939" bestFit="1" customWidth="1"/>
    <col min="11531" max="11531" width="4" style="2939" customWidth="1"/>
    <col min="11532" max="11532" width="5.08984375" style="2939" customWidth="1"/>
    <col min="11533" max="11533" width="13.81640625" style="2939" customWidth="1"/>
    <col min="11534" max="11776" width="9" style="2939"/>
    <col min="11777" max="11777" width="4.90625" style="2939" customWidth="1"/>
    <col min="11778" max="11778" width="13.1796875" style="2939" customWidth="1"/>
    <col min="11779" max="11779" width="15.6328125" style="2939" customWidth="1"/>
    <col min="11780" max="11780" width="9.36328125" style="2939" bestFit="1" customWidth="1"/>
    <col min="11781" max="11781" width="13.453125" style="2939" customWidth="1"/>
    <col min="11782" max="11782" width="9" style="2939"/>
    <col min="11783" max="11783" width="9.36328125" style="2939" bestFit="1" customWidth="1"/>
    <col min="11784" max="11785" width="9" style="2939"/>
    <col min="11786" max="11786" width="9.36328125" style="2939" bestFit="1" customWidth="1"/>
    <col min="11787" max="11787" width="4" style="2939" customWidth="1"/>
    <col min="11788" max="11788" width="5.08984375" style="2939" customWidth="1"/>
    <col min="11789" max="11789" width="13.81640625" style="2939" customWidth="1"/>
    <col min="11790" max="12032" width="9" style="2939"/>
    <col min="12033" max="12033" width="4.90625" style="2939" customWidth="1"/>
    <col min="12034" max="12034" width="13.1796875" style="2939" customWidth="1"/>
    <col min="12035" max="12035" width="15.6328125" style="2939" customWidth="1"/>
    <col min="12036" max="12036" width="9.36328125" style="2939" bestFit="1" customWidth="1"/>
    <col min="12037" max="12037" width="13.453125" style="2939" customWidth="1"/>
    <col min="12038" max="12038" width="9" style="2939"/>
    <col min="12039" max="12039" width="9.36328125" style="2939" bestFit="1" customWidth="1"/>
    <col min="12040" max="12041" width="9" style="2939"/>
    <col min="12042" max="12042" width="9.36328125" style="2939" bestFit="1" customWidth="1"/>
    <col min="12043" max="12043" width="4" style="2939" customWidth="1"/>
    <col min="12044" max="12044" width="5.08984375" style="2939" customWidth="1"/>
    <col min="12045" max="12045" width="13.81640625" style="2939" customWidth="1"/>
    <col min="12046" max="12288" width="9" style="2939"/>
    <col min="12289" max="12289" width="4.90625" style="2939" customWidth="1"/>
    <col min="12290" max="12290" width="13.1796875" style="2939" customWidth="1"/>
    <col min="12291" max="12291" width="15.6328125" style="2939" customWidth="1"/>
    <col min="12292" max="12292" width="9.36328125" style="2939" bestFit="1" customWidth="1"/>
    <col min="12293" max="12293" width="13.453125" style="2939" customWidth="1"/>
    <col min="12294" max="12294" width="9" style="2939"/>
    <col min="12295" max="12295" width="9.36328125" style="2939" bestFit="1" customWidth="1"/>
    <col min="12296" max="12297" width="9" style="2939"/>
    <col min="12298" max="12298" width="9.36328125" style="2939" bestFit="1" customWidth="1"/>
    <col min="12299" max="12299" width="4" style="2939" customWidth="1"/>
    <col min="12300" max="12300" width="5.08984375" style="2939" customWidth="1"/>
    <col min="12301" max="12301" width="13.81640625" style="2939" customWidth="1"/>
    <col min="12302" max="12544" width="9" style="2939"/>
    <col min="12545" max="12545" width="4.90625" style="2939" customWidth="1"/>
    <col min="12546" max="12546" width="13.1796875" style="2939" customWidth="1"/>
    <col min="12547" max="12547" width="15.6328125" style="2939" customWidth="1"/>
    <col min="12548" max="12548" width="9.36328125" style="2939" bestFit="1" customWidth="1"/>
    <col min="12549" max="12549" width="13.453125" style="2939" customWidth="1"/>
    <col min="12550" max="12550" width="9" style="2939"/>
    <col min="12551" max="12551" width="9.36328125" style="2939" bestFit="1" customWidth="1"/>
    <col min="12552" max="12553" width="9" style="2939"/>
    <col min="12554" max="12554" width="9.36328125" style="2939" bestFit="1" customWidth="1"/>
    <col min="12555" max="12555" width="4" style="2939" customWidth="1"/>
    <col min="12556" max="12556" width="5.08984375" style="2939" customWidth="1"/>
    <col min="12557" max="12557" width="13.81640625" style="2939" customWidth="1"/>
    <col min="12558" max="12800" width="9" style="2939"/>
    <col min="12801" max="12801" width="4.90625" style="2939" customWidth="1"/>
    <col min="12802" max="12802" width="13.1796875" style="2939" customWidth="1"/>
    <col min="12803" max="12803" width="15.6328125" style="2939" customWidth="1"/>
    <col min="12804" max="12804" width="9.36328125" style="2939" bestFit="1" customWidth="1"/>
    <col min="12805" max="12805" width="13.453125" style="2939" customWidth="1"/>
    <col min="12806" max="12806" width="9" style="2939"/>
    <col min="12807" max="12807" width="9.36328125" style="2939" bestFit="1" customWidth="1"/>
    <col min="12808" max="12809" width="9" style="2939"/>
    <col min="12810" max="12810" width="9.36328125" style="2939" bestFit="1" customWidth="1"/>
    <col min="12811" max="12811" width="4" style="2939" customWidth="1"/>
    <col min="12812" max="12812" width="5.08984375" style="2939" customWidth="1"/>
    <col min="12813" max="12813" width="13.81640625" style="2939" customWidth="1"/>
    <col min="12814" max="13056" width="9" style="2939"/>
    <col min="13057" max="13057" width="4.90625" style="2939" customWidth="1"/>
    <col min="13058" max="13058" width="13.1796875" style="2939" customWidth="1"/>
    <col min="13059" max="13059" width="15.6328125" style="2939" customWidth="1"/>
    <col min="13060" max="13060" width="9.36328125" style="2939" bestFit="1" customWidth="1"/>
    <col min="13061" max="13061" width="13.453125" style="2939" customWidth="1"/>
    <col min="13062" max="13062" width="9" style="2939"/>
    <col min="13063" max="13063" width="9.36328125" style="2939" bestFit="1" customWidth="1"/>
    <col min="13064" max="13065" width="9" style="2939"/>
    <col min="13066" max="13066" width="9.36328125" style="2939" bestFit="1" customWidth="1"/>
    <col min="13067" max="13067" width="4" style="2939" customWidth="1"/>
    <col min="13068" max="13068" width="5.08984375" style="2939" customWidth="1"/>
    <col min="13069" max="13069" width="13.81640625" style="2939" customWidth="1"/>
    <col min="13070" max="13312" width="9" style="2939"/>
    <col min="13313" max="13313" width="4.90625" style="2939" customWidth="1"/>
    <col min="13314" max="13314" width="13.1796875" style="2939" customWidth="1"/>
    <col min="13315" max="13315" width="15.6328125" style="2939" customWidth="1"/>
    <col min="13316" max="13316" width="9.36328125" style="2939" bestFit="1" customWidth="1"/>
    <col min="13317" max="13317" width="13.453125" style="2939" customWidth="1"/>
    <col min="13318" max="13318" width="9" style="2939"/>
    <col min="13319" max="13319" width="9.36328125" style="2939" bestFit="1" customWidth="1"/>
    <col min="13320" max="13321" width="9" style="2939"/>
    <col min="13322" max="13322" width="9.36328125" style="2939" bestFit="1" customWidth="1"/>
    <col min="13323" max="13323" width="4" style="2939" customWidth="1"/>
    <col min="13324" max="13324" width="5.08984375" style="2939" customWidth="1"/>
    <col min="13325" max="13325" width="13.81640625" style="2939" customWidth="1"/>
    <col min="13326" max="13568" width="9" style="2939"/>
    <col min="13569" max="13569" width="4.90625" style="2939" customWidth="1"/>
    <col min="13570" max="13570" width="13.1796875" style="2939" customWidth="1"/>
    <col min="13571" max="13571" width="15.6328125" style="2939" customWidth="1"/>
    <col min="13572" max="13572" width="9.36328125" style="2939" bestFit="1" customWidth="1"/>
    <col min="13573" max="13573" width="13.453125" style="2939" customWidth="1"/>
    <col min="13574" max="13574" width="9" style="2939"/>
    <col min="13575" max="13575" width="9.36328125" style="2939" bestFit="1" customWidth="1"/>
    <col min="13576" max="13577" width="9" style="2939"/>
    <col min="13578" max="13578" width="9.36328125" style="2939" bestFit="1" customWidth="1"/>
    <col min="13579" max="13579" width="4" style="2939" customWidth="1"/>
    <col min="13580" max="13580" width="5.08984375" style="2939" customWidth="1"/>
    <col min="13581" max="13581" width="13.81640625" style="2939" customWidth="1"/>
    <col min="13582" max="13824" width="9" style="2939"/>
    <col min="13825" max="13825" width="4.90625" style="2939" customWidth="1"/>
    <col min="13826" max="13826" width="13.1796875" style="2939" customWidth="1"/>
    <col min="13827" max="13827" width="15.6328125" style="2939" customWidth="1"/>
    <col min="13828" max="13828" width="9.36328125" style="2939" bestFit="1" customWidth="1"/>
    <col min="13829" max="13829" width="13.453125" style="2939" customWidth="1"/>
    <col min="13830" max="13830" width="9" style="2939"/>
    <col min="13831" max="13831" width="9.36328125" style="2939" bestFit="1" customWidth="1"/>
    <col min="13832" max="13833" width="9" style="2939"/>
    <col min="13834" max="13834" width="9.36328125" style="2939" bestFit="1" customWidth="1"/>
    <col min="13835" max="13835" width="4" style="2939" customWidth="1"/>
    <col min="13836" max="13836" width="5.08984375" style="2939" customWidth="1"/>
    <col min="13837" max="13837" width="13.81640625" style="2939" customWidth="1"/>
    <col min="13838" max="14080" width="9" style="2939"/>
    <col min="14081" max="14081" width="4.90625" style="2939" customWidth="1"/>
    <col min="14082" max="14082" width="13.1796875" style="2939" customWidth="1"/>
    <col min="14083" max="14083" width="15.6328125" style="2939" customWidth="1"/>
    <col min="14084" max="14084" width="9.36328125" style="2939" bestFit="1" customWidth="1"/>
    <col min="14085" max="14085" width="13.453125" style="2939" customWidth="1"/>
    <col min="14086" max="14086" width="9" style="2939"/>
    <col min="14087" max="14087" width="9.36328125" style="2939" bestFit="1" customWidth="1"/>
    <col min="14088" max="14089" width="9" style="2939"/>
    <col min="14090" max="14090" width="9.36328125" style="2939" bestFit="1" customWidth="1"/>
    <col min="14091" max="14091" width="4" style="2939" customWidth="1"/>
    <col min="14092" max="14092" width="5.08984375" style="2939" customWidth="1"/>
    <col min="14093" max="14093" width="13.81640625" style="2939" customWidth="1"/>
    <col min="14094" max="14336" width="9" style="2939"/>
    <col min="14337" max="14337" width="4.90625" style="2939" customWidth="1"/>
    <col min="14338" max="14338" width="13.1796875" style="2939" customWidth="1"/>
    <col min="14339" max="14339" width="15.6328125" style="2939" customWidth="1"/>
    <col min="14340" max="14340" width="9.36328125" style="2939" bestFit="1" customWidth="1"/>
    <col min="14341" max="14341" width="13.453125" style="2939" customWidth="1"/>
    <col min="14342" max="14342" width="9" style="2939"/>
    <col min="14343" max="14343" width="9.36328125" style="2939" bestFit="1" customWidth="1"/>
    <col min="14344" max="14345" width="9" style="2939"/>
    <col min="14346" max="14346" width="9.36328125" style="2939" bestFit="1" customWidth="1"/>
    <col min="14347" max="14347" width="4" style="2939" customWidth="1"/>
    <col min="14348" max="14348" width="5.08984375" style="2939" customWidth="1"/>
    <col min="14349" max="14349" width="13.81640625" style="2939" customWidth="1"/>
    <col min="14350" max="14592" width="9" style="2939"/>
    <col min="14593" max="14593" width="4.90625" style="2939" customWidth="1"/>
    <col min="14594" max="14594" width="13.1796875" style="2939" customWidth="1"/>
    <col min="14595" max="14595" width="15.6328125" style="2939" customWidth="1"/>
    <col min="14596" max="14596" width="9.36328125" style="2939" bestFit="1" customWidth="1"/>
    <col min="14597" max="14597" width="13.453125" style="2939" customWidth="1"/>
    <col min="14598" max="14598" width="9" style="2939"/>
    <col min="14599" max="14599" width="9.36328125" style="2939" bestFit="1" customWidth="1"/>
    <col min="14600" max="14601" width="9" style="2939"/>
    <col min="14602" max="14602" width="9.36328125" style="2939" bestFit="1" customWidth="1"/>
    <col min="14603" max="14603" width="4" style="2939" customWidth="1"/>
    <col min="14604" max="14604" width="5.08984375" style="2939" customWidth="1"/>
    <col min="14605" max="14605" width="13.81640625" style="2939" customWidth="1"/>
    <col min="14606" max="14848" width="9" style="2939"/>
    <col min="14849" max="14849" width="4.90625" style="2939" customWidth="1"/>
    <col min="14850" max="14850" width="13.1796875" style="2939" customWidth="1"/>
    <col min="14851" max="14851" width="15.6328125" style="2939" customWidth="1"/>
    <col min="14852" max="14852" width="9.36328125" style="2939" bestFit="1" customWidth="1"/>
    <col min="14853" max="14853" width="13.453125" style="2939" customWidth="1"/>
    <col min="14854" max="14854" width="9" style="2939"/>
    <col min="14855" max="14855" width="9.36328125" style="2939" bestFit="1" customWidth="1"/>
    <col min="14856" max="14857" width="9" style="2939"/>
    <col min="14858" max="14858" width="9.36328125" style="2939" bestFit="1" customWidth="1"/>
    <col min="14859" max="14859" width="4" style="2939" customWidth="1"/>
    <col min="14860" max="14860" width="5.08984375" style="2939" customWidth="1"/>
    <col min="14861" max="14861" width="13.81640625" style="2939" customWidth="1"/>
    <col min="14862" max="15104" width="9" style="2939"/>
    <col min="15105" max="15105" width="4.90625" style="2939" customWidth="1"/>
    <col min="15106" max="15106" width="13.1796875" style="2939" customWidth="1"/>
    <col min="15107" max="15107" width="15.6328125" style="2939" customWidth="1"/>
    <col min="15108" max="15108" width="9.36328125" style="2939" bestFit="1" customWidth="1"/>
    <col min="15109" max="15109" width="13.453125" style="2939" customWidth="1"/>
    <col min="15110" max="15110" width="9" style="2939"/>
    <col min="15111" max="15111" width="9.36328125" style="2939" bestFit="1" customWidth="1"/>
    <col min="15112" max="15113" width="9" style="2939"/>
    <col min="15114" max="15114" width="9.36328125" style="2939" bestFit="1" customWidth="1"/>
    <col min="15115" max="15115" width="4" style="2939" customWidth="1"/>
    <col min="15116" max="15116" width="5.08984375" style="2939" customWidth="1"/>
    <col min="15117" max="15117" width="13.81640625" style="2939" customWidth="1"/>
    <col min="15118" max="15360" width="9" style="2939"/>
    <col min="15361" max="15361" width="4.90625" style="2939" customWidth="1"/>
    <col min="15362" max="15362" width="13.1796875" style="2939" customWidth="1"/>
    <col min="15363" max="15363" width="15.6328125" style="2939" customWidth="1"/>
    <col min="15364" max="15364" width="9.36328125" style="2939" bestFit="1" customWidth="1"/>
    <col min="15365" max="15365" width="13.453125" style="2939" customWidth="1"/>
    <col min="15366" max="15366" width="9" style="2939"/>
    <col min="15367" max="15367" width="9.36328125" style="2939" bestFit="1" customWidth="1"/>
    <col min="15368" max="15369" width="9" style="2939"/>
    <col min="15370" max="15370" width="9.36328125" style="2939" bestFit="1" customWidth="1"/>
    <col min="15371" max="15371" width="4" style="2939" customWidth="1"/>
    <col min="15372" max="15372" width="5.08984375" style="2939" customWidth="1"/>
    <col min="15373" max="15373" width="13.81640625" style="2939" customWidth="1"/>
    <col min="15374" max="15616" width="9" style="2939"/>
    <col min="15617" max="15617" width="4.90625" style="2939" customWidth="1"/>
    <col min="15618" max="15618" width="13.1796875" style="2939" customWidth="1"/>
    <col min="15619" max="15619" width="15.6328125" style="2939" customWidth="1"/>
    <col min="15620" max="15620" width="9.36328125" style="2939" bestFit="1" customWidth="1"/>
    <col min="15621" max="15621" width="13.453125" style="2939" customWidth="1"/>
    <col min="15622" max="15622" width="9" style="2939"/>
    <col min="15623" max="15623" width="9.36328125" style="2939" bestFit="1" customWidth="1"/>
    <col min="15624" max="15625" width="9" style="2939"/>
    <col min="15626" max="15626" width="9.36328125" style="2939" bestFit="1" customWidth="1"/>
    <col min="15627" max="15627" width="4" style="2939" customWidth="1"/>
    <col min="15628" max="15628" width="5.08984375" style="2939" customWidth="1"/>
    <col min="15629" max="15629" width="13.81640625" style="2939" customWidth="1"/>
    <col min="15630" max="15872" width="9" style="2939"/>
    <col min="15873" max="15873" width="4.90625" style="2939" customWidth="1"/>
    <col min="15874" max="15874" width="13.1796875" style="2939" customWidth="1"/>
    <col min="15875" max="15875" width="15.6328125" style="2939" customWidth="1"/>
    <col min="15876" max="15876" width="9.36328125" style="2939" bestFit="1" customWidth="1"/>
    <col min="15877" max="15877" width="13.453125" style="2939" customWidth="1"/>
    <col min="15878" max="15878" width="9" style="2939"/>
    <col min="15879" max="15879" width="9.36328125" style="2939" bestFit="1" customWidth="1"/>
    <col min="15880" max="15881" width="9" style="2939"/>
    <col min="15882" max="15882" width="9.36328125" style="2939" bestFit="1" customWidth="1"/>
    <col min="15883" max="15883" width="4" style="2939" customWidth="1"/>
    <col min="15884" max="15884" width="5.08984375" style="2939" customWidth="1"/>
    <col min="15885" max="15885" width="13.81640625" style="2939" customWidth="1"/>
    <col min="15886" max="16128" width="9" style="2939"/>
    <col min="16129" max="16129" width="4.90625" style="2939" customWidth="1"/>
    <col min="16130" max="16130" width="13.1796875" style="2939" customWidth="1"/>
    <col min="16131" max="16131" width="15.6328125" style="2939" customWidth="1"/>
    <col min="16132" max="16132" width="9.36328125" style="2939" bestFit="1" customWidth="1"/>
    <col min="16133" max="16133" width="13.453125" style="2939" customWidth="1"/>
    <col min="16134" max="16134" width="9" style="2939"/>
    <col min="16135" max="16135" width="9.36328125" style="2939" bestFit="1" customWidth="1"/>
    <col min="16136" max="16137" width="9" style="2939"/>
    <col min="16138" max="16138" width="9.36328125" style="2939" bestFit="1" customWidth="1"/>
    <col min="16139" max="16139" width="4" style="2939" customWidth="1"/>
    <col min="16140" max="16140" width="5.08984375" style="2939" customWidth="1"/>
    <col min="16141" max="16141" width="13.81640625" style="2939" customWidth="1"/>
    <col min="16142" max="16384" width="9" style="2939"/>
  </cols>
  <sheetData>
    <row r="1" spans="1:257" s="2999" customFormat="1" ht="14.5" thickBot="1">
      <c r="A1" s="2998"/>
      <c r="B1" s="3000" t="s">
        <v>2747</v>
      </c>
      <c r="C1" s="3004">
        <f>项目基本情况!D3</f>
        <v>43899</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2778</v>
      </c>
      <c r="C2" s="3005">
        <f>'数据-取费表'!B22</f>
        <v>2</v>
      </c>
      <c r="D2" s="3000" t="s">
        <v>2748</v>
      </c>
      <c r="E2" s="3003">
        <f ca="1">INDIRECT("I"&amp;$I$1)/100</f>
        <v>4.7500000000000001E-2</v>
      </c>
      <c r="G2" s="2940"/>
      <c r="H2" s="2940"/>
      <c r="I2" s="2940" t="s">
        <v>2749</v>
      </c>
      <c r="K2" s="2940"/>
      <c r="L2" s="2940"/>
      <c r="M2" s="2940"/>
      <c r="N2" s="2940" t="s">
        <v>2750</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2780</v>
      </c>
      <c r="C3" s="3002">
        <f>'数据-取费表'!B19</f>
        <v>0</v>
      </c>
      <c r="D3" s="3000" t="s">
        <v>2748</v>
      </c>
      <c r="E3" s="3003">
        <f ca="1">INDIRECT("J"&amp;$J$1)/100</f>
        <v>0</v>
      </c>
      <c r="G3" s="2942" t="s">
        <v>2751</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2779</v>
      </c>
      <c r="C4" s="3003">
        <f ca="1">N4/100</f>
        <v>1.4999999999999999E-2</v>
      </c>
      <c r="G4" s="2948" t="s">
        <v>2752</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2753</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2754</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5" thickBot="1">
      <c r="A7" s="2941"/>
      <c r="G7" s="2953" t="s">
        <v>2755</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1">
      <c r="A9" s="2961"/>
      <c r="B9" s="2962" t="s">
        <v>2756</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3">
      <c r="A10" s="2967"/>
      <c r="B10" s="2968" t="s">
        <v>2757</v>
      </c>
      <c r="C10" s="2967"/>
      <c r="D10" s="2967"/>
      <c r="E10" s="2967"/>
      <c r="F10" s="2967"/>
      <c r="G10" s="2967"/>
      <c r="H10" s="2967"/>
      <c r="I10" s="2941"/>
      <c r="J10" s="2941"/>
      <c r="K10" s="2967"/>
      <c r="L10" s="2968" t="s">
        <v>2758</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2759</v>
      </c>
      <c r="C11" s="2972" t="s">
        <v>2760</v>
      </c>
      <c r="D11" s="2973" t="s">
        <v>2761</v>
      </c>
      <c r="E11" s="2974"/>
      <c r="F11" s="2973" t="s">
        <v>2762</v>
      </c>
      <c r="G11" s="2975"/>
      <c r="H11" s="2974"/>
      <c r="I11" s="2973" t="s">
        <v>2763</v>
      </c>
      <c r="J11" s="2974"/>
      <c r="K11" s="2970"/>
      <c r="L11" s="2971" t="s">
        <v>2759</v>
      </c>
      <c r="M11" s="2972" t="s">
        <v>2760</v>
      </c>
      <c r="N11" s="2971" t="s">
        <v>2764</v>
      </c>
      <c r="O11" s="2973" t="s">
        <v>2765</v>
      </c>
      <c r="P11" s="2975"/>
      <c r="Q11" s="2975"/>
      <c r="R11" s="2975"/>
      <c r="S11" s="2975"/>
      <c r="T11" s="2974"/>
      <c r="U11" s="2973" t="s">
        <v>2766</v>
      </c>
      <c r="V11" s="2975"/>
      <c r="W11" s="2974"/>
      <c r="X11" s="2971" t="s">
        <v>2767</v>
      </c>
      <c r="Y11" s="2971" t="s">
        <v>2768</v>
      </c>
      <c r="Z11" s="2971" t="s">
        <v>2769</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2770</v>
      </c>
      <c r="E12" s="2980" t="s">
        <v>2771</v>
      </c>
      <c r="F12" s="2980" t="s">
        <v>2772</v>
      </c>
      <c r="G12" s="2980" t="s">
        <v>2773</v>
      </c>
      <c r="H12" s="2980" t="s">
        <v>2755</v>
      </c>
      <c r="I12" s="2981" t="s">
        <v>2774</v>
      </c>
      <c r="J12" s="2981" t="s">
        <v>2774</v>
      </c>
      <c r="K12" s="2977"/>
      <c r="L12" s="2978"/>
      <c r="M12" s="2979"/>
      <c r="N12" s="2978"/>
      <c r="O12" s="2981" t="s">
        <v>2775</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0">
      <c r="A13" s="2983"/>
      <c r="B13" s="2984" t="s">
        <v>2776</v>
      </c>
      <c r="C13" s="2985">
        <v>42301</v>
      </c>
      <c r="D13" s="2986">
        <v>4.3499999999999996</v>
      </c>
      <c r="E13" s="2986">
        <v>4.3499999999999996</v>
      </c>
      <c r="F13" s="2986">
        <v>4.75</v>
      </c>
      <c r="G13" s="2986">
        <v>4.75</v>
      </c>
      <c r="H13" s="2986">
        <v>4.9000000000000004</v>
      </c>
      <c r="I13" s="2986">
        <v>2.75</v>
      </c>
      <c r="J13" s="2986">
        <v>3.25</v>
      </c>
      <c r="K13" s="2983"/>
      <c r="L13" s="2984" t="s">
        <v>2776</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2777</v>
      </c>
      <c r="Y42" s="2990" t="s">
        <v>2777</v>
      </c>
      <c r="Z42" s="2990" t="s">
        <v>2777</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2777</v>
      </c>
      <c r="Y43" s="2990" t="s">
        <v>2777</v>
      </c>
      <c r="Z43" s="2990" t="s">
        <v>2777</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2777</v>
      </c>
      <c r="Y44" s="2990" t="s">
        <v>2777</v>
      </c>
      <c r="Z44" s="2990" t="s">
        <v>2777</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2777</v>
      </c>
      <c r="Y45" s="2990" t="s">
        <v>2777</v>
      </c>
      <c r="Z45" s="2990" t="s">
        <v>2777</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2777</v>
      </c>
      <c r="Y46" s="2990" t="s">
        <v>2777</v>
      </c>
      <c r="Z46" s="2990" t="s">
        <v>2777</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2777</v>
      </c>
      <c r="Y47" s="2990" t="s">
        <v>2777</v>
      </c>
      <c r="Z47" s="2990" t="s">
        <v>2777</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2777</v>
      </c>
      <c r="Y48" s="2990" t="s">
        <v>2777</v>
      </c>
      <c r="Z48" s="2990" t="s">
        <v>2777</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2777</v>
      </c>
      <c r="Y49" s="2990" t="s">
        <v>2777</v>
      </c>
      <c r="Z49" s="2990" t="s">
        <v>2777</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2777</v>
      </c>
      <c r="Y50" s="2990" t="s">
        <v>2777</v>
      </c>
      <c r="Z50" s="2990" t="s">
        <v>2777</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2777</v>
      </c>
      <c r="V51" s="2990" t="s">
        <v>2777</v>
      </c>
      <c r="W51" s="2990" t="s">
        <v>2777</v>
      </c>
      <c r="X51" s="2990" t="s">
        <v>2777</v>
      </c>
      <c r="Y51" s="2990" t="s">
        <v>2777</v>
      </c>
      <c r="Z51" s="2990" t="s">
        <v>2777</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2777</v>
      </c>
      <c r="J55" s="2990" t="s">
        <v>2777</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K2" sqref="K2"/>
    </sheetView>
  </sheetViews>
  <sheetFormatPr defaultColWidth="9" defaultRowHeight="15.5"/>
  <cols>
    <col min="1" max="1" width="9" style="2060"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4.906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5.90625" style="2059" customWidth="1"/>
    <col min="16" max="16" width="27.6328125" style="2059" customWidth="1"/>
    <col min="17" max="17" width="13.81640625" style="2097" customWidth="1"/>
    <col min="18" max="18" width="23.453125" style="2059" customWidth="1"/>
    <col min="19" max="19" width="1.453125" style="2059" customWidth="1"/>
    <col min="20" max="33" width="9" style="2059"/>
    <col min="34" max="16384" width="9" style="2060"/>
  </cols>
  <sheetData>
    <row r="1" spans="1:33" s="2054" customFormat="1" ht="21">
      <c r="A1" s="832" t="s">
        <v>1687</v>
      </c>
      <c r="B1" s="738"/>
      <c r="C1" s="773" t="s">
        <v>2961</v>
      </c>
      <c r="D1" s="3123" t="s">
        <v>3104</v>
      </c>
      <c r="E1" s="2387" t="s">
        <v>835</v>
      </c>
      <c r="F1" s="2388">
        <f ca="1">J53</f>
        <v>37.26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82428</v>
      </c>
      <c r="C2" s="2057"/>
      <c r="D2" s="2055"/>
      <c r="E2" s="2056"/>
      <c r="F2" s="2056"/>
      <c r="G2" s="1589"/>
      <c r="H2" s="2057"/>
      <c r="I2" s="2057"/>
      <c r="J2" s="2057"/>
      <c r="K2" s="2058"/>
      <c r="L2" s="2057"/>
      <c r="M2" s="2057"/>
    </row>
    <row r="3" spans="1:33" ht="18" customHeight="1" thickBot="1">
      <c r="A3" s="833" t="s">
        <v>484</v>
      </c>
      <c r="B3" s="834">
        <f ca="1">IF(ISERROR(B2*10000/F43),0,ROUND(B2*10000/F43,0))</f>
        <v>62445</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5210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5203</v>
      </c>
      <c r="D6" s="2497" t="s">
        <v>2421</v>
      </c>
      <c r="E6" s="784" t="s">
        <v>602</v>
      </c>
      <c r="F6" s="785">
        <f ca="1">INDIRECT("'数据-取费表'!u"&amp;$G$1)</f>
        <v>12</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13200</v>
      </c>
      <c r="G7" s="1591"/>
      <c r="H7" s="2489"/>
      <c r="I7" s="3464"/>
      <c r="J7" s="788"/>
      <c r="K7" s="789"/>
      <c r="L7" s="784" t="s">
        <v>603</v>
      </c>
      <c r="M7" s="785">
        <f ca="1">F7</f>
        <v>13200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7</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7674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5173</v>
      </c>
      <c r="D14" s="3178" t="s">
        <v>611</v>
      </c>
      <c r="E14" s="3177"/>
      <c r="F14" s="805"/>
      <c r="G14" s="1591"/>
      <c r="H14" s="1648" t="s">
        <v>1786</v>
      </c>
      <c r="I14" s="2231" t="s">
        <v>2784</v>
      </c>
      <c r="J14" s="53">
        <f ca="1">C29</f>
        <v>7674</v>
      </c>
      <c r="K14" s="26"/>
      <c r="L14" s="801"/>
      <c r="M14" s="802"/>
    </row>
    <row r="15" spans="1:33" s="2064" customFormat="1" ht="18" customHeight="1" thickBot="1">
      <c r="A15" s="1647" t="s">
        <v>1794</v>
      </c>
      <c r="B15" s="784" t="s">
        <v>612</v>
      </c>
      <c r="C15" s="53">
        <f ca="1">ROUND(C14*F15,0)</f>
        <v>259</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799</v>
      </c>
      <c r="K16" s="1821" t="s">
        <v>617</v>
      </c>
      <c r="L16" s="3180"/>
      <c r="M16" s="2491"/>
    </row>
    <row r="17" spans="1:33" s="2064" customFormat="1" ht="18" customHeight="1">
      <c r="A17" s="1647" t="s">
        <v>1849</v>
      </c>
      <c r="B17" s="784" t="s">
        <v>618</v>
      </c>
      <c r="C17" s="53">
        <f ca="1">ROUND(F17*(F43+INDIRECT("'数据-取费表'!S"&amp;$G$1))/10000,0)</f>
        <v>287</v>
      </c>
      <c r="D17" s="784" t="s">
        <v>1713</v>
      </c>
      <c r="E17" s="784" t="s">
        <v>1714</v>
      </c>
      <c r="F17" s="56">
        <f>'数据-取费表'!B35</f>
        <v>200</v>
      </c>
      <c r="G17" s="1592"/>
      <c r="H17" s="1648" t="s">
        <v>1786</v>
      </c>
      <c r="I17" s="784" t="s">
        <v>621</v>
      </c>
      <c r="J17" s="53">
        <f ca="1">ROUND(IF(项目基本情况!B11="自然人",J5*M17,J18+J19+J20),0)</f>
        <v>646</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78</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5797</v>
      </c>
      <c r="D19" s="261" t="s">
        <v>1719</v>
      </c>
      <c r="E19" s="3181"/>
      <c r="F19" s="56"/>
      <c r="G19" s="1591"/>
      <c r="H19" s="1647" t="s">
        <v>1794</v>
      </c>
      <c r="I19" s="784" t="s">
        <v>629</v>
      </c>
      <c r="J19" s="53">
        <f ca="1">IF(K19="按租金收入计税",ROUND(J5*M19,1),ROUND(C29*F33*0.7,1))</f>
        <v>644.6</v>
      </c>
      <c r="K19" s="811" t="s">
        <v>630</v>
      </c>
      <c r="L19" s="784" t="s">
        <v>1709</v>
      </c>
      <c r="M19" s="809">
        <f>IF(K19="按租金收入计税",'数据-取费表'!B51,'数据-取费表'!B50)</f>
        <v>1.2E-2</v>
      </c>
    </row>
    <row r="20" spans="1:33" s="2064" customFormat="1" ht="18" customHeight="1">
      <c r="A20" s="1648" t="s">
        <v>1851</v>
      </c>
      <c r="B20" s="784" t="s">
        <v>631</v>
      </c>
      <c r="C20" s="53">
        <f ca="1">ROUND(C19*F20,0)</f>
        <v>116</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1204.31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153</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281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-799</v>
      </c>
      <c r="K25" s="2548" t="s">
        <v>665</v>
      </c>
      <c r="L25" s="2549"/>
      <c r="M25" s="2550"/>
    </row>
    <row r="26" spans="1:33" ht="18" customHeight="1">
      <c r="A26" s="1647" t="s">
        <v>1793</v>
      </c>
      <c r="B26" s="784" t="s">
        <v>2399</v>
      </c>
      <c r="C26" s="53">
        <f ca="1">ROUND((C19+C20)*F26,0)</f>
        <v>887</v>
      </c>
      <c r="D26" s="812" t="s">
        <v>666</v>
      </c>
      <c r="E26" s="795" t="s">
        <v>667</v>
      </c>
      <c r="F26" s="794">
        <f ca="1">INDIRECT("'数据-取费表'!q"&amp;$G$1)</f>
        <v>0.15</v>
      </c>
      <c r="G26" s="1591"/>
      <c r="H26" s="2502" t="s">
        <v>1742</v>
      </c>
      <c r="I26" s="2232" t="s">
        <v>2786</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7674</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1178</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904.5</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1.4</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1204.31</v>
      </c>
      <c r="G35" s="2062"/>
      <c r="H35" s="2065"/>
      <c r="I35" s="837" t="s">
        <v>1776</v>
      </c>
      <c r="J35" s="838">
        <f ca="1">ROUND(C13*J36,0)</f>
        <v>652</v>
      </c>
      <c r="K35" s="2078"/>
      <c r="L35" s="2077"/>
      <c r="M35" s="2077"/>
    </row>
    <row r="36" spans="1:18" ht="18" customHeight="1">
      <c r="A36" s="1648" t="s">
        <v>1851</v>
      </c>
      <c r="B36" s="784" t="s">
        <v>641</v>
      </c>
      <c r="C36" s="53">
        <f ca="1">ROUND(C29*F36,1)</f>
        <v>153.5</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15.3</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5" customHeight="1" thickTop="1">
      <c r="A39" s="1829" t="s">
        <v>1738</v>
      </c>
      <c r="B39" s="3010" t="s">
        <v>2781</v>
      </c>
      <c r="C39" s="792">
        <f ca="1">C5-C30</f>
        <v>4032</v>
      </c>
      <c r="D39" s="2548" t="s">
        <v>665</v>
      </c>
      <c r="E39" s="2549"/>
      <c r="F39" s="2550"/>
      <c r="G39" s="2062"/>
      <c r="H39" s="2077"/>
      <c r="I39" s="837" t="s">
        <v>1780</v>
      </c>
      <c r="J39" s="845">
        <f ca="1">ROUND(J35/C39,3)</f>
        <v>0.16200000000000001</v>
      </c>
      <c r="K39" s="2083"/>
      <c r="L39" s="2077"/>
      <c r="M39" s="2077"/>
    </row>
    <row r="40" spans="1:18" ht="18" customHeight="1">
      <c r="A40" s="781" t="s">
        <v>1742</v>
      </c>
      <c r="B40" s="2232" t="s">
        <v>2263</v>
      </c>
      <c r="C40" s="783">
        <f ca="1">ROUND(C39*(1-((1+F42)/(1+F40))^F41)/(F40-F42),0)</f>
        <v>82428</v>
      </c>
      <c r="D40" s="814" t="s">
        <v>669</v>
      </c>
      <c r="E40" s="784" t="s">
        <v>2380</v>
      </c>
      <c r="F40" s="794">
        <f ca="1">INDIRECT("'数据-取费表'!I"&amp;$G$1)</f>
        <v>5.5E-2</v>
      </c>
      <c r="G40" s="2062"/>
      <c r="H40" s="2062"/>
      <c r="I40" s="837" t="s">
        <v>1781</v>
      </c>
      <c r="J40" s="845">
        <f ca="1">1-J39</f>
        <v>0.83799999999999997</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9.2999999999999999E-2</v>
      </c>
      <c r="K42" s="2082"/>
      <c r="L42" s="1988"/>
      <c r="M42" s="1988"/>
    </row>
    <row r="43" spans="1:18" ht="18" customHeight="1" thickBot="1">
      <c r="A43" s="823" t="s">
        <v>1749</v>
      </c>
      <c r="B43" s="824" t="s">
        <v>1772</v>
      </c>
      <c r="C43" s="825">
        <f ca="1">ROUND(C40*10000/F43,0)</f>
        <v>62445</v>
      </c>
      <c r="D43" s="826" t="s">
        <v>1773</v>
      </c>
      <c r="E43" s="827" t="s">
        <v>1774</v>
      </c>
      <c r="F43" s="828">
        <f ca="1">INDIRECT("'数据-取费表'!k"&amp;$G$1)</f>
        <v>13200</v>
      </c>
      <c r="G43" s="2062"/>
      <c r="H43" s="1988"/>
      <c r="I43" s="847" t="s">
        <v>1784</v>
      </c>
      <c r="J43" s="848">
        <f ca="1">1-J42</f>
        <v>0.90700000000000003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-85098</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82428</v>
      </c>
      <c r="R48" s="2399" t="s">
        <v>2341</v>
      </c>
    </row>
    <row r="49" spans="1:18" s="2059" customFormat="1" ht="18" customHeight="1" thickBot="1">
      <c r="A49" s="786"/>
      <c r="B49" s="787"/>
      <c r="C49" s="788"/>
      <c r="D49" s="789"/>
      <c r="E49" s="784" t="s">
        <v>603</v>
      </c>
      <c r="F49" s="785">
        <f ca="1">F7</f>
        <v>13200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7674</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61764</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82428</v>
      </c>
      <c r="R54" s="2403" t="s">
        <v>2353</v>
      </c>
    </row>
    <row r="55" spans="1:18" s="2059" customFormat="1" ht="18" customHeight="1" thickTop="1" thickBot="1">
      <c r="A55" s="797">
        <v>2</v>
      </c>
      <c r="B55" s="798" t="s">
        <v>609</v>
      </c>
      <c r="C55" s="799">
        <f ca="1">C13</f>
        <v>7674</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7674</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170</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82428</v>
      </c>
      <c r="R57" s="2399" t="s">
        <v>2341</v>
      </c>
    </row>
    <row r="58" spans="1:18" s="2059" customFormat="1" ht="28.5" customHeight="1" thickBot="1">
      <c r="A58" s="1648" t="s">
        <v>1786</v>
      </c>
      <c r="B58" s="784" t="s">
        <v>621</v>
      </c>
      <c r="C58" s="53">
        <f ca="1">ROUND(IF(项目基本情况!B11="自然人",C47*F58,C59+C60+C61),1)</f>
        <v>1.4</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1.4</v>
      </c>
      <c r="D61" s="814" t="s">
        <v>634</v>
      </c>
      <c r="E61" s="784" t="s">
        <v>635</v>
      </c>
      <c r="F61" s="640">
        <f t="shared" si="0"/>
        <v>12</v>
      </c>
      <c r="K61" s="2086"/>
      <c r="O61" s="2401" t="s">
        <v>2347</v>
      </c>
      <c r="P61" s="2399" t="s">
        <v>2355</v>
      </c>
      <c r="Q61" s="2400" t="e">
        <f ca="1">L58</f>
        <v>#DIV/0!</v>
      </c>
      <c r="R61" s="2403" t="s">
        <v>2356</v>
      </c>
    </row>
    <row r="62" spans="1:18" s="2059" customFormat="1" ht="16" thickBot="1">
      <c r="A62" s="815"/>
      <c r="B62" s="793"/>
      <c r="C62" s="69"/>
      <c r="D62" s="816"/>
      <c r="E62" s="784" t="s">
        <v>639</v>
      </c>
      <c r="F62" s="785">
        <f t="shared" ca="1" si="0"/>
        <v>1204.31</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6" thickBot="1">
      <c r="A63" s="1648" t="s">
        <v>1851</v>
      </c>
      <c r="B63" s="784" t="s">
        <v>641</v>
      </c>
      <c r="C63" s="53">
        <f ca="1">ROUND(C56*F63,1)</f>
        <v>153.5</v>
      </c>
      <c r="D63" s="3179" t="s">
        <v>656</v>
      </c>
      <c r="E63" s="784" t="s">
        <v>1709</v>
      </c>
      <c r="F63" s="817">
        <f t="shared" ca="1" si="0"/>
        <v>0.02</v>
      </c>
      <c r="I63" s="3171" t="s">
        <v>2331</v>
      </c>
      <c r="J63" s="3172">
        <v>70</v>
      </c>
      <c r="K63" s="3172">
        <v>50</v>
      </c>
      <c r="L63" s="3172">
        <v>80</v>
      </c>
      <c r="M63" s="3174">
        <v>0.02</v>
      </c>
      <c r="O63" s="2398" t="s">
        <v>2352</v>
      </c>
      <c r="P63" s="2399" t="s">
        <v>2369</v>
      </c>
      <c r="Q63" s="2400">
        <f ca="1">Q57+Q58</f>
        <v>82428</v>
      </c>
      <c r="R63" s="2403" t="s">
        <v>2353</v>
      </c>
    </row>
    <row r="64" spans="1:18" s="2059" customFormat="1" ht="16" thickBot="1">
      <c r="A64" s="1648" t="s">
        <v>1852</v>
      </c>
      <c r="B64" s="784" t="s">
        <v>644</v>
      </c>
      <c r="C64" s="53">
        <f ca="1">ROUND(C55*F64,1)</f>
        <v>15.3</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6" thickBot="1">
      <c r="A65" s="1648" t="s">
        <v>1853</v>
      </c>
      <c r="B65" s="784" t="s">
        <v>631</v>
      </c>
      <c r="C65" s="53">
        <f ca="1">ROUND(C47*F65,1)</f>
        <v>0</v>
      </c>
      <c r="D65" s="3179" t="s">
        <v>648</v>
      </c>
      <c r="E65" s="784" t="s">
        <v>1709</v>
      </c>
      <c r="F65" s="794">
        <f t="shared" ca="1" si="0"/>
        <v>0.02</v>
      </c>
      <c r="I65" s="3171" t="s">
        <v>2333</v>
      </c>
      <c r="J65" s="3172">
        <v>40</v>
      </c>
      <c r="K65" s="3172">
        <v>30</v>
      </c>
      <c r="L65" s="3172">
        <v>50</v>
      </c>
      <c r="M65" s="3174">
        <v>0.02</v>
      </c>
      <c r="O65" s="2395" t="s">
        <v>2336</v>
      </c>
      <c r="P65" s="2396" t="s">
        <v>2337</v>
      </c>
      <c r="Q65" s="2397" t="s">
        <v>2338</v>
      </c>
      <c r="R65" s="2396" t="s">
        <v>2339</v>
      </c>
    </row>
    <row r="66" spans="1:18" s="2059" customFormat="1" ht="26.5" thickBot="1">
      <c r="A66" s="797" t="s">
        <v>1738</v>
      </c>
      <c r="B66" s="3011" t="s">
        <v>2781</v>
      </c>
      <c r="C66" s="799">
        <f ca="1">C47-C57</f>
        <v>-170</v>
      </c>
      <c r="D66" s="3178" t="s">
        <v>665</v>
      </c>
      <c r="E66" s="3176"/>
      <c r="F66" s="820"/>
      <c r="K66" s="2086"/>
      <c r="O66" s="2398" t="s">
        <v>2340</v>
      </c>
      <c r="P66" s="2399" t="s">
        <v>2366</v>
      </c>
      <c r="Q66" s="2400">
        <f ca="1">C40+J29</f>
        <v>82428</v>
      </c>
      <c r="R66" s="2399" t="s">
        <v>2341</v>
      </c>
    </row>
    <row r="67" spans="1:18" s="2059" customFormat="1" ht="17" thickBot="1">
      <c r="A67" s="781" t="s">
        <v>1742</v>
      </c>
      <c r="B67" s="2232" t="s">
        <v>2263</v>
      </c>
      <c r="C67" s="783">
        <f ca="1">ROUND(C66*(1-((1+F69)/(1+F67))^F68)/(F67-F69),0)</f>
        <v>-2670</v>
      </c>
      <c r="D67" s="814" t="s">
        <v>669</v>
      </c>
      <c r="E67" s="784" t="s">
        <v>670</v>
      </c>
      <c r="F67" s="794">
        <f ca="1">F40</f>
        <v>5.5E-2</v>
      </c>
      <c r="K67" s="2086"/>
      <c r="O67" s="2398" t="s">
        <v>2342</v>
      </c>
      <c r="P67" s="2399" t="s">
        <v>2373</v>
      </c>
      <c r="Q67" s="2400">
        <f ca="1">L60</f>
        <v>0</v>
      </c>
      <c r="R67" s="2403" t="s">
        <v>2375</v>
      </c>
    </row>
    <row r="68" spans="1:18" ht="21" thickBot="1">
      <c r="A68" s="786"/>
      <c r="B68" s="787"/>
      <c r="C68" s="788"/>
      <c r="D68" s="821" t="s">
        <v>1770</v>
      </c>
      <c r="E68" s="784" t="s">
        <v>673</v>
      </c>
      <c r="F68" s="822">
        <f ca="1">F41</f>
        <v>37.26</v>
      </c>
      <c r="O68" s="2401" t="s">
        <v>2344</v>
      </c>
      <c r="P68" s="2399" t="s">
        <v>2374</v>
      </c>
      <c r="Q68" s="2405">
        <f ca="1">L51</f>
        <v>61764</v>
      </c>
      <c r="R68" s="2406" t="s">
        <v>2377</v>
      </c>
    </row>
    <row r="69" spans="1:18" ht="17" thickBot="1">
      <c r="A69" s="790"/>
      <c r="B69" s="791"/>
      <c r="C69" s="792"/>
      <c r="D69" s="816"/>
      <c r="E69" s="784" t="s">
        <v>675</v>
      </c>
      <c r="F69" s="2371"/>
      <c r="O69" s="2401" t="s">
        <v>2345</v>
      </c>
      <c r="P69" s="2407" t="s">
        <v>2359</v>
      </c>
      <c r="Q69" s="2400">
        <f ca="1">ROUND(Q70-Q71*Q72,0)</f>
        <v>3380</v>
      </c>
      <c r="R69" s="2403"/>
    </row>
    <row r="70" spans="1:18" ht="16" thickBot="1">
      <c r="A70" s="823" t="s">
        <v>1749</v>
      </c>
      <c r="B70" s="824" t="s">
        <v>1772</v>
      </c>
      <c r="C70" s="825">
        <f ca="1">ROUND(C67*10000/F70,0)</f>
        <v>-2023</v>
      </c>
      <c r="D70" s="826" t="s">
        <v>1773</v>
      </c>
      <c r="E70" s="827" t="s">
        <v>1774</v>
      </c>
      <c r="F70" s="828">
        <f ca="1">F43</f>
        <v>13200</v>
      </c>
      <c r="O70" s="2401" t="s">
        <v>2360</v>
      </c>
      <c r="P70" s="2407" t="s">
        <v>2361</v>
      </c>
      <c r="Q70" s="2400">
        <f ca="1">C39</f>
        <v>4032</v>
      </c>
      <c r="R70" s="2399" t="s">
        <v>2341</v>
      </c>
    </row>
    <row r="71" spans="1:18" ht="16" thickBot="1">
      <c r="O71" s="2401" t="s">
        <v>2362</v>
      </c>
      <c r="P71" s="2407" t="s">
        <v>2363</v>
      </c>
      <c r="Q71" s="2400">
        <f ca="1">C13</f>
        <v>7674</v>
      </c>
      <c r="R71" s="2399" t="s">
        <v>2341</v>
      </c>
    </row>
    <row r="72" spans="1:18" ht="16" thickBot="1">
      <c r="O72" s="2401" t="s">
        <v>2364</v>
      </c>
      <c r="P72" s="2407" t="s">
        <v>2365</v>
      </c>
      <c r="Q72" s="2402">
        <f ca="1">J36</f>
        <v>8.5000000000000006E-2</v>
      </c>
      <c r="R72" s="2403"/>
    </row>
    <row r="73" spans="1:18" ht="16" thickBot="1">
      <c r="O73" s="2401" t="s">
        <v>2347</v>
      </c>
      <c r="P73" s="2399" t="s">
        <v>2354</v>
      </c>
      <c r="Q73" s="2402">
        <f>L52</f>
        <v>0</v>
      </c>
      <c r="R73" s="2403"/>
    </row>
    <row r="74" spans="1:18" ht="17" thickBot="1">
      <c r="O74" s="2401" t="s">
        <v>2349</v>
      </c>
      <c r="P74" s="2399" t="s">
        <v>2355</v>
      </c>
      <c r="Q74" s="2400" t="e">
        <f ca="1">L58</f>
        <v>#DIV/0!</v>
      </c>
      <c r="R74" s="2403" t="s">
        <v>2356</v>
      </c>
    </row>
    <row r="75" spans="1:18" ht="16" thickBot="1">
      <c r="O75" s="2401" t="s">
        <v>2378</v>
      </c>
      <c r="P75" s="2399" t="str">
        <f>K59</f>
        <v>建设期及建筑物耐用年限下的土地年期修正系数Kn</v>
      </c>
      <c r="Q75" s="2400" t="e">
        <f ca="1">L59</f>
        <v>#DIV/0!</v>
      </c>
      <c r="R75" s="2403" t="s">
        <v>2358</v>
      </c>
    </row>
    <row r="76" spans="1:18" ht="16" thickBot="1">
      <c r="O76" s="2398" t="s">
        <v>2352</v>
      </c>
      <c r="P76" s="2399" t="s">
        <v>2369</v>
      </c>
      <c r="Q76" s="2400">
        <f ca="1">Q66+Q67</f>
        <v>82428</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5"/>
  <cols>
    <col min="1" max="1" width="9" style="2060"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4.906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5.90625" style="2059" customWidth="1"/>
    <col min="16" max="16" width="27.6328125" style="2059" customWidth="1"/>
    <col min="17" max="17" width="13.81640625" style="2097" customWidth="1"/>
    <col min="18" max="18" width="23.453125" style="2059" customWidth="1"/>
    <col min="19" max="19" width="1.453125" style="2059" customWidth="1"/>
    <col min="20" max="33" width="9" style="2059"/>
    <col min="34" max="16384" width="9" style="2060"/>
  </cols>
  <sheetData>
    <row r="1" spans="1:33" s="2054" customFormat="1" ht="21">
      <c r="A1" s="832" t="s">
        <v>1687</v>
      </c>
      <c r="B1" s="738"/>
      <c r="C1" s="773" t="s">
        <v>2963</v>
      </c>
      <c r="D1" s="3123" t="s">
        <v>3104</v>
      </c>
      <c r="E1" s="2387" t="s">
        <v>835</v>
      </c>
      <c r="F1" s="2388">
        <f ca="1">J53</f>
        <v>37.26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0</v>
      </c>
      <c r="D6" s="2497" t="s">
        <v>2421</v>
      </c>
      <c r="E6" s="784" t="s">
        <v>602</v>
      </c>
      <c r="F6" s="785">
        <f ca="1">INDIRECT("'数据-取费表'!u"&amp;$G$1)</f>
        <v>0</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21600</v>
      </c>
      <c r="G7" s="1591"/>
      <c r="H7" s="2489"/>
      <c r="I7" s="3464"/>
      <c r="J7" s="788"/>
      <c r="K7" s="789"/>
      <c r="L7" s="784" t="s">
        <v>603</v>
      </c>
      <c r="M7" s="785">
        <f ca="1">F7</f>
        <v>21600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0</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19129</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12569</v>
      </c>
      <c r="D14" s="3178" t="s">
        <v>611</v>
      </c>
      <c r="E14" s="3177"/>
      <c r="F14" s="805"/>
      <c r="G14" s="1591"/>
      <c r="H14" s="1648" t="s">
        <v>1786</v>
      </c>
      <c r="I14" s="2231" t="s">
        <v>2784</v>
      </c>
      <c r="J14" s="53">
        <f ca="1">C29</f>
        <v>19129</v>
      </c>
      <c r="K14" s="26"/>
      <c r="L14" s="801"/>
      <c r="M14" s="802"/>
    </row>
    <row r="15" spans="1:33" s="2064" customFormat="1" ht="18" customHeight="1" thickBot="1">
      <c r="A15" s="1647" t="s">
        <v>1794</v>
      </c>
      <c r="B15" s="784" t="s">
        <v>612</v>
      </c>
      <c r="C15" s="53">
        <f ca="1">ROUND(C14*F15,0)</f>
        <v>628</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1992</v>
      </c>
      <c r="K16" s="1821" t="s">
        <v>617</v>
      </c>
      <c r="L16" s="3180"/>
      <c r="M16" s="2491"/>
    </row>
    <row r="17" spans="1:33" s="2064" customFormat="1" ht="18" customHeight="1">
      <c r="A17" s="1647" t="s">
        <v>1849</v>
      </c>
      <c r="B17" s="784" t="s">
        <v>618</v>
      </c>
      <c r="C17" s="53">
        <f ca="1">ROUND(F17*(F43+INDIRECT("'数据-取费表'!S"&amp;$G$1))/10000,0)</f>
        <v>470</v>
      </c>
      <c r="D17" s="784" t="s">
        <v>1713</v>
      </c>
      <c r="E17" s="784" t="s">
        <v>1714</v>
      </c>
      <c r="F17" s="56">
        <f>'数据-取费表'!B35</f>
        <v>200</v>
      </c>
      <c r="G17" s="1592"/>
      <c r="H17" s="1648" t="s">
        <v>1786</v>
      </c>
      <c r="I17" s="784" t="s">
        <v>621</v>
      </c>
      <c r="J17" s="53">
        <f ca="1">ROUND(IF(项目基本情况!B11="自然人",J5*M17,J18+J19+J20),0)</f>
        <v>1609</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189</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13856</v>
      </c>
      <c r="D19" s="261" t="s">
        <v>1719</v>
      </c>
      <c r="E19" s="3181"/>
      <c r="F19" s="56"/>
      <c r="G19" s="1591"/>
      <c r="H19" s="1647" t="s">
        <v>1794</v>
      </c>
      <c r="I19" s="784" t="s">
        <v>629</v>
      </c>
      <c r="J19" s="53">
        <f ca="1">IF(K19="按租金收入计税",ROUND(J5*M19,1),ROUND(C29*F33*0.7,1))</f>
        <v>1606.8</v>
      </c>
      <c r="K19" s="811" t="s">
        <v>630</v>
      </c>
      <c r="L19" s="784" t="s">
        <v>1709</v>
      </c>
      <c r="M19" s="809">
        <f>IF(K19="按租金收入计税",'数据-取费表'!B51,'数据-取费表'!B50)</f>
        <v>1.2E-2</v>
      </c>
    </row>
    <row r="20" spans="1:33" s="2064" customFormat="1" ht="18" customHeight="1">
      <c r="A20" s="1648" t="s">
        <v>1851</v>
      </c>
      <c r="B20" s="784" t="s">
        <v>631</v>
      </c>
      <c r="C20" s="53">
        <f ca="1">ROUND(C19*F20,0)</f>
        <v>277</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1970.6899999999998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383</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671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-1992</v>
      </c>
      <c r="K25" s="2548" t="s">
        <v>665</v>
      </c>
      <c r="L25" s="2549"/>
      <c r="M25" s="2550"/>
    </row>
    <row r="26" spans="1:33" ht="18" customHeight="1">
      <c r="A26" s="1647" t="s">
        <v>1793</v>
      </c>
      <c r="B26" s="784" t="s">
        <v>2399</v>
      </c>
      <c r="C26" s="53">
        <f ca="1">ROUND((C19+C20)*F26,0)</f>
        <v>2827</v>
      </c>
      <c r="D26" s="812" t="s">
        <v>666</v>
      </c>
      <c r="E26" s="795" t="s">
        <v>667</v>
      </c>
      <c r="F26" s="794">
        <f ca="1">INDIRECT("'数据-取费表'!q"&amp;$G$1)</f>
        <v>0.2</v>
      </c>
      <c r="G26" s="1591"/>
      <c r="H26" s="2502" t="s">
        <v>1742</v>
      </c>
      <c r="I26" s="2232" t="s">
        <v>2786</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19129</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423</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2.4</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2.4</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1970.6899999999998</v>
      </c>
      <c r="G35" s="2062"/>
      <c r="H35" s="2065"/>
      <c r="I35" s="837" t="s">
        <v>1776</v>
      </c>
      <c r="J35" s="838">
        <f ca="1">ROUND(C13*J36,0)</f>
        <v>1626</v>
      </c>
      <c r="K35" s="2078"/>
      <c r="L35" s="2077"/>
      <c r="M35" s="2077"/>
    </row>
    <row r="36" spans="1:18" ht="18" customHeight="1">
      <c r="A36" s="1648" t="s">
        <v>1851</v>
      </c>
      <c r="B36" s="784" t="s">
        <v>641</v>
      </c>
      <c r="C36" s="53">
        <f ca="1">ROUND(C29*F36,1)</f>
        <v>382.6</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38.299999999999997</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5" customHeight="1" thickTop="1">
      <c r="A39" s="1829" t="s">
        <v>1738</v>
      </c>
      <c r="B39" s="3010" t="s">
        <v>2781</v>
      </c>
      <c r="C39" s="792">
        <f ca="1">C5-C30</f>
        <v>-423</v>
      </c>
      <c r="D39" s="2548" t="s">
        <v>665</v>
      </c>
      <c r="E39" s="2549"/>
      <c r="F39" s="2550"/>
      <c r="G39" s="2062"/>
      <c r="H39" s="2077"/>
      <c r="I39" s="837" t="s">
        <v>1780</v>
      </c>
      <c r="J39" s="845">
        <f ca="1">ROUND(J35/C39,3)</f>
        <v>-3.8439999999999999</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4.8439999999999994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19129</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-37445</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19129</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19129</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423</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2.4</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2.4</v>
      </c>
      <c r="D61" s="814" t="s">
        <v>634</v>
      </c>
      <c r="E61" s="784" t="s">
        <v>635</v>
      </c>
      <c r="F61" s="640">
        <f t="shared" si="0"/>
        <v>12</v>
      </c>
      <c r="K61" s="2086"/>
      <c r="O61" s="2401" t="s">
        <v>2347</v>
      </c>
      <c r="P61" s="2399" t="s">
        <v>2355</v>
      </c>
      <c r="Q61" s="2400" t="e">
        <f ca="1">L58</f>
        <v>#DIV/0!</v>
      </c>
      <c r="R61" s="2403" t="s">
        <v>2356</v>
      </c>
    </row>
    <row r="62" spans="1:18" s="2059" customFormat="1" ht="16" thickBot="1">
      <c r="A62" s="815"/>
      <c r="B62" s="793"/>
      <c r="C62" s="69"/>
      <c r="D62" s="816"/>
      <c r="E62" s="784" t="s">
        <v>639</v>
      </c>
      <c r="F62" s="785">
        <f t="shared" ca="1" si="0"/>
        <v>1970.6899999999998</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6" thickBot="1">
      <c r="A63" s="1648" t="s">
        <v>1851</v>
      </c>
      <c r="B63" s="784" t="s">
        <v>641</v>
      </c>
      <c r="C63" s="53">
        <f ca="1">ROUND(C56*F63,1)</f>
        <v>382.6</v>
      </c>
      <c r="D63" s="3179" t="s">
        <v>656</v>
      </c>
      <c r="E63" s="784" t="s">
        <v>1709</v>
      </c>
      <c r="F63" s="817">
        <f t="shared" ca="1" si="0"/>
        <v>0.02</v>
      </c>
      <c r="I63" s="3171" t="s">
        <v>2331</v>
      </c>
      <c r="J63" s="3172">
        <v>70</v>
      </c>
      <c r="K63" s="3172">
        <v>50</v>
      </c>
      <c r="L63" s="3172">
        <v>80</v>
      </c>
      <c r="M63" s="3174">
        <v>0.02</v>
      </c>
      <c r="O63" s="2398" t="s">
        <v>2352</v>
      </c>
      <c r="P63" s="2399" t="s">
        <v>2369</v>
      </c>
      <c r="Q63" s="2400">
        <f ca="1">Q57+Q58</f>
        <v>0</v>
      </c>
      <c r="R63" s="2403" t="s">
        <v>2353</v>
      </c>
    </row>
    <row r="64" spans="1:18" s="2059" customFormat="1" ht="16" thickBot="1">
      <c r="A64" s="1648" t="s">
        <v>1852</v>
      </c>
      <c r="B64" s="784" t="s">
        <v>644</v>
      </c>
      <c r="C64" s="53">
        <f ca="1">ROUND(C55*F64,1)</f>
        <v>38.299999999999997</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6" thickBot="1">
      <c r="A65" s="1648" t="s">
        <v>1853</v>
      </c>
      <c r="B65" s="784" t="s">
        <v>631</v>
      </c>
      <c r="C65" s="53">
        <f ca="1">ROUND(C47*F65,1)</f>
        <v>0</v>
      </c>
      <c r="D65" s="3179" t="s">
        <v>648</v>
      </c>
      <c r="E65" s="784" t="s">
        <v>1709</v>
      </c>
      <c r="F65" s="794">
        <f t="shared" ca="1" si="0"/>
        <v>0.02</v>
      </c>
      <c r="I65" s="3171" t="s">
        <v>2333</v>
      </c>
      <c r="J65" s="3172">
        <v>40</v>
      </c>
      <c r="K65" s="3172">
        <v>30</v>
      </c>
      <c r="L65" s="3172">
        <v>50</v>
      </c>
      <c r="M65" s="3174">
        <v>0.02</v>
      </c>
      <c r="O65" s="2395" t="s">
        <v>2336</v>
      </c>
      <c r="P65" s="2396" t="s">
        <v>2337</v>
      </c>
      <c r="Q65" s="2397" t="s">
        <v>2338</v>
      </c>
      <c r="R65" s="2396" t="s">
        <v>2339</v>
      </c>
    </row>
    <row r="66" spans="1:18" s="2059" customFormat="1" ht="26.5" thickBot="1">
      <c r="A66" s="797" t="s">
        <v>1738</v>
      </c>
      <c r="B66" s="3011" t="s">
        <v>2781</v>
      </c>
      <c r="C66" s="799">
        <f ca="1">C47-C57</f>
        <v>-423</v>
      </c>
      <c r="D66" s="3178" t="s">
        <v>665</v>
      </c>
      <c r="E66" s="3176"/>
      <c r="F66" s="820"/>
      <c r="K66" s="2086"/>
      <c r="O66" s="2398" t="s">
        <v>2340</v>
      </c>
      <c r="P66" s="2399" t="s">
        <v>2366</v>
      </c>
      <c r="Q66" s="2400">
        <f ca="1">C40+J29</f>
        <v>0</v>
      </c>
      <c r="R66" s="2399" t="s">
        <v>2341</v>
      </c>
    </row>
    <row r="67" spans="1:18" s="2059" customFormat="1" ht="17"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 thickBot="1">
      <c r="A68" s="786"/>
      <c r="B68" s="787"/>
      <c r="C68" s="788"/>
      <c r="D68" s="821" t="s">
        <v>1770</v>
      </c>
      <c r="E68" s="784" t="s">
        <v>673</v>
      </c>
      <c r="F68" s="822">
        <f ca="1">F41</f>
        <v>0</v>
      </c>
      <c r="O68" s="2401" t="s">
        <v>2344</v>
      </c>
      <c r="P68" s="2399" t="s">
        <v>2374</v>
      </c>
      <c r="Q68" s="2405">
        <f ca="1">L51</f>
        <v>-37445</v>
      </c>
      <c r="R68" s="2406" t="s">
        <v>2377</v>
      </c>
    </row>
    <row r="69" spans="1:18" ht="17" thickBot="1">
      <c r="A69" s="790"/>
      <c r="B69" s="791"/>
      <c r="C69" s="792"/>
      <c r="D69" s="816"/>
      <c r="E69" s="784" t="s">
        <v>675</v>
      </c>
      <c r="F69" s="2371"/>
      <c r="O69" s="2401" t="s">
        <v>2345</v>
      </c>
      <c r="P69" s="2407" t="s">
        <v>2359</v>
      </c>
      <c r="Q69" s="2400">
        <f ca="1">ROUND(Q70-Q71*Q72,0)</f>
        <v>-2049</v>
      </c>
      <c r="R69" s="2403"/>
    </row>
    <row r="70" spans="1:18" ht="16" thickBot="1">
      <c r="A70" s="823" t="s">
        <v>1749</v>
      </c>
      <c r="B70" s="824" t="s">
        <v>1772</v>
      </c>
      <c r="C70" s="825">
        <f ca="1">ROUND(C67*10000/F70,0)</f>
        <v>0</v>
      </c>
      <c r="D70" s="826" t="s">
        <v>1773</v>
      </c>
      <c r="E70" s="827" t="s">
        <v>1774</v>
      </c>
      <c r="F70" s="828">
        <f ca="1">F43</f>
        <v>21600</v>
      </c>
      <c r="O70" s="2401" t="s">
        <v>2360</v>
      </c>
      <c r="P70" s="2407" t="s">
        <v>2361</v>
      </c>
      <c r="Q70" s="2400">
        <f ca="1">C39</f>
        <v>-423</v>
      </c>
      <c r="R70" s="2399" t="s">
        <v>2341</v>
      </c>
    </row>
    <row r="71" spans="1:18" ht="16" thickBot="1">
      <c r="O71" s="2401" t="s">
        <v>2362</v>
      </c>
      <c r="P71" s="2407" t="s">
        <v>2363</v>
      </c>
      <c r="Q71" s="2400">
        <f ca="1">C13</f>
        <v>19129</v>
      </c>
      <c r="R71" s="2399" t="s">
        <v>2341</v>
      </c>
    </row>
    <row r="72" spans="1:18" ht="16" thickBot="1">
      <c r="O72" s="2401" t="s">
        <v>2364</v>
      </c>
      <c r="P72" s="2407" t="s">
        <v>2365</v>
      </c>
      <c r="Q72" s="2402">
        <f ca="1">J36</f>
        <v>8.5000000000000006E-2</v>
      </c>
      <c r="R72" s="2403"/>
    </row>
    <row r="73" spans="1:18" ht="16" thickBot="1">
      <c r="O73" s="2401" t="s">
        <v>2347</v>
      </c>
      <c r="P73" s="2399" t="s">
        <v>2354</v>
      </c>
      <c r="Q73" s="2402">
        <f>L52</f>
        <v>0</v>
      </c>
      <c r="R73" s="2403"/>
    </row>
    <row r="74" spans="1:18" ht="17" thickBot="1">
      <c r="O74" s="2401" t="s">
        <v>2349</v>
      </c>
      <c r="P74" s="2399" t="s">
        <v>2355</v>
      </c>
      <c r="Q74" s="2400" t="e">
        <f ca="1">L58</f>
        <v>#DIV/0!</v>
      </c>
      <c r="R74" s="2403" t="s">
        <v>2356</v>
      </c>
    </row>
    <row r="75" spans="1:18" ht="16" thickBot="1">
      <c r="O75" s="2401" t="s">
        <v>2378</v>
      </c>
      <c r="P75" s="2399" t="str">
        <f>K59</f>
        <v>建设期及建筑物耐用年限下的土地年期修正系数Kn</v>
      </c>
      <c r="Q75" s="2400" t="e">
        <f ca="1">L59</f>
        <v>#DIV/0!</v>
      </c>
      <c r="R75" s="2403" t="s">
        <v>2358</v>
      </c>
    </row>
    <row r="76" spans="1:18" ht="16"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70" zoomScaleNormal="70" workbookViewId="0">
      <selection activeCell="C36" sqref="C36:C40"/>
    </sheetView>
  </sheetViews>
  <sheetFormatPr defaultColWidth="9" defaultRowHeight="15.5"/>
  <cols>
    <col min="1" max="1" width="9" style="2060"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6.4531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5.90625" style="2059" customWidth="1"/>
    <col min="16" max="16" width="27.6328125" style="2059" customWidth="1"/>
    <col min="17" max="17" width="13.81640625" style="2097" customWidth="1"/>
    <col min="18" max="18" width="23.453125" style="2059" customWidth="1"/>
    <col min="19" max="19" width="1.453125" style="2059" customWidth="1"/>
    <col min="20" max="33" width="9" style="2059"/>
    <col min="34" max="16384" width="9" style="2060"/>
  </cols>
  <sheetData>
    <row r="1" spans="1:33" s="2054" customFormat="1" ht="21">
      <c r="A1" s="832" t="s">
        <v>1687</v>
      </c>
      <c r="B1" s="738"/>
      <c r="C1" s="773" t="s">
        <v>2967</v>
      </c>
      <c r="D1" s="3123" t="s">
        <v>3104</v>
      </c>
      <c r="E1" s="2387" t="s">
        <v>835</v>
      </c>
      <c r="F1" s="2388">
        <f ca="1">J53</f>
        <v>37.26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76756</v>
      </c>
      <c r="C2" s="2057"/>
      <c r="D2" s="2055"/>
      <c r="E2" s="2056"/>
      <c r="F2" s="2056"/>
      <c r="G2" s="1589"/>
      <c r="H2" s="2057"/>
      <c r="I2" s="2057"/>
      <c r="J2" s="2057"/>
      <c r="K2" s="2058"/>
      <c r="L2" s="2057"/>
      <c r="M2" s="2057"/>
    </row>
    <row r="3" spans="1:33" ht="18" customHeight="1" thickBot="1">
      <c r="A3" s="833" t="s">
        <v>484</v>
      </c>
      <c r="B3" s="834">
        <f ca="1">IF(ISERROR(B2*10000/F43),0,ROUND(B2*10000/F43,0))</f>
        <v>87223</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5210</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5203</v>
      </c>
      <c r="D6" s="2497" t="s">
        <v>2421</v>
      </c>
      <c r="E6" s="784" t="s">
        <v>602</v>
      </c>
      <c r="F6" s="785">
        <f ca="1">INDIRECT("'数据-取费表'!u"&amp;$G$1)</f>
        <v>18</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8800</v>
      </c>
      <c r="G7" s="1591"/>
      <c r="H7" s="2489"/>
      <c r="I7" s="3464"/>
      <c r="J7" s="788"/>
      <c r="K7" s="789"/>
      <c r="L7" s="784" t="s">
        <v>603</v>
      </c>
      <c r="M7" s="785">
        <f ca="1">F7</f>
        <v>8800</v>
      </c>
    </row>
    <row r="8" spans="1:33" ht="18" customHeight="1">
      <c r="A8" s="2493"/>
      <c r="B8" s="3465"/>
      <c r="C8" s="788"/>
      <c r="D8" s="789"/>
      <c r="E8" s="784" t="s">
        <v>604</v>
      </c>
      <c r="F8" s="785">
        <f ca="1">INDIRECT("'数据-取费表'!ai"&amp;$G$1)</f>
        <v>365</v>
      </c>
      <c r="G8" s="1591"/>
      <c r="H8" s="2489"/>
      <c r="I8" s="3465"/>
      <c r="J8" s="788"/>
      <c r="K8" s="789"/>
      <c r="L8" s="784" t="s">
        <v>604</v>
      </c>
      <c r="M8" s="785">
        <f ca="1">INDIRECT("'数据-取费表'!ai"&amp;$G$1)</f>
        <v>365</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7</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5335</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3449</v>
      </c>
      <c r="D14" s="3178" t="s">
        <v>611</v>
      </c>
      <c r="E14" s="3177"/>
      <c r="F14" s="805"/>
      <c r="G14" s="1591"/>
      <c r="H14" s="1648" t="s">
        <v>1786</v>
      </c>
      <c r="I14" s="2231" t="s">
        <v>2784</v>
      </c>
      <c r="J14" s="53">
        <f ca="1">C29</f>
        <v>5335</v>
      </c>
      <c r="K14" s="26"/>
      <c r="L14" s="801"/>
      <c r="M14" s="802"/>
    </row>
    <row r="15" spans="1:33" s="2064" customFormat="1" ht="18" customHeight="1" thickBot="1">
      <c r="A15" s="1647" t="s">
        <v>1794</v>
      </c>
      <c r="B15" s="784" t="s">
        <v>612</v>
      </c>
      <c r="C15" s="53">
        <f ca="1">ROUND(C14*F15,0)</f>
        <v>172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556</v>
      </c>
      <c r="K16" s="1821" t="s">
        <v>617</v>
      </c>
      <c r="L16" s="3180"/>
      <c r="M16" s="2491"/>
    </row>
    <row r="17" spans="1:33" s="2064" customFormat="1" ht="18" customHeight="1">
      <c r="A17" s="1647" t="s">
        <v>1849</v>
      </c>
      <c r="B17" s="784" t="s">
        <v>618</v>
      </c>
      <c r="C17" s="53">
        <f ca="1">ROUND(F17*(F43+INDIRECT("'数据-取费表'!S"&amp;$G$1))/10000,0)</f>
        <v>192</v>
      </c>
      <c r="D17" s="784" t="s">
        <v>1713</v>
      </c>
      <c r="E17" s="784" t="s">
        <v>1714</v>
      </c>
      <c r="F17" s="56">
        <f>'数据-取费表'!B35</f>
        <v>200</v>
      </c>
      <c r="G17" s="1592"/>
      <c r="H17" s="1648" t="s">
        <v>1786</v>
      </c>
      <c r="I17" s="784" t="s">
        <v>621</v>
      </c>
      <c r="J17" s="53">
        <f ca="1">ROUND(IF(项目基本情况!B11="自然人",J5*M17,J18+J19+J20),0)</f>
        <v>449</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52</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3865</v>
      </c>
      <c r="D19" s="261" t="s">
        <v>1719</v>
      </c>
      <c r="E19" s="3181"/>
      <c r="F19" s="56"/>
      <c r="G19" s="1591"/>
      <c r="H19" s="1647" t="s">
        <v>1794</v>
      </c>
      <c r="I19" s="784" t="s">
        <v>629</v>
      </c>
      <c r="J19" s="53">
        <f ca="1">IF(K19="按租金收入计税",ROUND(J5*M19,1),ROUND(C29*F33*0.7,1))</f>
        <v>448.1</v>
      </c>
      <c r="K19" s="811" t="s">
        <v>630</v>
      </c>
      <c r="L19" s="784" t="s">
        <v>1709</v>
      </c>
      <c r="M19" s="809">
        <f>IF(K19="按租金收入计税",'数据-取费表'!B51,'数据-取费表'!B50)</f>
        <v>1.2E-2</v>
      </c>
    </row>
    <row r="20" spans="1:33" s="2064" customFormat="1" ht="18" customHeight="1">
      <c r="A20" s="1648" t="s">
        <v>1851</v>
      </c>
      <c r="B20" s="784" t="s">
        <v>631</v>
      </c>
      <c r="C20" s="53">
        <f ca="1">ROUND(C19*F20,0)</f>
        <v>77</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802.87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107</v>
      </c>
      <c r="K22" s="3179"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187</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0.03</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-556</v>
      </c>
      <c r="K25" s="2548" t="s">
        <v>665</v>
      </c>
      <c r="L25" s="2549"/>
      <c r="M25" s="2550"/>
    </row>
    <row r="26" spans="1:33" ht="18" customHeight="1">
      <c r="A26" s="1647" t="s">
        <v>1793</v>
      </c>
      <c r="B26" s="784" t="s">
        <v>2399</v>
      </c>
      <c r="C26" s="53">
        <f ca="1">ROUND((C19+C20)*F26,0)</f>
        <v>788</v>
      </c>
      <c r="D26" s="812" t="s">
        <v>666</v>
      </c>
      <c r="E26" s="795" t="s">
        <v>667</v>
      </c>
      <c r="F26" s="794">
        <f ca="1">INDIRECT("'数据-取费表'!q"&amp;$G$1)</f>
        <v>0.2</v>
      </c>
      <c r="G26" s="1591"/>
      <c r="H26" s="2502" t="s">
        <v>1742</v>
      </c>
      <c r="I26" s="2232" t="s">
        <v>2786</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5335</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1178</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904.1</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802.87</v>
      </c>
      <c r="G35" s="2062"/>
      <c r="H35" s="2065"/>
      <c r="I35" s="837" t="s">
        <v>1776</v>
      </c>
      <c r="J35" s="838">
        <f ca="1">ROUND(C13*J36,0)</f>
        <v>453</v>
      </c>
      <c r="K35" s="2078"/>
      <c r="L35" s="2077"/>
      <c r="M35" s="2077"/>
    </row>
    <row r="36" spans="1:18" ht="18" customHeight="1">
      <c r="A36" s="1648" t="s">
        <v>1851</v>
      </c>
      <c r="B36" s="784" t="s">
        <v>641</v>
      </c>
      <c r="C36" s="53">
        <f ca="1">ROUND(C29*F36,1)</f>
        <v>106.7</v>
      </c>
      <c r="D36" s="3179"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10.7</v>
      </c>
      <c r="D37" s="3179"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156.30000000000001</v>
      </c>
      <c r="D38" s="2545" t="s">
        <v>648</v>
      </c>
      <c r="E38" s="2546" t="s">
        <v>1709</v>
      </c>
      <c r="F38" s="2542">
        <f ca="1">INDIRECT("'数据-取费表'!Am"&amp;$G$1)</f>
        <v>0.03</v>
      </c>
      <c r="G38" s="2062"/>
      <c r="H38" s="2077"/>
      <c r="I38" s="843" t="s">
        <v>1779</v>
      </c>
      <c r="J38" s="844"/>
      <c r="K38" s="2083"/>
      <c r="L38" s="2077"/>
      <c r="M38" s="2077"/>
    </row>
    <row r="39" spans="1:18" ht="24.65" customHeight="1" thickTop="1">
      <c r="A39" s="1829" t="s">
        <v>1738</v>
      </c>
      <c r="B39" s="3010" t="s">
        <v>2781</v>
      </c>
      <c r="C39" s="792">
        <f ca="1">C5-C30</f>
        <v>4032</v>
      </c>
      <c r="D39" s="2548" t="s">
        <v>665</v>
      </c>
      <c r="E39" s="2549"/>
      <c r="F39" s="2550"/>
      <c r="G39" s="2062"/>
      <c r="H39" s="2077"/>
      <c r="I39" s="837" t="s">
        <v>1780</v>
      </c>
      <c r="J39" s="845">
        <f ca="1">ROUND(J35/C39,3)</f>
        <v>0.112</v>
      </c>
      <c r="K39" s="2083"/>
      <c r="L39" s="2077"/>
      <c r="M39" s="2077"/>
    </row>
    <row r="40" spans="1:18" ht="18" customHeight="1">
      <c r="A40" s="781" t="s">
        <v>1742</v>
      </c>
      <c r="B40" s="2232" t="s">
        <v>2263</v>
      </c>
      <c r="C40" s="783">
        <f ca="1">ROUND(C39*(1-((1+F42)/(1+F40))^F41)/(F40-F42),0)</f>
        <v>76756</v>
      </c>
      <c r="D40" s="814" t="s">
        <v>669</v>
      </c>
      <c r="E40" s="784" t="s">
        <v>2380</v>
      </c>
      <c r="F40" s="794">
        <f ca="1">INDIRECT("'数据-取费表'!I"&amp;$G$1)</f>
        <v>0.06</v>
      </c>
      <c r="G40" s="2062"/>
      <c r="H40" s="2062"/>
      <c r="I40" s="837" t="s">
        <v>1781</v>
      </c>
      <c r="J40" s="845">
        <f ca="1">1-J39</f>
        <v>0.88800000000000001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7.0000000000000007E-2</v>
      </c>
      <c r="K42" s="2082"/>
      <c r="L42" s="1988"/>
      <c r="M42" s="1988"/>
    </row>
    <row r="43" spans="1:18" ht="18" customHeight="1" thickBot="1">
      <c r="A43" s="823" t="s">
        <v>1749</v>
      </c>
      <c r="B43" s="824" t="s">
        <v>1772</v>
      </c>
      <c r="C43" s="825">
        <f ca="1">ROUND(C40*10000/F43,0)</f>
        <v>87223</v>
      </c>
      <c r="D43" s="826" t="s">
        <v>1773</v>
      </c>
      <c r="E43" s="827" t="s">
        <v>1774</v>
      </c>
      <c r="F43" s="828">
        <f ca="1">INDIRECT("'数据-取费表'!k"&amp;$G$1)</f>
        <v>8800</v>
      </c>
      <c r="G43" s="2062"/>
      <c r="H43" s="1988"/>
      <c r="I43" s="847" t="s">
        <v>1784</v>
      </c>
      <c r="J43" s="848">
        <f ca="1">1-J42</f>
        <v>0.92999999999999994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-78498</v>
      </c>
      <c r="D46" s="2085"/>
      <c r="E46" s="2085"/>
      <c r="F46" s="2085"/>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76756</v>
      </c>
      <c r="R48" s="2399" t="s">
        <v>2341</v>
      </c>
    </row>
    <row r="49" spans="1:18" s="2059" customFormat="1" ht="18" customHeight="1" thickBot="1">
      <c r="A49" s="786"/>
      <c r="B49" s="787"/>
      <c r="C49" s="788"/>
      <c r="D49" s="789"/>
      <c r="E49" s="784" t="s">
        <v>603</v>
      </c>
      <c r="F49" s="785">
        <f ca="1">F7</f>
        <v>8800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4" t="s">
        <v>2308</v>
      </c>
      <c r="J50" s="3152">
        <f>SUMPRODUCT((I63:I65=J47)*(J62:L62=J48)*(J63:L65))</f>
        <v>60</v>
      </c>
      <c r="K50" s="3157" t="s">
        <v>2314</v>
      </c>
      <c r="L50" s="2384"/>
      <c r="O50" s="2401" t="s">
        <v>2344</v>
      </c>
      <c r="P50" s="2399" t="s">
        <v>2368</v>
      </c>
      <c r="Q50" s="2400">
        <f ca="1">C29</f>
        <v>5335</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65398</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76756</v>
      </c>
      <c r="R54" s="2403" t="s">
        <v>2353</v>
      </c>
    </row>
    <row r="55" spans="1:18" s="2059" customFormat="1" ht="18" customHeight="1" thickTop="1" thickBot="1">
      <c r="A55" s="797">
        <v>2</v>
      </c>
      <c r="B55" s="798" t="s">
        <v>609</v>
      </c>
      <c r="C55" s="799">
        <f ca="1">C13</f>
        <v>5335</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5335</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118</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76756</v>
      </c>
      <c r="R57" s="2399" t="s">
        <v>2341</v>
      </c>
    </row>
    <row r="58" spans="1:18" s="2059" customFormat="1" ht="28.5" customHeight="1" thickBot="1">
      <c r="A58" s="1648" t="s">
        <v>1786</v>
      </c>
      <c r="B58" s="784" t="s">
        <v>621</v>
      </c>
      <c r="C58" s="53">
        <f ca="1">ROUND(IF(项目基本情况!B11="自然人",C47*F58,C59+C60+C61),1)</f>
        <v>1</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v>
      </c>
      <c r="D61" s="814" t="s">
        <v>634</v>
      </c>
      <c r="E61" s="784" t="s">
        <v>635</v>
      </c>
      <c r="F61" s="640">
        <f t="shared" si="0"/>
        <v>12</v>
      </c>
      <c r="K61" s="2086"/>
      <c r="O61" s="2401" t="s">
        <v>2347</v>
      </c>
      <c r="P61" s="2399" t="s">
        <v>2355</v>
      </c>
      <c r="Q61" s="2400" t="e">
        <f ca="1">L58</f>
        <v>#DIV/0!</v>
      </c>
      <c r="R61" s="2403" t="s">
        <v>2356</v>
      </c>
    </row>
    <row r="62" spans="1:18" s="2059" customFormat="1" ht="16" thickBot="1">
      <c r="A62" s="815"/>
      <c r="B62" s="793"/>
      <c r="C62" s="69"/>
      <c r="D62" s="816"/>
      <c r="E62" s="784" t="s">
        <v>639</v>
      </c>
      <c r="F62" s="785">
        <f t="shared" ca="1" si="0"/>
        <v>802.87</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6" thickBot="1">
      <c r="A63" s="1648" t="s">
        <v>1851</v>
      </c>
      <c r="B63" s="784" t="s">
        <v>641</v>
      </c>
      <c r="C63" s="53">
        <f ca="1">ROUND(C56*F63,1)</f>
        <v>106.7</v>
      </c>
      <c r="D63" s="3179" t="s">
        <v>656</v>
      </c>
      <c r="E63" s="784" t="s">
        <v>1709</v>
      </c>
      <c r="F63" s="817">
        <f t="shared" ca="1" si="0"/>
        <v>0.02</v>
      </c>
      <c r="I63" s="3171" t="s">
        <v>2331</v>
      </c>
      <c r="J63" s="3172">
        <v>70</v>
      </c>
      <c r="K63" s="3172">
        <v>50</v>
      </c>
      <c r="L63" s="3172">
        <v>80</v>
      </c>
      <c r="M63" s="3174">
        <v>0.02</v>
      </c>
      <c r="O63" s="2398" t="s">
        <v>2352</v>
      </c>
      <c r="P63" s="2399" t="s">
        <v>2369</v>
      </c>
      <c r="Q63" s="2400">
        <f ca="1">Q57+Q58</f>
        <v>76756</v>
      </c>
      <c r="R63" s="2403" t="s">
        <v>2353</v>
      </c>
    </row>
    <row r="64" spans="1:18" s="2059" customFormat="1" ht="16" thickBot="1">
      <c r="A64" s="1648" t="s">
        <v>1852</v>
      </c>
      <c r="B64" s="784" t="s">
        <v>644</v>
      </c>
      <c r="C64" s="53">
        <f ca="1">ROUND(C55*F64,1)</f>
        <v>10.7</v>
      </c>
      <c r="D64" s="3179" t="s">
        <v>645</v>
      </c>
      <c r="E64" s="784" t="s">
        <v>1709</v>
      </c>
      <c r="F64" s="818">
        <f t="shared" ca="1" si="0"/>
        <v>2E-3</v>
      </c>
      <c r="I64" s="3171" t="s">
        <v>2332</v>
      </c>
      <c r="J64" s="3172">
        <v>50</v>
      </c>
      <c r="K64" s="3172">
        <v>35</v>
      </c>
      <c r="L64" s="3172">
        <v>60</v>
      </c>
      <c r="M64" s="846">
        <v>0</v>
      </c>
      <c r="O64" s="2404" t="s">
        <v>2376</v>
      </c>
      <c r="P64" s="1591"/>
      <c r="Q64" s="1603"/>
      <c r="R64" s="1591"/>
    </row>
    <row r="65" spans="1:18" s="2059" customFormat="1" ht="16" thickBot="1">
      <c r="A65" s="1648" t="s">
        <v>1853</v>
      </c>
      <c r="B65" s="784" t="s">
        <v>631</v>
      </c>
      <c r="C65" s="53">
        <f ca="1">ROUND(C47*F65,1)</f>
        <v>0</v>
      </c>
      <c r="D65" s="3179" t="s">
        <v>648</v>
      </c>
      <c r="E65" s="784" t="s">
        <v>1709</v>
      </c>
      <c r="F65" s="794">
        <f t="shared" ca="1" si="0"/>
        <v>0.03</v>
      </c>
      <c r="I65" s="3171" t="s">
        <v>2333</v>
      </c>
      <c r="J65" s="3172">
        <v>40</v>
      </c>
      <c r="K65" s="3172">
        <v>30</v>
      </c>
      <c r="L65" s="3172">
        <v>50</v>
      </c>
      <c r="M65" s="3174">
        <v>0.02</v>
      </c>
      <c r="O65" s="2395" t="s">
        <v>2336</v>
      </c>
      <c r="P65" s="2396" t="s">
        <v>2337</v>
      </c>
      <c r="Q65" s="2397" t="s">
        <v>2338</v>
      </c>
      <c r="R65" s="2396" t="s">
        <v>2339</v>
      </c>
    </row>
    <row r="66" spans="1:18" s="2059" customFormat="1" ht="26.5" thickBot="1">
      <c r="A66" s="797" t="s">
        <v>1738</v>
      </c>
      <c r="B66" s="3011" t="s">
        <v>2781</v>
      </c>
      <c r="C66" s="799">
        <f ca="1">C47-C57</f>
        <v>-118</v>
      </c>
      <c r="D66" s="3178" t="s">
        <v>665</v>
      </c>
      <c r="E66" s="3176"/>
      <c r="F66" s="820"/>
      <c r="K66" s="2086"/>
      <c r="O66" s="2398" t="s">
        <v>2340</v>
      </c>
      <c r="P66" s="2399" t="s">
        <v>2366</v>
      </c>
      <c r="Q66" s="2400">
        <f ca="1">C40+J29</f>
        <v>76756</v>
      </c>
      <c r="R66" s="2399" t="s">
        <v>2341</v>
      </c>
    </row>
    <row r="67" spans="1:18" s="2059" customFormat="1" ht="17" thickBot="1">
      <c r="A67" s="781" t="s">
        <v>1742</v>
      </c>
      <c r="B67" s="2232" t="s">
        <v>2263</v>
      </c>
      <c r="C67" s="783">
        <f ca="1">ROUND(C66*(1-((1+F69)/(1+F67))^F68)/(F67-F69),0)</f>
        <v>-1742</v>
      </c>
      <c r="D67" s="814" t="s">
        <v>669</v>
      </c>
      <c r="E67" s="784" t="s">
        <v>670</v>
      </c>
      <c r="F67" s="794">
        <f ca="1">F40</f>
        <v>0.06</v>
      </c>
      <c r="K67" s="2086"/>
      <c r="O67" s="2398" t="s">
        <v>2342</v>
      </c>
      <c r="P67" s="2399" t="s">
        <v>2373</v>
      </c>
      <c r="Q67" s="2400">
        <f ca="1">L60</f>
        <v>0</v>
      </c>
      <c r="R67" s="2403" t="s">
        <v>2375</v>
      </c>
    </row>
    <row r="68" spans="1:18" ht="21" thickBot="1">
      <c r="A68" s="786"/>
      <c r="B68" s="787"/>
      <c r="C68" s="788"/>
      <c r="D68" s="821" t="s">
        <v>1770</v>
      </c>
      <c r="E68" s="784" t="s">
        <v>673</v>
      </c>
      <c r="F68" s="822">
        <f ca="1">F41</f>
        <v>37.26</v>
      </c>
      <c r="O68" s="2401" t="s">
        <v>2344</v>
      </c>
      <c r="P68" s="2399" t="s">
        <v>2374</v>
      </c>
      <c r="Q68" s="2405">
        <f ca="1">L51</f>
        <v>65398</v>
      </c>
      <c r="R68" s="2406" t="s">
        <v>2377</v>
      </c>
    </row>
    <row r="69" spans="1:18" ht="17" thickBot="1">
      <c r="A69" s="790"/>
      <c r="B69" s="791"/>
      <c r="C69" s="792"/>
      <c r="D69" s="816"/>
      <c r="E69" s="784" t="s">
        <v>675</v>
      </c>
      <c r="F69" s="2371"/>
      <c r="O69" s="2401" t="s">
        <v>2345</v>
      </c>
      <c r="P69" s="2407" t="s">
        <v>2359</v>
      </c>
      <c r="Q69" s="2400">
        <f ca="1">ROUND(Q70-Q71*Q72,0)</f>
        <v>3579</v>
      </c>
      <c r="R69" s="2403"/>
    </row>
    <row r="70" spans="1:18" ht="16" thickBot="1">
      <c r="A70" s="823" t="s">
        <v>1749</v>
      </c>
      <c r="B70" s="824" t="s">
        <v>1772</v>
      </c>
      <c r="C70" s="825">
        <f ca="1">ROUND(C67*10000/F70,0)</f>
        <v>-1980</v>
      </c>
      <c r="D70" s="826" t="s">
        <v>1773</v>
      </c>
      <c r="E70" s="827" t="s">
        <v>1774</v>
      </c>
      <c r="F70" s="828">
        <f ca="1">F43</f>
        <v>8800</v>
      </c>
      <c r="O70" s="2401" t="s">
        <v>2360</v>
      </c>
      <c r="P70" s="2407" t="s">
        <v>2361</v>
      </c>
      <c r="Q70" s="2400">
        <f ca="1">C39</f>
        <v>4032</v>
      </c>
      <c r="R70" s="2399" t="s">
        <v>2341</v>
      </c>
    </row>
    <row r="71" spans="1:18" ht="16" thickBot="1">
      <c r="O71" s="2401" t="s">
        <v>2362</v>
      </c>
      <c r="P71" s="2407" t="s">
        <v>2363</v>
      </c>
      <c r="Q71" s="2400">
        <f ca="1">C13</f>
        <v>5335</v>
      </c>
      <c r="R71" s="2399" t="s">
        <v>2341</v>
      </c>
    </row>
    <row r="72" spans="1:18" ht="16" thickBot="1">
      <c r="O72" s="2401" t="s">
        <v>2364</v>
      </c>
      <c r="P72" s="2407" t="s">
        <v>2365</v>
      </c>
      <c r="Q72" s="2402">
        <f ca="1">J36</f>
        <v>8.5000000000000006E-2</v>
      </c>
      <c r="R72" s="2403"/>
    </row>
    <row r="73" spans="1:18" ht="16" thickBot="1">
      <c r="O73" s="2401" t="s">
        <v>2347</v>
      </c>
      <c r="P73" s="2399" t="s">
        <v>2354</v>
      </c>
      <c r="Q73" s="2402">
        <f>L52</f>
        <v>0</v>
      </c>
      <c r="R73" s="2403"/>
    </row>
    <row r="74" spans="1:18" ht="17" thickBot="1">
      <c r="O74" s="2401" t="s">
        <v>2349</v>
      </c>
      <c r="P74" s="2399" t="s">
        <v>2355</v>
      </c>
      <c r="Q74" s="2400" t="e">
        <f ca="1">L58</f>
        <v>#DIV/0!</v>
      </c>
      <c r="R74" s="2403" t="s">
        <v>2356</v>
      </c>
    </row>
    <row r="75" spans="1:18" ht="16" thickBot="1">
      <c r="O75" s="2401" t="s">
        <v>2378</v>
      </c>
      <c r="P75" s="2399" t="str">
        <f>K59</f>
        <v>建设期及建筑物耐用年限下的土地年期修正系数Kn</v>
      </c>
      <c r="Q75" s="2400" t="e">
        <f ca="1">L59</f>
        <v>#DIV/0!</v>
      </c>
      <c r="R75" s="2403" t="s">
        <v>2358</v>
      </c>
    </row>
    <row r="76" spans="1:18" ht="16" thickBot="1">
      <c r="O76" s="2398" t="s">
        <v>2352</v>
      </c>
      <c r="P76" s="2399" t="s">
        <v>2369</v>
      </c>
      <c r="Q76" s="2400">
        <f ca="1">Q66+Q67</f>
        <v>76756</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70" zoomScaleNormal="70" workbookViewId="0">
      <selection activeCell="C36" sqref="C36:C40"/>
    </sheetView>
  </sheetViews>
  <sheetFormatPr defaultColWidth="9" defaultRowHeight="15.5"/>
  <cols>
    <col min="1" max="1" width="9" style="2060" customWidth="1"/>
    <col min="2" max="2" width="20.6328125" style="2099" customWidth="1"/>
    <col min="3" max="3" width="11.90625" style="2099" customWidth="1"/>
    <col min="4" max="4" width="40.453125" style="2060" customWidth="1"/>
    <col min="5" max="5" width="15.81640625" style="2060" customWidth="1"/>
    <col min="6" max="6" width="10.6328125" style="2060" customWidth="1"/>
    <col min="7" max="7" width="4.90625" style="2060" customWidth="1"/>
    <col min="8" max="8" width="8.453125" style="2060" customWidth="1"/>
    <col min="9" max="9" width="21.1796875" style="2060" customWidth="1"/>
    <col min="10" max="10" width="12.1796875" style="2060" customWidth="1"/>
    <col min="11" max="11" width="40.08984375" style="2100" customWidth="1"/>
    <col min="12" max="12" width="18.36328125" style="2060" customWidth="1"/>
    <col min="13" max="13" width="13" style="2060" customWidth="1"/>
    <col min="14" max="14" width="9.453125" style="2059" bestFit="1" customWidth="1"/>
    <col min="15" max="15" width="5.90625" style="2059" customWidth="1"/>
    <col min="16" max="16" width="27.6328125" style="2059" customWidth="1"/>
    <col min="17" max="17" width="13.81640625" style="2097" customWidth="1"/>
    <col min="18" max="18" width="23.453125" style="2059" customWidth="1"/>
    <col min="19" max="19" width="1.453125" style="2059" customWidth="1"/>
    <col min="20" max="33" width="9" style="2059"/>
    <col min="34" max="16384" width="9" style="2060"/>
  </cols>
  <sheetData>
    <row r="1" spans="1:33" s="2054" customFormat="1" ht="21">
      <c r="A1" s="832" t="s">
        <v>1687</v>
      </c>
      <c r="B1" s="738"/>
      <c r="C1" s="773" t="s">
        <v>2929</v>
      </c>
      <c r="D1" s="3123" t="s">
        <v>3104</v>
      </c>
      <c r="E1" s="2387" t="s">
        <v>835</v>
      </c>
      <c r="F1" s="2388">
        <f ca="1">J53</f>
        <v>37.26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12460</v>
      </c>
      <c r="C2" s="2057"/>
      <c r="D2" s="2055"/>
      <c r="E2" s="2056"/>
      <c r="F2" s="2056"/>
      <c r="G2" s="1589"/>
      <c r="H2" s="2057"/>
      <c r="I2" s="2057"/>
      <c r="J2" s="2057"/>
      <c r="K2" s="2058"/>
      <c r="L2" s="2057"/>
      <c r="M2" s="2057"/>
    </row>
    <row r="3" spans="1:33" ht="18" customHeight="1" thickBot="1">
      <c r="A3" s="833" t="s">
        <v>484</v>
      </c>
      <c r="B3" s="834">
        <f ca="1">IF(ISERROR(B2*10000/F43),0,ROUND(B2*10000/F43,0))</f>
        <v>6292</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2417</v>
      </c>
      <c r="C5" s="55">
        <f ca="1">C6+C10+C12</f>
        <v>811</v>
      </c>
      <c r="D5" s="2496" t="s">
        <v>2420</v>
      </c>
      <c r="E5" s="2490"/>
      <c r="F5" s="2491"/>
      <c r="G5" s="1591"/>
      <c r="H5" s="781">
        <v>1</v>
      </c>
      <c r="I5" s="782" t="s">
        <v>2417</v>
      </c>
      <c r="J5" s="55">
        <f ca="1">J6+J10+J12</f>
        <v>0</v>
      </c>
      <c r="K5" s="2496" t="s">
        <v>2420</v>
      </c>
      <c r="L5" s="2490"/>
      <c r="M5" s="2491"/>
    </row>
    <row r="6" spans="1:33" ht="18" customHeight="1">
      <c r="A6" s="1830" t="s">
        <v>1786</v>
      </c>
      <c r="B6" s="3463" t="s">
        <v>2422</v>
      </c>
      <c r="C6" s="783">
        <f ca="1">ROUND(F6*F8*F7*(1-F9)/10000,0)</f>
        <v>810</v>
      </c>
      <c r="D6" s="2497" t="s">
        <v>2421</v>
      </c>
      <c r="E6" s="784" t="s">
        <v>602</v>
      </c>
      <c r="F6" s="785">
        <f ca="1">INDIRECT("'数据-取费表'!u"&amp;$G$1)</f>
        <v>1500</v>
      </c>
      <c r="G6" s="1591"/>
      <c r="H6" s="2504" t="s">
        <v>1786</v>
      </c>
      <c r="I6" s="3463" t="s">
        <v>2422</v>
      </c>
      <c r="J6" s="783">
        <f ca="1">ROUND(M6*M8*M7*(1-M9)/10000,0)</f>
        <v>0</v>
      </c>
      <c r="K6" s="341" t="s">
        <v>1699</v>
      </c>
      <c r="L6" s="784" t="s">
        <v>602</v>
      </c>
      <c r="M6" s="785">
        <f ca="1">INDIRECT("'数据-取费表'!z"&amp;$G$1)</f>
        <v>0</v>
      </c>
    </row>
    <row r="7" spans="1:33" ht="18" customHeight="1">
      <c r="A7" s="2500"/>
      <c r="B7" s="3464"/>
      <c r="C7" s="788"/>
      <c r="D7" s="789"/>
      <c r="E7" s="784" t="s">
        <v>603</v>
      </c>
      <c r="F7" s="785">
        <f ca="1">IF(INDIRECT("'数据-取费表'!ah"&amp;$G$1)="",INDIRECT("'数据-取费表'!k"&amp;$G$1),INDIRECT("'数据-取费表'!ah"&amp;$G$1))</f>
        <v>500</v>
      </c>
      <c r="G7" s="1591"/>
      <c r="H7" s="2489"/>
      <c r="I7" s="3464"/>
      <c r="J7" s="788"/>
      <c r="K7" s="789"/>
      <c r="L7" s="784" t="s">
        <v>603</v>
      </c>
      <c r="M7" s="785">
        <f ca="1">F7</f>
        <v>500</v>
      </c>
    </row>
    <row r="8" spans="1:33" ht="18" customHeight="1">
      <c r="A8" s="2493"/>
      <c r="B8" s="3465"/>
      <c r="C8" s="788"/>
      <c r="D8" s="789"/>
      <c r="E8" s="784" t="s">
        <v>604</v>
      </c>
      <c r="F8" s="785">
        <f ca="1">INDIRECT("'数据-取费表'!ai"&amp;$G$1)</f>
        <v>12</v>
      </c>
      <c r="G8" s="1591"/>
      <c r="H8" s="2489"/>
      <c r="I8" s="3465"/>
      <c r="J8" s="788"/>
      <c r="K8" s="789"/>
      <c r="L8" s="784" t="s">
        <v>604</v>
      </c>
      <c r="M8" s="785">
        <f ca="1">INDIRECT("'数据-取费表'!ai"&amp;$G$1)</f>
        <v>12</v>
      </c>
    </row>
    <row r="9" spans="1:33" ht="18" customHeight="1">
      <c r="A9" s="786"/>
      <c r="B9" s="3466"/>
      <c r="C9" s="788"/>
      <c r="D9" s="789"/>
      <c r="E9" s="784" t="s">
        <v>1703</v>
      </c>
      <c r="F9" s="794">
        <f ca="1">INDIRECT("'数据-取费表'!w"&amp;$G$1)</f>
        <v>0.1</v>
      </c>
      <c r="G9" s="1591"/>
      <c r="H9" s="2505"/>
      <c r="I9" s="3465"/>
      <c r="J9" s="788"/>
      <c r="K9" s="789"/>
      <c r="L9" s="795" t="s">
        <v>1703</v>
      </c>
      <c r="M9" s="796">
        <f ca="1">INDIRECT("'数据-取费表'!ab"&amp;$G$1)</f>
        <v>0</v>
      </c>
    </row>
    <row r="10" spans="1:33" ht="18" customHeight="1">
      <c r="A10" s="1830" t="s">
        <v>1787</v>
      </c>
      <c r="B10" s="2494" t="s">
        <v>2418</v>
      </c>
      <c r="C10" s="799">
        <f ca="1">ROUND(IF(F10="押一",C6/12*F11,IF(F10="押二",C6/12*2*F11,IF(F10="押三",C6/12*3*F11,C11*F11))),0)</f>
        <v>1</v>
      </c>
      <c r="D10" s="2501" t="s">
        <v>2921</v>
      </c>
      <c r="E10" s="2498" t="s">
        <v>2423</v>
      </c>
      <c r="F10" s="2621" t="s">
        <v>3101</v>
      </c>
      <c r="G10" s="1591"/>
      <c r="H10" s="2561" t="s">
        <v>1787</v>
      </c>
      <c r="I10" s="2566" t="s">
        <v>2418</v>
      </c>
      <c r="J10" s="783">
        <f ca="1">ROUND(IF(M10="押一",J6/12*M11,IF(M10="押二",J6/12*2*M11,IF(M10="押三",J6/12*3*M11,J11*M11))),0)</f>
        <v>0</v>
      </c>
      <c r="K10" s="2501" t="s">
        <v>2921</v>
      </c>
      <c r="L10" s="2498" t="s">
        <v>2423</v>
      </c>
      <c r="M10" s="2621"/>
    </row>
    <row r="11" spans="1:33" ht="18" customHeight="1">
      <c r="A11" s="790"/>
      <c r="B11" s="2495" t="s">
        <v>2532</v>
      </c>
      <c r="C11" s="2499"/>
      <c r="D11" s="789"/>
      <c r="E11" s="2498" t="s">
        <v>2415</v>
      </c>
      <c r="F11" s="796">
        <f ca="1">'数据-取费表'!B39</f>
        <v>1.4999999999999999E-2</v>
      </c>
      <c r="G11" s="1591"/>
      <c r="H11" s="2562"/>
      <c r="I11" s="2495" t="s">
        <v>2532</v>
      </c>
      <c r="J11" s="2499"/>
      <c r="K11" s="2563"/>
      <c r="L11" s="2498" t="s">
        <v>2415</v>
      </c>
      <c r="M11" s="2492">
        <f ca="1">'数据-取费表'!B39</f>
        <v>1.4999999999999999E-2</v>
      </c>
    </row>
    <row r="12" spans="1:33" ht="18" customHeight="1" thickBot="1">
      <c r="A12" s="2537" t="s">
        <v>2426</v>
      </c>
      <c r="B12" s="2538" t="s">
        <v>2419</v>
      </c>
      <c r="C12" s="2539"/>
      <c r="D12" s="2540"/>
      <c r="E12" s="2541"/>
      <c r="F12" s="2542"/>
      <c r="G12" s="1591"/>
      <c r="H12" s="2551" t="s">
        <v>2426</v>
      </c>
      <c r="I12" s="2564" t="s">
        <v>2419</v>
      </c>
      <c r="J12" s="2565"/>
      <c r="K12" s="2540"/>
      <c r="L12" s="2541"/>
      <c r="M12" s="2554"/>
    </row>
    <row r="13" spans="1:33" ht="18" customHeight="1" thickTop="1">
      <c r="A13" s="1829">
        <v>2</v>
      </c>
      <c r="B13" s="1827" t="s">
        <v>1704</v>
      </c>
      <c r="C13" s="792">
        <f ca="1">ROUND(C29*F13,0)</f>
        <v>10331</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7761</v>
      </c>
      <c r="D14" s="3178" t="s">
        <v>611</v>
      </c>
      <c r="E14" s="3177"/>
      <c r="F14" s="805"/>
      <c r="G14" s="1591"/>
      <c r="H14" s="1648" t="s">
        <v>1786</v>
      </c>
      <c r="I14" s="2231" t="s">
        <v>2784</v>
      </c>
      <c r="J14" s="53">
        <f ca="1">C29</f>
        <v>10331</v>
      </c>
      <c r="K14" s="26"/>
      <c r="L14" s="801"/>
      <c r="M14" s="802"/>
    </row>
    <row r="15" spans="1:33" s="2064" customFormat="1" ht="18" customHeight="1" thickBot="1">
      <c r="A15" s="1647" t="s">
        <v>1794</v>
      </c>
      <c r="B15" s="784" t="s">
        <v>612</v>
      </c>
      <c r="C15" s="53">
        <f ca="1">ROUND(C14*F15,0)</f>
        <v>388</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922</v>
      </c>
      <c r="K16" s="1821" t="s">
        <v>617</v>
      </c>
      <c r="L16" s="3180"/>
      <c r="M16" s="2491"/>
    </row>
    <row r="17" spans="1:33" s="2064" customFormat="1" ht="18" customHeight="1">
      <c r="A17" s="1647" t="s">
        <v>1849</v>
      </c>
      <c r="B17" s="784" t="s">
        <v>618</v>
      </c>
      <c r="C17" s="53">
        <f ca="1">ROUND(F17*(F43+INDIRECT("'数据-取费表'!S"&amp;$G$1))/10000,0)</f>
        <v>431</v>
      </c>
      <c r="D17" s="784" t="s">
        <v>1713</v>
      </c>
      <c r="E17" s="784" t="s">
        <v>1714</v>
      </c>
      <c r="F17" s="56">
        <f>'数据-取费表'!B35</f>
        <v>200</v>
      </c>
      <c r="G17" s="1592"/>
      <c r="H17" s="1648" t="s">
        <v>1786</v>
      </c>
      <c r="I17" s="784" t="s">
        <v>621</v>
      </c>
      <c r="J17" s="53">
        <f ca="1">ROUND(IF(项目基本情况!B11="自然人",J5*M17,J18+J19+J20),0)</f>
        <v>870</v>
      </c>
      <c r="K17" s="3178" t="s">
        <v>1715</v>
      </c>
      <c r="L17" s="3179"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116</v>
      </c>
      <c r="D18" s="784" t="s">
        <v>1708</v>
      </c>
      <c r="E18" s="784" t="s">
        <v>1709</v>
      </c>
      <c r="F18" s="809">
        <f>'数据-取费表'!B36</f>
        <v>1.4999999999999999E-2</v>
      </c>
      <c r="G18" s="1592"/>
      <c r="H18" s="1647" t="s">
        <v>1793</v>
      </c>
      <c r="I18" s="784" t="s">
        <v>625</v>
      </c>
      <c r="J18" s="53">
        <f ca="1">ROUND(J5*M18/1.05,1)</f>
        <v>0</v>
      </c>
      <c r="K18" s="3179"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8696</v>
      </c>
      <c r="D19" s="261" t="s">
        <v>1719</v>
      </c>
      <c r="E19" s="3181"/>
      <c r="F19" s="56"/>
      <c r="G19" s="1591"/>
      <c r="H19" s="1647" t="s">
        <v>1794</v>
      </c>
      <c r="I19" s="784" t="s">
        <v>629</v>
      </c>
      <c r="J19" s="53">
        <f ca="1">IF(K19="按租金收入计税",ROUND(J5*M19,1),ROUND(C29*F33*0.7,1))</f>
        <v>867.8</v>
      </c>
      <c r="K19" s="811" t="s">
        <v>630</v>
      </c>
      <c r="L19" s="784" t="s">
        <v>1709</v>
      </c>
      <c r="M19" s="809">
        <f>IF(K19="按租金收入计税",'数据-取费表'!B51,'数据-取费表'!B50)</f>
        <v>1.2E-2</v>
      </c>
    </row>
    <row r="20" spans="1:33" s="2064" customFormat="1" ht="18" customHeight="1">
      <c r="A20" s="1648" t="s">
        <v>1851</v>
      </c>
      <c r="B20" s="784" t="s">
        <v>631</v>
      </c>
      <c r="C20" s="53">
        <f ca="1">ROUND(C19*F20,0)</f>
        <v>174</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1806.69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1"/>
      <c r="F22" s="56"/>
      <c r="G22" s="1591"/>
      <c r="H22" s="1648" t="s">
        <v>1851</v>
      </c>
      <c r="I22" s="784" t="s">
        <v>641</v>
      </c>
      <c r="J22" s="53">
        <f ca="1">ROUND(J14*M22,0)</f>
        <v>52</v>
      </c>
      <c r="K22" s="3179" t="s">
        <v>642</v>
      </c>
      <c r="L22" s="784" t="s">
        <v>1709</v>
      </c>
      <c r="M22" s="817">
        <f ca="1">INDIRECT("'数据-取费表'!Ak"&amp;$G$1)</f>
        <v>5.0000000000000001E-3</v>
      </c>
    </row>
    <row r="23" spans="1:33" s="2064" customFormat="1" ht="18" customHeight="1">
      <c r="A23" s="1647" t="s">
        <v>1793</v>
      </c>
      <c r="B23" s="784" t="s">
        <v>2398</v>
      </c>
      <c r="C23" s="53">
        <f ca="1">ROUND(IF('数据-取费表'!B22&lt;=1,(C19+C20)*F24*F23/2,(C19+C20)*(POWER((1+F24),F23/2)-1)),0)</f>
        <v>421</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79" t="s">
        <v>645</v>
      </c>
      <c r="L23" s="784" t="s">
        <v>1709</v>
      </c>
      <c r="M23" s="818">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0.05</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1"/>
      <c r="F25" s="56"/>
      <c r="G25" s="1591"/>
      <c r="H25" s="1829" t="s">
        <v>1738</v>
      </c>
      <c r="I25" s="3010" t="s">
        <v>2781</v>
      </c>
      <c r="J25" s="792">
        <f ca="1">J5-J16</f>
        <v>-922</v>
      </c>
      <c r="K25" s="2548" t="s">
        <v>665</v>
      </c>
      <c r="L25" s="2549"/>
      <c r="M25" s="2550"/>
    </row>
    <row r="26" spans="1:33" ht="18" customHeight="1">
      <c r="A26" s="1647" t="s">
        <v>1793</v>
      </c>
      <c r="B26" s="784" t="s">
        <v>2399</v>
      </c>
      <c r="C26" s="53">
        <f ca="1">ROUND((C19+C20)*F26,0)</f>
        <v>266</v>
      </c>
      <c r="D26" s="812" t="s">
        <v>666</v>
      </c>
      <c r="E26" s="795" t="s">
        <v>667</v>
      </c>
      <c r="F26" s="794">
        <f ca="1">INDIRECT("'数据-取费表'!q"&amp;$G$1)</f>
        <v>0.03</v>
      </c>
      <c r="G26" s="1591"/>
      <c r="H26" s="2502" t="s">
        <v>1742</v>
      </c>
      <c r="I26" s="2232" t="s">
        <v>2786</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5.9999999999999995E-4</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10331</v>
      </c>
      <c r="D29" s="2545"/>
      <c r="E29" s="2546"/>
      <c r="F29" s="2547"/>
      <c r="G29" s="1592"/>
      <c r="H29" s="823" t="s">
        <v>1749</v>
      </c>
      <c r="I29" s="824" t="s">
        <v>1750</v>
      </c>
      <c r="J29" s="825">
        <f ca="1">ROUND(J26/(1+F40)^F41,0)</f>
        <v>0</v>
      </c>
      <c r="K29" s="826" t="s">
        <v>653</v>
      </c>
      <c r="L29" s="827"/>
      <c r="M29" s="828">
        <f ca="1">INDIRECT("'数据-取费表'!k"&amp;$G$1)</f>
        <v>19802.580000000002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245</v>
      </c>
      <c r="D30" s="1821" t="s">
        <v>617</v>
      </c>
      <c r="E30" s="3180"/>
      <c r="F30" s="2491"/>
      <c r="G30" s="2062"/>
      <c r="H30" s="2065"/>
      <c r="I30" s="2066"/>
      <c r="J30" s="2067"/>
      <c r="K30" s="2068"/>
      <c r="L30" s="2069"/>
      <c r="M30" s="2070"/>
    </row>
    <row r="31" spans="1:33" ht="18" customHeight="1">
      <c r="A31" s="1648" t="s">
        <v>1786</v>
      </c>
      <c r="B31" s="784" t="s">
        <v>621</v>
      </c>
      <c r="C31" s="53">
        <f ca="1">ROUND(IF(项目基本情况!B11="自然人",C5*F31,C32+C33+C34),1)</f>
        <v>142.80000000000001</v>
      </c>
      <c r="D31" s="3178" t="s">
        <v>1715</v>
      </c>
      <c r="E31" s="3179"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43.3</v>
      </c>
      <c r="D32" s="3179"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97.3</v>
      </c>
      <c r="D33" s="811" t="s">
        <v>3102</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2.2000000000000002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1806.69</v>
      </c>
      <c r="G35" s="2062"/>
      <c r="H35" s="2065"/>
      <c r="I35" s="837" t="s">
        <v>1776</v>
      </c>
      <c r="J35" s="838">
        <f ca="1">ROUND(C13*J36,0)</f>
        <v>878</v>
      </c>
      <c r="K35" s="2078"/>
      <c r="L35" s="2077"/>
      <c r="M35" s="2077"/>
    </row>
    <row r="36" spans="1:18" ht="18" customHeight="1">
      <c r="A36" s="1648" t="s">
        <v>1851</v>
      </c>
      <c r="B36" s="784" t="s">
        <v>641</v>
      </c>
      <c r="C36" s="53">
        <f ca="1">ROUND(C29*F36,1)</f>
        <v>51.7</v>
      </c>
      <c r="D36" s="3179" t="s">
        <v>656</v>
      </c>
      <c r="E36" s="784" t="s">
        <v>1709</v>
      </c>
      <c r="F36" s="817">
        <f ca="1">INDIRECT("'数据-取费表'!Ak"&amp;$G$1)</f>
        <v>5.0000000000000001E-3</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10.3</v>
      </c>
      <c r="D37" s="3179" t="s">
        <v>645</v>
      </c>
      <c r="E37" s="784" t="s">
        <v>1709</v>
      </c>
      <c r="F37" s="818">
        <f ca="1">INDIRECT("'数据-取费表'!Al"&amp;$G$1)</f>
        <v>1E-3</v>
      </c>
      <c r="G37" s="2062"/>
      <c r="H37" s="2077"/>
      <c r="I37" s="841" t="s">
        <v>1778</v>
      </c>
      <c r="J37" s="842"/>
      <c r="K37" s="2082"/>
      <c r="L37" s="2077"/>
      <c r="M37" s="2077"/>
    </row>
    <row r="38" spans="1:18" ht="18" customHeight="1" thickBot="1">
      <c r="A38" s="2551" t="s">
        <v>1853</v>
      </c>
      <c r="B38" s="2546" t="s">
        <v>631</v>
      </c>
      <c r="C38" s="2544">
        <f ca="1">ROUND(C5*F38,1)</f>
        <v>40.6</v>
      </c>
      <c r="D38" s="2545" t="s">
        <v>648</v>
      </c>
      <c r="E38" s="2546" t="s">
        <v>1709</v>
      </c>
      <c r="F38" s="2542">
        <f ca="1">INDIRECT("'数据-取费表'!Am"&amp;$G$1)</f>
        <v>0.05</v>
      </c>
      <c r="G38" s="2062"/>
      <c r="H38" s="2077"/>
      <c r="I38" s="843" t="s">
        <v>1779</v>
      </c>
      <c r="J38" s="844"/>
      <c r="K38" s="2083"/>
      <c r="L38" s="2077"/>
      <c r="M38" s="2077"/>
    </row>
    <row r="39" spans="1:18" ht="24.65" customHeight="1" thickTop="1">
      <c r="A39" s="1829" t="s">
        <v>1738</v>
      </c>
      <c r="B39" s="3010" t="s">
        <v>2781</v>
      </c>
      <c r="C39" s="792">
        <f ca="1">C5-C30</f>
        <v>566</v>
      </c>
      <c r="D39" s="2548" t="s">
        <v>665</v>
      </c>
      <c r="E39" s="2549"/>
      <c r="F39" s="2550"/>
      <c r="G39" s="2062"/>
      <c r="H39" s="2077"/>
      <c r="I39" s="837" t="s">
        <v>1780</v>
      </c>
      <c r="J39" s="845">
        <f ca="1">ROUND(J35/C39,3)</f>
        <v>1.5509999999999999</v>
      </c>
      <c r="K39" s="2083"/>
      <c r="L39" s="2077"/>
      <c r="M39" s="2077"/>
    </row>
    <row r="40" spans="1:18" ht="18" customHeight="1">
      <c r="A40" s="781" t="s">
        <v>1742</v>
      </c>
      <c r="B40" s="2232" t="s">
        <v>2263</v>
      </c>
      <c r="C40" s="783">
        <f ca="1">ROUND(C39*(1-((1+F42)/(1+F40))^F41)/(F40-F42),0)</f>
        <v>12460</v>
      </c>
      <c r="D40" s="814" t="s">
        <v>669</v>
      </c>
      <c r="E40" s="784" t="s">
        <v>2380</v>
      </c>
      <c r="F40" s="794">
        <f ca="1">INDIRECT("'数据-取费表'!I"&amp;$G$1)</f>
        <v>0.05</v>
      </c>
      <c r="G40" s="2062"/>
      <c r="H40" s="2062"/>
      <c r="I40" s="837" t="s">
        <v>1781</v>
      </c>
      <c r="J40" s="845">
        <f ca="1">1-J39</f>
        <v>-0.55099999999999993</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37.26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0.82899999999999996</v>
      </c>
      <c r="K42" s="2082"/>
      <c r="L42" s="1988"/>
      <c r="M42" s="1988"/>
    </row>
    <row r="43" spans="1:18" ht="18" customHeight="1" thickBot="1">
      <c r="A43" s="823" t="s">
        <v>1749</v>
      </c>
      <c r="B43" s="824" t="s">
        <v>1772</v>
      </c>
      <c r="C43" s="825">
        <f ca="1">ROUND(C40*10000/F43,0)</f>
        <v>6292</v>
      </c>
      <c r="D43" s="826" t="s">
        <v>1773</v>
      </c>
      <c r="E43" s="827" t="s">
        <v>1774</v>
      </c>
      <c r="F43" s="828">
        <f ca="1">INDIRECT("'数据-取费表'!k"&amp;$G$1)</f>
        <v>19802.580000000002</v>
      </c>
      <c r="G43" s="2062"/>
      <c r="H43" s="1988"/>
      <c r="I43" s="847" t="s">
        <v>1784</v>
      </c>
      <c r="J43" s="848">
        <f ca="1">1-J42</f>
        <v>0.17100000000000004</v>
      </c>
      <c r="K43" s="2082"/>
      <c r="L43" s="1988"/>
      <c r="M43" s="1988"/>
    </row>
    <row r="44" spans="1:18" s="2059" customFormat="1" ht="18" customHeight="1">
      <c r="A44" s="2085"/>
      <c r="B44" s="2085"/>
      <c r="C44" s="2102"/>
      <c r="D44" s="2085"/>
      <c r="E44" s="2085"/>
      <c r="F44" s="2085">
        <f ca="1">F43/F7</f>
        <v>39.605160000000005</v>
      </c>
      <c r="G44" s="3218" t="s">
        <v>3255</v>
      </c>
      <c r="K44" s="2086"/>
      <c r="Q44" s="2097"/>
    </row>
    <row r="45" spans="1:18" s="2059" customFormat="1" ht="18" customHeight="1" thickBot="1">
      <c r="A45" s="2085"/>
      <c r="B45" s="2085"/>
      <c r="C45" s="2102"/>
      <c r="D45" s="2085"/>
      <c r="E45" s="2085"/>
      <c r="F45" s="2085">
        <f ca="1">C40/'数据-取费表'!AH11</f>
        <v>24.92</v>
      </c>
      <c r="G45" s="2059" t="s">
        <v>3256</v>
      </c>
      <c r="K45" s="2086"/>
      <c r="Q45" s="2097"/>
    </row>
    <row r="46" spans="1:18" s="2059" customFormat="1" ht="18" customHeight="1" thickBot="1">
      <c r="A46" s="2230" t="s">
        <v>2257</v>
      </c>
      <c r="B46" s="2085"/>
      <c r="C46" s="2574">
        <f ca="1">C67-C40</f>
        <v>-13532</v>
      </c>
      <c r="D46" s="2085"/>
      <c r="E46" s="2085"/>
      <c r="F46" s="2085">
        <f ca="1">(C36+C37+C38)/12/F7*10000</f>
        <v>170.99999999999997</v>
      </c>
      <c r="I46" s="2378" t="s">
        <v>2304</v>
      </c>
      <c r="J46" s="2379"/>
      <c r="K46" s="2380"/>
      <c r="L46" s="3158">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8" t="s">
        <v>2305</v>
      </c>
      <c r="J47" s="2381" t="s">
        <v>3103</v>
      </c>
      <c r="K47" s="3155" t="s">
        <v>2310</v>
      </c>
      <c r="L47" s="3159">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2497</v>
      </c>
      <c r="C48" s="2374">
        <f ca="1">ROUND(F48*F50*F49*(1-F51)/10000,0)</f>
        <v>0</v>
      </c>
      <c r="D48" s="2375" t="s">
        <v>601</v>
      </c>
      <c r="E48" s="2376" t="s">
        <v>2258</v>
      </c>
      <c r="F48" s="2377"/>
      <c r="G48" s="2090"/>
      <c r="I48" s="3124" t="s">
        <v>2306</v>
      </c>
      <c r="J48" s="2382" t="s">
        <v>2311</v>
      </c>
      <c r="K48" s="3156" t="s">
        <v>2312</v>
      </c>
      <c r="L48" s="1908">
        <f ca="1">INDIRECT("'数据-取费表'!f"&amp;$G$1)</f>
        <v>39.26</v>
      </c>
      <c r="O48" s="2398" t="s">
        <v>2340</v>
      </c>
      <c r="P48" s="2399" t="s">
        <v>2366</v>
      </c>
      <c r="Q48" s="2400">
        <f ca="1">C40+J29</f>
        <v>12460</v>
      </c>
      <c r="R48" s="2399" t="s">
        <v>2341</v>
      </c>
    </row>
    <row r="49" spans="1:18" s="2059" customFormat="1" ht="18" customHeight="1" thickBot="1">
      <c r="A49" s="786"/>
      <c r="B49" s="787"/>
      <c r="C49" s="788"/>
      <c r="D49" s="789"/>
      <c r="E49" s="784" t="s">
        <v>603</v>
      </c>
      <c r="F49" s="785">
        <f ca="1">F7</f>
        <v>500</v>
      </c>
      <c r="G49" s="2090"/>
      <c r="H49" s="2093"/>
      <c r="I49" s="3124" t="s">
        <v>2307</v>
      </c>
      <c r="J49" s="2383">
        <v>2018</v>
      </c>
      <c r="K49" s="3157"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4" t="s">
        <v>2308</v>
      </c>
      <c r="J50" s="3152">
        <f>SUMPRODUCT((I63:I65=J47)*(J62:L62=J48)*(J63:L65))</f>
        <v>60</v>
      </c>
      <c r="K50" s="3157" t="s">
        <v>2314</v>
      </c>
      <c r="L50" s="2384"/>
      <c r="O50" s="2401" t="s">
        <v>2344</v>
      </c>
      <c r="P50" s="2399" t="s">
        <v>2368</v>
      </c>
      <c r="Q50" s="2400">
        <f ca="1">C29</f>
        <v>10331</v>
      </c>
      <c r="R50" s="2399" t="s">
        <v>2341</v>
      </c>
    </row>
    <row r="51" spans="1:18" s="2059" customFormat="1" ht="18" customHeight="1" thickBot="1">
      <c r="A51" s="786"/>
      <c r="B51" s="787"/>
      <c r="C51" s="788"/>
      <c r="D51" s="789"/>
      <c r="E51" s="784" t="s">
        <v>605</v>
      </c>
      <c r="F51" s="2371"/>
      <c r="H51" s="2093"/>
      <c r="I51" s="3149" t="s">
        <v>2309</v>
      </c>
      <c r="J51" s="3153">
        <f>IF(J49="",J50,J49+J50-YEAR('数据-取费表'!B2))</f>
        <v>58</v>
      </c>
      <c r="K51" s="3124" t="s">
        <v>2315</v>
      </c>
      <c r="L51" s="3160">
        <f ca="1">ROUND(-PV(INDIRECT("'数据-取费表'!h"&amp;$G$1),L48,(C39-C13*J36),0),0)</f>
        <v>-5704</v>
      </c>
      <c r="O51" s="2401" t="s">
        <v>2345</v>
      </c>
      <c r="P51" s="2399" t="s">
        <v>2346</v>
      </c>
      <c r="Q51" s="2402" t="e">
        <f ca="1">J58</f>
        <v>#VALUE!</v>
      </c>
      <c r="R51" s="2403"/>
    </row>
    <row r="52" spans="1:18" s="2059" customFormat="1" ht="18" customHeight="1" thickBot="1">
      <c r="A52" s="781" t="s">
        <v>2495</v>
      </c>
      <c r="B52" s="2494" t="s">
        <v>2418</v>
      </c>
      <c r="C52" s="799">
        <f ca="1">ROUND(IF(F52="押一",C48/12*F11,IF(F52="押二",C48/12*2*F11,IF(F52="押三",C48/12*3*F11,C53*F11))),0)</f>
        <v>0</v>
      </c>
      <c r="D52" s="2501" t="s">
        <v>2921</v>
      </c>
      <c r="E52" s="2498" t="s">
        <v>2423</v>
      </c>
      <c r="F52" s="2621"/>
      <c r="I52" s="3150" t="s">
        <v>2382</v>
      </c>
      <c r="J52" s="2385"/>
      <c r="K52" s="3150" t="s">
        <v>2381</v>
      </c>
      <c r="L52" s="2385"/>
      <c r="O52" s="2401" t="s">
        <v>2347</v>
      </c>
      <c r="P52" s="2399" t="s">
        <v>2348</v>
      </c>
      <c r="Q52" s="2402">
        <f>J52</f>
        <v>0</v>
      </c>
      <c r="R52" s="2403"/>
    </row>
    <row r="53" spans="1:18" s="2059" customFormat="1" ht="39.75" customHeight="1" thickBot="1">
      <c r="A53" s="786"/>
      <c r="B53" s="2495" t="s">
        <v>2532</v>
      </c>
      <c r="C53" s="2499"/>
      <c r="D53" s="2501"/>
      <c r="E53" s="2498"/>
      <c r="F53" s="800"/>
      <c r="I53" s="3151" t="s">
        <v>2926</v>
      </c>
      <c r="J53" s="3154">
        <f ca="1">IF(M47="住宅",IF(D1="——",MAX(J51,L48),MAX(J51,L48-'数据-取费表'!B20)),IF(D1="——",MIN(J51,L48),MIN(J51,L48-'数据-取费表'!B20)))</f>
        <v>37.26</v>
      </c>
      <c r="K53" s="3479" t="s">
        <v>2913</v>
      </c>
      <c r="L53" s="3480"/>
      <c r="O53" s="2401" t="s">
        <v>2349</v>
      </c>
      <c r="P53" s="2399" t="s">
        <v>2350</v>
      </c>
      <c r="Q53" s="2400">
        <f ca="1">J53</f>
        <v>37.26</v>
      </c>
      <c r="R53" s="2399" t="s">
        <v>2351</v>
      </c>
    </row>
    <row r="54" spans="1:18" s="2059" customFormat="1" ht="18" customHeight="1" thickBot="1">
      <c r="A54" s="2537" t="s">
        <v>2426</v>
      </c>
      <c r="B54" s="2538" t="s">
        <v>2419</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12460</v>
      </c>
      <c r="R54" s="2403" t="s">
        <v>2353</v>
      </c>
    </row>
    <row r="55" spans="1:18" s="2059" customFormat="1" ht="18" customHeight="1" thickTop="1" thickBot="1">
      <c r="A55" s="797">
        <v>2</v>
      </c>
      <c r="B55" s="798" t="s">
        <v>609</v>
      </c>
      <c r="C55" s="799">
        <f ca="1">C13</f>
        <v>10331</v>
      </c>
      <c r="D55" s="795"/>
      <c r="E55" s="795"/>
      <c r="F55" s="800"/>
      <c r="I55" s="3163" t="s">
        <v>2316</v>
      </c>
      <c r="J55" s="3099" t="e">
        <f ca="1">ROUND(IF(J47="钢混",J57/J50,1-(1-2%)*(J50-J57)/J50),3)</f>
        <v>#VALUE!</v>
      </c>
      <c r="K55" s="3164" t="s">
        <v>2317</v>
      </c>
      <c r="L55" s="2386"/>
      <c r="O55" s="2404" t="s">
        <v>2372</v>
      </c>
      <c r="P55" s="1591"/>
      <c r="Q55" s="1603"/>
      <c r="R55" s="1591"/>
    </row>
    <row r="56" spans="1:18" s="2059" customFormat="1" ht="42.75" customHeight="1" thickBot="1">
      <c r="A56" s="1649"/>
      <c r="B56" s="2231" t="s">
        <v>2262</v>
      </c>
      <c r="C56" s="53">
        <f ca="1">C29</f>
        <v>10331</v>
      </c>
      <c r="D56" s="3179"/>
      <c r="E56" s="784"/>
      <c r="F56" s="809"/>
      <c r="I56" s="3165" t="s">
        <v>2318</v>
      </c>
      <c r="J56" s="3175" t="s">
        <v>1643</v>
      </c>
      <c r="K56" s="3124"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64</v>
      </c>
      <c r="D57" s="26" t="s">
        <v>617</v>
      </c>
      <c r="E57" s="3181"/>
      <c r="F57" s="56"/>
      <c r="I57" s="3166" t="s">
        <v>2319</v>
      </c>
      <c r="J57" s="3167" t="str">
        <f ca="1">IF(OR(M47="住宅",J51&lt;L48,J56="是"),"——",J51-L48)</f>
        <v>——</v>
      </c>
      <c r="K57" s="3124" t="s">
        <v>2324</v>
      </c>
      <c r="L57" s="1908" t="str">
        <f ca="1">IF(L48&lt;J51,"——",IF(L55="比较法",L49,IF(L55="基准地价",L50,L51)))</f>
        <v>——</v>
      </c>
      <c r="O57" s="2398" t="s">
        <v>2340</v>
      </c>
      <c r="P57" s="2399" t="s">
        <v>2366</v>
      </c>
      <c r="Q57" s="2400">
        <f ca="1">C40+J29</f>
        <v>12460</v>
      </c>
      <c r="R57" s="2399" t="s">
        <v>2341</v>
      </c>
    </row>
    <row r="58" spans="1:18" s="2059" customFormat="1" ht="28.5" customHeight="1" thickBot="1">
      <c r="A58" s="1648" t="s">
        <v>1786</v>
      </c>
      <c r="B58" s="784" t="s">
        <v>621</v>
      </c>
      <c r="C58" s="53">
        <f ca="1">ROUND(IF(项目基本情况!B11="自然人",C47*F58,C59+C60+C61),1)</f>
        <v>2.2000000000000002</v>
      </c>
      <c r="D58" s="3178" t="s">
        <v>622</v>
      </c>
      <c r="E58" s="3179" t="s">
        <v>655</v>
      </c>
      <c r="F58" s="810" t="str">
        <f ca="1">IF(项目基本情况!B11="企业","",IF(INDIRECT("'数据-取费表'!c"&amp;$G$1)="住宅",5%,IF(F48*F49*F50/12/(1+'数据-取费表'!C42)&gt;20000,12%,7%)))</f>
        <v/>
      </c>
      <c r="I58" s="3166" t="s">
        <v>2320</v>
      </c>
      <c r="J58" s="3100" t="e">
        <f ca="1">IF(J55&lt;0.4,0.4,J55)</f>
        <v>#VALUE!</v>
      </c>
      <c r="K58" s="3124"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79" t="s">
        <v>626</v>
      </c>
      <c r="E59" s="784" t="s">
        <v>1709</v>
      </c>
      <c r="F59" s="809">
        <f t="shared" ref="F59:F65" si="0">F32</f>
        <v>5.6000000000000001E-2</v>
      </c>
      <c r="I59" s="3166" t="s">
        <v>2321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79" t="str">
        <f>D33</f>
        <v>按租金收入计税</v>
      </c>
      <c r="E60" s="784" t="s">
        <v>1709</v>
      </c>
      <c r="F60" s="809">
        <f t="shared" si="0"/>
        <v>0.12</v>
      </c>
      <c r="I60" s="3168" t="s">
        <v>2322</v>
      </c>
      <c r="J60" s="3169" t="str">
        <f ca="1">IF(OR(M47="住宅",J51&lt;L48,J56="是"),"0",ROUND(J59/(1+J52)^J53,0))</f>
        <v>0</v>
      </c>
      <c r="K60" s="3170" t="s">
        <v>2327</v>
      </c>
      <c r="L60" s="3169">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2.2000000000000002</v>
      </c>
      <c r="D61" s="814" t="s">
        <v>634</v>
      </c>
      <c r="E61" s="784" t="s">
        <v>635</v>
      </c>
      <c r="F61" s="640">
        <f t="shared" si="0"/>
        <v>12</v>
      </c>
      <c r="K61" s="2086"/>
      <c r="O61" s="2401" t="s">
        <v>2347</v>
      </c>
      <c r="P61" s="2399" t="s">
        <v>2355</v>
      </c>
      <c r="Q61" s="2400" t="e">
        <f ca="1">L58</f>
        <v>#DIV/0!</v>
      </c>
      <c r="R61" s="2403" t="s">
        <v>2356</v>
      </c>
    </row>
    <row r="62" spans="1:18" s="2059" customFormat="1" ht="16" thickBot="1">
      <c r="A62" s="815"/>
      <c r="B62" s="793"/>
      <c r="C62" s="69"/>
      <c r="D62" s="816"/>
      <c r="E62" s="784" t="s">
        <v>639</v>
      </c>
      <c r="F62" s="785">
        <f t="shared" ca="1" si="0"/>
        <v>1806.69</v>
      </c>
      <c r="I62" s="3171" t="s">
        <v>2328</v>
      </c>
      <c r="J62" s="3172" t="s">
        <v>2329</v>
      </c>
      <c r="K62" s="3172" t="s">
        <v>2330</v>
      </c>
      <c r="L62" s="3172" t="s">
        <v>2311</v>
      </c>
      <c r="M62" s="3173" t="s">
        <v>2891</v>
      </c>
      <c r="O62" s="2401" t="s">
        <v>2349</v>
      </c>
      <c r="P62" s="2399" t="str">
        <f>K59</f>
        <v>建设期及建筑物耐用年限下的土地年期修正系数Kn</v>
      </c>
      <c r="Q62" s="2400" t="e">
        <f ca="1">L59</f>
        <v>#DIV/0!</v>
      </c>
      <c r="R62" s="2403" t="s">
        <v>2358</v>
      </c>
    </row>
    <row r="63" spans="1:18" s="2059" customFormat="1" ht="16" thickBot="1">
      <c r="A63" s="1648" t="s">
        <v>1851</v>
      </c>
      <c r="B63" s="784" t="s">
        <v>641</v>
      </c>
      <c r="C63" s="53">
        <f ca="1">ROUND(C56*F63,1)</f>
        <v>51.7</v>
      </c>
      <c r="D63" s="3179" t="s">
        <v>656</v>
      </c>
      <c r="E63" s="784" t="s">
        <v>1709</v>
      </c>
      <c r="F63" s="817">
        <f t="shared" ca="1" si="0"/>
        <v>5.0000000000000001E-3</v>
      </c>
      <c r="I63" s="3171" t="s">
        <v>2331</v>
      </c>
      <c r="J63" s="3172">
        <v>70</v>
      </c>
      <c r="K63" s="3172">
        <v>50</v>
      </c>
      <c r="L63" s="3172">
        <v>80</v>
      </c>
      <c r="M63" s="3174">
        <v>0.02</v>
      </c>
      <c r="O63" s="2398" t="s">
        <v>2352</v>
      </c>
      <c r="P63" s="2399" t="s">
        <v>2369</v>
      </c>
      <c r="Q63" s="2400">
        <f ca="1">Q57+Q58</f>
        <v>12460</v>
      </c>
      <c r="R63" s="2403" t="s">
        <v>2353</v>
      </c>
    </row>
    <row r="64" spans="1:18" s="2059" customFormat="1" ht="16" thickBot="1">
      <c r="A64" s="1648" t="s">
        <v>1852</v>
      </c>
      <c r="B64" s="784" t="s">
        <v>644</v>
      </c>
      <c r="C64" s="53">
        <f ca="1">ROUND(C55*F64,1)</f>
        <v>10.3</v>
      </c>
      <c r="D64" s="3179" t="s">
        <v>645</v>
      </c>
      <c r="E64" s="784" t="s">
        <v>1709</v>
      </c>
      <c r="F64" s="818">
        <f t="shared" ca="1" si="0"/>
        <v>1E-3</v>
      </c>
      <c r="I64" s="3171" t="s">
        <v>2332</v>
      </c>
      <c r="J64" s="3172">
        <v>50</v>
      </c>
      <c r="K64" s="3172">
        <v>35</v>
      </c>
      <c r="L64" s="3172">
        <v>60</v>
      </c>
      <c r="M64" s="846">
        <v>0</v>
      </c>
      <c r="O64" s="2404" t="s">
        <v>2376</v>
      </c>
      <c r="P64" s="1591"/>
      <c r="Q64" s="1603"/>
      <c r="R64" s="1591"/>
    </row>
    <row r="65" spans="1:18" s="2059" customFormat="1" ht="16" thickBot="1">
      <c r="A65" s="1648" t="s">
        <v>1853</v>
      </c>
      <c r="B65" s="784" t="s">
        <v>631</v>
      </c>
      <c r="C65" s="53">
        <f ca="1">ROUND(C47*F65,1)</f>
        <v>0</v>
      </c>
      <c r="D65" s="3179" t="s">
        <v>648</v>
      </c>
      <c r="E65" s="784" t="s">
        <v>1709</v>
      </c>
      <c r="F65" s="794">
        <f t="shared" ca="1" si="0"/>
        <v>0.05</v>
      </c>
      <c r="I65" s="3171" t="s">
        <v>2333</v>
      </c>
      <c r="J65" s="3172">
        <v>40</v>
      </c>
      <c r="K65" s="3172">
        <v>30</v>
      </c>
      <c r="L65" s="3172">
        <v>50</v>
      </c>
      <c r="M65" s="3174">
        <v>0.02</v>
      </c>
      <c r="O65" s="2395" t="s">
        <v>2336</v>
      </c>
      <c r="P65" s="2396" t="s">
        <v>2337</v>
      </c>
      <c r="Q65" s="2397" t="s">
        <v>2338</v>
      </c>
      <c r="R65" s="2396" t="s">
        <v>2339</v>
      </c>
    </row>
    <row r="66" spans="1:18" s="2059" customFormat="1" ht="26.5" thickBot="1">
      <c r="A66" s="797" t="s">
        <v>1738</v>
      </c>
      <c r="B66" s="3011" t="s">
        <v>2781</v>
      </c>
      <c r="C66" s="799">
        <f ca="1">C47-C57</f>
        <v>-64</v>
      </c>
      <c r="D66" s="3178" t="s">
        <v>665</v>
      </c>
      <c r="E66" s="3176"/>
      <c r="F66" s="820"/>
      <c r="K66" s="2086"/>
      <c r="O66" s="2398" t="s">
        <v>2340</v>
      </c>
      <c r="P66" s="2399" t="s">
        <v>2366</v>
      </c>
      <c r="Q66" s="2400">
        <f ca="1">C40+J29</f>
        <v>12460</v>
      </c>
      <c r="R66" s="2399" t="s">
        <v>2341</v>
      </c>
    </row>
    <row r="67" spans="1:18" s="2059" customFormat="1" ht="17" thickBot="1">
      <c r="A67" s="781" t="s">
        <v>1742</v>
      </c>
      <c r="B67" s="2232" t="s">
        <v>2263</v>
      </c>
      <c r="C67" s="783">
        <f ca="1">ROUND(C66*(1-((1+F69)/(1+F67))^F68)/(F67-F69),0)</f>
        <v>-1072</v>
      </c>
      <c r="D67" s="814" t="s">
        <v>669</v>
      </c>
      <c r="E67" s="784" t="s">
        <v>670</v>
      </c>
      <c r="F67" s="794">
        <f ca="1">F40</f>
        <v>0.05</v>
      </c>
      <c r="K67" s="2086"/>
      <c r="O67" s="2398" t="s">
        <v>2342</v>
      </c>
      <c r="P67" s="2399" t="s">
        <v>2373</v>
      </c>
      <c r="Q67" s="2400">
        <f ca="1">L60</f>
        <v>0</v>
      </c>
      <c r="R67" s="2403" t="s">
        <v>2375</v>
      </c>
    </row>
    <row r="68" spans="1:18" ht="21" thickBot="1">
      <c r="A68" s="786"/>
      <c r="B68" s="787"/>
      <c r="C68" s="788"/>
      <c r="D68" s="821" t="s">
        <v>1770</v>
      </c>
      <c r="E68" s="784" t="s">
        <v>673</v>
      </c>
      <c r="F68" s="822">
        <f ca="1">F41</f>
        <v>37.26</v>
      </c>
      <c r="O68" s="2401" t="s">
        <v>2344</v>
      </c>
      <c r="P68" s="2399" t="s">
        <v>2374</v>
      </c>
      <c r="Q68" s="2405">
        <f ca="1">L51</f>
        <v>-5704</v>
      </c>
      <c r="R68" s="2406" t="s">
        <v>2377</v>
      </c>
    </row>
    <row r="69" spans="1:18" ht="17" thickBot="1">
      <c r="A69" s="790"/>
      <c r="B69" s="791"/>
      <c r="C69" s="792"/>
      <c r="D69" s="816"/>
      <c r="E69" s="784" t="s">
        <v>675</v>
      </c>
      <c r="F69" s="2371"/>
      <c r="O69" s="2401" t="s">
        <v>2345</v>
      </c>
      <c r="P69" s="2407" t="s">
        <v>2359</v>
      </c>
      <c r="Q69" s="2400">
        <f ca="1">ROUND(Q70-Q71*Q72,0)</f>
        <v>-312</v>
      </c>
      <c r="R69" s="2403"/>
    </row>
    <row r="70" spans="1:18" ht="16" thickBot="1">
      <c r="A70" s="823" t="s">
        <v>1749</v>
      </c>
      <c r="B70" s="824" t="s">
        <v>1772</v>
      </c>
      <c r="C70" s="825">
        <f ca="1">ROUND(C67*10000/F70,0)</f>
        <v>-541</v>
      </c>
      <c r="D70" s="826" t="s">
        <v>1773</v>
      </c>
      <c r="E70" s="827" t="s">
        <v>1774</v>
      </c>
      <c r="F70" s="828">
        <f ca="1">F43</f>
        <v>19802.580000000002</v>
      </c>
      <c r="O70" s="2401" t="s">
        <v>2360</v>
      </c>
      <c r="P70" s="2407" t="s">
        <v>2361</v>
      </c>
      <c r="Q70" s="2400">
        <f ca="1">C39</f>
        <v>566</v>
      </c>
      <c r="R70" s="2399" t="s">
        <v>2341</v>
      </c>
    </row>
    <row r="71" spans="1:18" ht="16" thickBot="1">
      <c r="O71" s="2401" t="s">
        <v>2362</v>
      </c>
      <c r="P71" s="2407" t="s">
        <v>2363</v>
      </c>
      <c r="Q71" s="2400">
        <f ca="1">C13</f>
        <v>10331</v>
      </c>
      <c r="R71" s="2399" t="s">
        <v>2341</v>
      </c>
    </row>
    <row r="72" spans="1:18" ht="16" thickBot="1">
      <c r="O72" s="2401" t="s">
        <v>2364</v>
      </c>
      <c r="P72" s="2407" t="s">
        <v>2365</v>
      </c>
      <c r="Q72" s="2402">
        <f ca="1">J36</f>
        <v>8.5000000000000006E-2</v>
      </c>
      <c r="R72" s="2403"/>
    </row>
    <row r="73" spans="1:18" ht="16" thickBot="1">
      <c r="O73" s="2401" t="s">
        <v>2347</v>
      </c>
      <c r="P73" s="2399" t="s">
        <v>2354</v>
      </c>
      <c r="Q73" s="2402">
        <f>L52</f>
        <v>0</v>
      </c>
      <c r="R73" s="2403"/>
    </row>
    <row r="74" spans="1:18" ht="17" thickBot="1">
      <c r="O74" s="2401" t="s">
        <v>2349</v>
      </c>
      <c r="P74" s="2399" t="s">
        <v>2355</v>
      </c>
      <c r="Q74" s="2400" t="e">
        <f ca="1">L58</f>
        <v>#DIV/0!</v>
      </c>
      <c r="R74" s="2403" t="s">
        <v>2356</v>
      </c>
    </row>
    <row r="75" spans="1:18" ht="16" thickBot="1">
      <c r="O75" s="2401" t="s">
        <v>2378</v>
      </c>
      <c r="P75" s="2399" t="str">
        <f>K59</f>
        <v>建设期及建筑物耐用年限下的土地年期修正系数Kn</v>
      </c>
      <c r="Q75" s="2400" t="e">
        <f ca="1">L59</f>
        <v>#DIV/0!</v>
      </c>
      <c r="R75" s="2403" t="s">
        <v>2358</v>
      </c>
    </row>
    <row r="76" spans="1:18" ht="16" thickBot="1">
      <c r="O76" s="2398" t="s">
        <v>2352</v>
      </c>
      <c r="P76" s="2399" t="s">
        <v>2369</v>
      </c>
      <c r="Q76" s="2400">
        <f ca="1">Q66+Q67</f>
        <v>12460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1"/>
  <sheetViews>
    <sheetView workbookViewId="0">
      <selection activeCell="G9" sqref="G9"/>
    </sheetView>
  </sheetViews>
  <sheetFormatPr defaultColWidth="8.81640625" defaultRowHeight="14"/>
  <cols>
    <col min="1" max="2" width="8.81640625" style="1793"/>
    <col min="3" max="3" width="14.6328125" style="1793" bestFit="1" customWidth="1"/>
    <col min="4" max="4" width="11.90625" style="1793" customWidth="1"/>
    <col min="5" max="16384" width="8.81640625" style="1793"/>
  </cols>
  <sheetData>
    <row r="2" spans="2:6">
      <c r="B2" s="3201" t="s">
        <v>3155</v>
      </c>
      <c r="C2" s="1793">
        <v>85000</v>
      </c>
      <c r="D2" s="3201" t="s">
        <v>3154</v>
      </c>
    </row>
    <row r="3" spans="2:6">
      <c r="B3" s="3201" t="s">
        <v>3150</v>
      </c>
      <c r="C3" s="1793">
        <v>70000</v>
      </c>
      <c r="D3" s="3201" t="s">
        <v>3154</v>
      </c>
    </row>
    <row r="4" spans="2:6">
      <c r="B4" s="3201" t="s">
        <v>3151</v>
      </c>
      <c r="C4" s="1793">
        <v>130000</v>
      </c>
      <c r="D4" s="3201" t="s">
        <v>3154</v>
      </c>
    </row>
    <row r="5" spans="2:6">
      <c r="B5" s="3201" t="s">
        <v>3152</v>
      </c>
      <c r="C5" s="1793">
        <v>450</v>
      </c>
      <c r="D5" s="3201" t="s">
        <v>3153</v>
      </c>
      <c r="E5" s="1793">
        <v>500</v>
      </c>
      <c r="F5" s="3201" t="s">
        <v>3157</v>
      </c>
    </row>
    <row r="6" spans="2:6">
      <c r="B6" s="3201" t="s">
        <v>3156</v>
      </c>
      <c r="C6" s="1793">
        <v>33095</v>
      </c>
      <c r="D6" s="3201" t="s">
        <v>3154</v>
      </c>
    </row>
    <row r="9" spans="2:6">
      <c r="B9" s="3201" t="s">
        <v>3158</v>
      </c>
      <c r="C9" s="3202">
        <v>219030.04250000001</v>
      </c>
    </row>
    <row r="10" spans="2:6">
      <c r="B10" s="3201" t="s">
        <v>3159</v>
      </c>
      <c r="C10" s="1793">
        <v>144950</v>
      </c>
    </row>
    <row r="11" spans="2:6">
      <c r="C11" s="3202">
        <f>SUM(C9:C10)</f>
        <v>363980.04249999998</v>
      </c>
    </row>
  </sheetData>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3"/>
  <sheetViews>
    <sheetView workbookViewId="0">
      <selection activeCell="G4" sqref="G4"/>
    </sheetView>
  </sheetViews>
  <sheetFormatPr defaultRowHeight="12"/>
  <cols>
    <col min="1" max="1" width="3.453125" style="3214" customWidth="1"/>
    <col min="2" max="2" width="18.81640625" style="3214" customWidth="1"/>
    <col min="3" max="3" width="8.6328125" style="3214" customWidth="1"/>
    <col min="4" max="4" width="11.26953125" style="3214" customWidth="1"/>
    <col min="5" max="5" width="9.90625" style="3214" customWidth="1"/>
    <col min="6" max="6" width="8.7265625" style="3214"/>
    <col min="7" max="7" width="13.36328125" style="3214" customWidth="1"/>
    <col min="8" max="8" width="12.08984375" style="3214" customWidth="1"/>
    <col min="9" max="9" width="14.6328125" style="3214" customWidth="1"/>
    <col min="10" max="10" width="13.90625" style="3214" customWidth="1"/>
    <col min="11" max="11" width="13.1796875" style="3214" customWidth="1"/>
    <col min="12" max="16384" width="8.7265625" style="3214"/>
  </cols>
  <sheetData>
    <row r="2" spans="2:15">
      <c r="B2" s="3213" t="s">
        <v>2998</v>
      </c>
      <c r="C2" s="3213" t="s">
        <v>2999</v>
      </c>
      <c r="D2" s="3213" t="s">
        <v>3000</v>
      </c>
      <c r="E2" s="3213" t="s">
        <v>3001</v>
      </c>
      <c r="F2" s="3213" t="s">
        <v>3166</v>
      </c>
      <c r="G2" s="3213" t="s">
        <v>3002</v>
      </c>
      <c r="H2" s="3213" t="s">
        <v>1994</v>
      </c>
      <c r="I2" s="3213" t="s">
        <v>3003</v>
      </c>
      <c r="J2" s="3213" t="s">
        <v>3167</v>
      </c>
      <c r="K2" s="3213" t="s">
        <v>3168</v>
      </c>
      <c r="L2" s="3213" t="s">
        <v>3004</v>
      </c>
      <c r="M2" s="3213" t="s">
        <v>3005</v>
      </c>
      <c r="N2" s="3213" t="s">
        <v>3169</v>
      </c>
      <c r="O2" s="3213" t="s">
        <v>3170</v>
      </c>
    </row>
    <row r="3" spans="2:15">
      <c r="B3" s="3213" t="s">
        <v>3171</v>
      </c>
      <c r="C3" s="3213" t="s">
        <v>2971</v>
      </c>
      <c r="D3" s="3213" t="s">
        <v>3007</v>
      </c>
      <c r="E3" s="3213" t="s">
        <v>3008</v>
      </c>
      <c r="F3" s="3213" t="s">
        <v>3172</v>
      </c>
      <c r="G3" s="3213">
        <v>2911.25</v>
      </c>
      <c r="H3" s="3213" t="s">
        <v>3173</v>
      </c>
      <c r="I3" s="3213" t="s">
        <v>3174</v>
      </c>
      <c r="J3" s="3213" t="s">
        <v>3175</v>
      </c>
      <c r="K3" s="3213">
        <v>103200</v>
      </c>
      <c r="L3" s="3213">
        <v>23632.46</v>
      </c>
      <c r="M3" s="3213">
        <v>22098.5</v>
      </c>
      <c r="N3" s="3213">
        <v>0</v>
      </c>
      <c r="O3" s="3213" t="s">
        <v>3176</v>
      </c>
    </row>
    <row r="4" spans="2:15">
      <c r="B4" s="3213" t="s">
        <v>3171</v>
      </c>
      <c r="C4" s="3213" t="s">
        <v>2971</v>
      </c>
      <c r="D4" s="3213" t="s">
        <v>3007</v>
      </c>
      <c r="E4" s="3213" t="s">
        <v>3008</v>
      </c>
      <c r="F4" s="3213" t="s">
        <v>3172</v>
      </c>
      <c r="G4" s="3213">
        <v>3012.5</v>
      </c>
      <c r="H4" s="3213" t="s">
        <v>3177</v>
      </c>
      <c r="I4" s="3213" t="s">
        <v>3174</v>
      </c>
      <c r="J4" s="3213" t="s">
        <v>3178</v>
      </c>
      <c r="K4" s="3213">
        <v>97400</v>
      </c>
      <c r="L4" s="3213">
        <v>21554.63</v>
      </c>
      <c r="M4" s="3213">
        <v>21644.43</v>
      </c>
      <c r="N4" s="3213">
        <v>0</v>
      </c>
      <c r="O4" s="3213" t="s">
        <v>3176</v>
      </c>
    </row>
    <row r="5" spans="2:15">
      <c r="B5" s="3213" t="s">
        <v>3179</v>
      </c>
      <c r="C5" s="3213" t="s">
        <v>2971</v>
      </c>
      <c r="D5" s="3213" t="s">
        <v>3007</v>
      </c>
      <c r="E5" s="3213" t="s">
        <v>3008</v>
      </c>
      <c r="F5" s="3213" t="s">
        <v>3172</v>
      </c>
      <c r="G5" s="3213">
        <v>6872.43</v>
      </c>
      <c r="H5" s="3213" t="s">
        <v>3180</v>
      </c>
      <c r="I5" s="3213" t="s">
        <v>3181</v>
      </c>
      <c r="J5" s="3213" t="s">
        <v>3182</v>
      </c>
      <c r="K5" s="3213">
        <v>216160</v>
      </c>
      <c r="L5" s="3213">
        <v>20968.810000000001</v>
      </c>
      <c r="M5" s="3213">
        <v>23069.360000000001</v>
      </c>
      <c r="N5" s="3213">
        <v>0</v>
      </c>
      <c r="O5" s="3213" t="s">
        <v>3176</v>
      </c>
    </row>
    <row r="6" spans="2:15">
      <c r="B6" s="3215" t="s">
        <v>3006</v>
      </c>
      <c r="C6" s="3215" t="s">
        <v>2971</v>
      </c>
      <c r="D6" s="3215" t="s">
        <v>3007</v>
      </c>
      <c r="E6" s="3215" t="s">
        <v>3008</v>
      </c>
      <c r="F6" s="3215" t="s">
        <v>3172</v>
      </c>
      <c r="G6" s="3215">
        <v>91691.16</v>
      </c>
      <c r="H6" s="3215" t="s">
        <v>3183</v>
      </c>
      <c r="I6" s="3215" t="s">
        <v>3184</v>
      </c>
      <c r="J6" s="3215" t="s">
        <v>3185</v>
      </c>
      <c r="K6" s="3215">
        <v>466000</v>
      </c>
      <c r="L6" s="3215">
        <v>3388.19</v>
      </c>
      <c r="M6" s="3215">
        <v>28030.080000000002</v>
      </c>
      <c r="N6" s="3215">
        <v>0</v>
      </c>
      <c r="O6" s="3215" t="s">
        <v>3176</v>
      </c>
    </row>
    <row r="7" spans="2:15" s="3217" customFormat="1">
      <c r="B7" s="3216" t="s">
        <v>3261</v>
      </c>
      <c r="C7" s="3216" t="s">
        <v>2971</v>
      </c>
      <c r="D7" s="3216" t="s">
        <v>3007</v>
      </c>
      <c r="E7" s="3216" t="s">
        <v>3008</v>
      </c>
      <c r="F7" s="3216" t="s">
        <v>3172</v>
      </c>
      <c r="G7" s="3216">
        <v>15487.41</v>
      </c>
      <c r="H7" s="3216" t="s">
        <v>3186</v>
      </c>
      <c r="I7" s="3216" t="s">
        <v>3187</v>
      </c>
      <c r="J7" s="3216" t="s">
        <v>3188</v>
      </c>
      <c r="K7" s="3216">
        <v>263200</v>
      </c>
      <c r="L7" s="3216">
        <v>11329.63</v>
      </c>
      <c r="M7" s="3216">
        <v>30569.11</v>
      </c>
      <c r="N7" s="3216">
        <v>0</v>
      </c>
      <c r="O7" s="3216" t="s">
        <v>3176</v>
      </c>
    </row>
    <row r="8" spans="2:15" s="3217" customFormat="1">
      <c r="B8" s="3216" t="s">
        <v>3189</v>
      </c>
      <c r="C8" s="3216" t="s">
        <v>2971</v>
      </c>
      <c r="D8" s="3216" t="s">
        <v>3007</v>
      </c>
      <c r="E8" s="3216" t="s">
        <v>3008</v>
      </c>
      <c r="F8" s="3216" t="s">
        <v>3172</v>
      </c>
      <c r="G8" s="3216">
        <v>7353.48</v>
      </c>
      <c r="H8" s="3216" t="s">
        <v>3190</v>
      </c>
      <c r="I8" s="3216" t="s">
        <v>3191</v>
      </c>
      <c r="J8" s="3216" t="s">
        <v>3192</v>
      </c>
      <c r="K8" s="3216">
        <v>121000</v>
      </c>
      <c r="L8" s="3216">
        <v>10969.86</v>
      </c>
      <c r="M8" s="3216">
        <v>25208.33</v>
      </c>
      <c r="N8" s="3216">
        <v>0</v>
      </c>
      <c r="O8" s="3216" t="s">
        <v>3176</v>
      </c>
    </row>
    <row r="9" spans="2:15">
      <c r="B9" s="3213" t="s">
        <v>3015</v>
      </c>
      <c r="C9" s="3213" t="s">
        <v>2971</v>
      </c>
      <c r="D9" s="3213" t="s">
        <v>3007</v>
      </c>
      <c r="E9" s="3213" t="s">
        <v>3008</v>
      </c>
      <c r="F9" s="3213" t="s">
        <v>3172</v>
      </c>
      <c r="G9" s="3213">
        <v>18126.75</v>
      </c>
      <c r="H9" s="3213" t="s">
        <v>3193</v>
      </c>
      <c r="I9" s="3213" t="s">
        <v>3194</v>
      </c>
      <c r="J9" s="3213" t="s">
        <v>3195</v>
      </c>
      <c r="K9" s="3213">
        <v>358900</v>
      </c>
      <c r="L9" s="3213">
        <v>13199.65</v>
      </c>
      <c r="M9" s="3213">
        <v>19400</v>
      </c>
      <c r="N9" s="3213">
        <v>0</v>
      </c>
      <c r="O9" s="3213" t="s">
        <v>3176</v>
      </c>
    </row>
    <row r="10" spans="2:15">
      <c r="B10" s="3213" t="s">
        <v>3196</v>
      </c>
      <c r="C10" s="3213" t="s">
        <v>2971</v>
      </c>
      <c r="D10" s="3213" t="s">
        <v>3007</v>
      </c>
      <c r="E10" s="3213" t="s">
        <v>3033</v>
      </c>
      <c r="F10" s="3213" t="s">
        <v>3172</v>
      </c>
      <c r="G10" s="3213">
        <v>7193.57</v>
      </c>
      <c r="H10" s="3213" t="s">
        <v>3197</v>
      </c>
      <c r="I10" s="3213" t="s">
        <v>3198</v>
      </c>
      <c r="J10" s="3213" t="s">
        <v>3199</v>
      </c>
      <c r="K10" s="3213">
        <v>55800</v>
      </c>
      <c r="L10" s="3213">
        <v>5171.28</v>
      </c>
      <c r="M10" s="3213">
        <v>9695.92</v>
      </c>
      <c r="N10" s="3213">
        <v>0</v>
      </c>
      <c r="O10" s="3213" t="s">
        <v>3176</v>
      </c>
    </row>
    <row r="11" spans="2:15">
      <c r="B11" s="3213" t="s">
        <v>3020</v>
      </c>
      <c r="C11" s="3213" t="s">
        <v>2971</v>
      </c>
      <c r="D11" s="3213" t="s">
        <v>3007</v>
      </c>
      <c r="E11" s="3213" t="s">
        <v>3008</v>
      </c>
      <c r="F11" s="3213" t="s">
        <v>3172</v>
      </c>
      <c r="G11" s="3213">
        <v>8306.0400000000009</v>
      </c>
      <c r="H11" s="3213" t="s">
        <v>3200</v>
      </c>
      <c r="I11" s="3213" t="s">
        <v>3201</v>
      </c>
      <c r="J11" s="3213" t="s">
        <v>3202</v>
      </c>
      <c r="K11" s="3213">
        <v>54200</v>
      </c>
      <c r="L11" s="3213">
        <v>4350.25</v>
      </c>
      <c r="M11" s="3213">
        <v>5313.72</v>
      </c>
      <c r="N11" s="3213">
        <v>0</v>
      </c>
      <c r="O11" s="3213" t="s">
        <v>3176</v>
      </c>
    </row>
    <row r="12" spans="2:15">
      <c r="B12" s="3213" t="s">
        <v>3020</v>
      </c>
      <c r="C12" s="3213" t="s">
        <v>2971</v>
      </c>
      <c r="D12" s="3213" t="s">
        <v>3007</v>
      </c>
      <c r="E12" s="3213" t="s">
        <v>3008</v>
      </c>
      <c r="F12" s="3213" t="s">
        <v>3172</v>
      </c>
      <c r="G12" s="3213">
        <v>7154.55</v>
      </c>
      <c r="H12" s="3213" t="s">
        <v>3203</v>
      </c>
      <c r="I12" s="3213" t="s">
        <v>3204</v>
      </c>
      <c r="J12" s="3213" t="s">
        <v>3205</v>
      </c>
      <c r="K12" s="3213">
        <v>178800</v>
      </c>
      <c r="L12" s="3213">
        <v>16660.73</v>
      </c>
      <c r="M12" s="3213">
        <v>22777.06</v>
      </c>
      <c r="N12" s="3213">
        <v>0</v>
      </c>
      <c r="O12" s="3213" t="s">
        <v>3176</v>
      </c>
    </row>
    <row r="13" spans="2:15" s="3217" customFormat="1">
      <c r="B13" s="3216" t="s">
        <v>3049</v>
      </c>
      <c r="C13" s="3216" t="s">
        <v>2971</v>
      </c>
      <c r="D13" s="3216" t="s">
        <v>3007</v>
      </c>
      <c r="E13" s="3216" t="s">
        <v>3008</v>
      </c>
      <c r="F13" s="3216" t="s">
        <v>3172</v>
      </c>
      <c r="G13" s="3216">
        <v>6616.94</v>
      </c>
      <c r="H13" s="3216" t="s">
        <v>3206</v>
      </c>
      <c r="I13" s="3216" t="s">
        <v>3204</v>
      </c>
      <c r="J13" s="3216" t="s">
        <v>3207</v>
      </c>
      <c r="K13" s="3216">
        <v>175700</v>
      </c>
      <c r="L13" s="3216">
        <v>17702.04</v>
      </c>
      <c r="M13" s="3216">
        <v>25687.13</v>
      </c>
      <c r="N13" s="3216">
        <v>0</v>
      </c>
      <c r="O13" s="3216" t="s">
        <v>3176</v>
      </c>
    </row>
    <row r="14" spans="2:15">
      <c r="B14" s="3213" t="s">
        <v>3022</v>
      </c>
      <c r="C14" s="3213" t="s">
        <v>2971</v>
      </c>
      <c r="D14" s="3213" t="s">
        <v>3007</v>
      </c>
      <c r="E14" s="3213" t="s">
        <v>3008</v>
      </c>
      <c r="F14" s="3213" t="s">
        <v>3172</v>
      </c>
      <c r="G14" s="3213">
        <v>5819.49</v>
      </c>
      <c r="H14" s="3213" t="s">
        <v>3208</v>
      </c>
      <c r="I14" s="3213" t="s">
        <v>3209</v>
      </c>
      <c r="J14" s="3213" t="s">
        <v>3210</v>
      </c>
      <c r="K14" s="3213">
        <v>133800</v>
      </c>
      <c r="L14" s="3213">
        <v>15327.8</v>
      </c>
      <c r="M14" s="3213">
        <v>22620.45</v>
      </c>
      <c r="N14" s="3213">
        <v>0</v>
      </c>
      <c r="O14" s="3213" t="s">
        <v>3176</v>
      </c>
    </row>
    <row r="15" spans="2:15">
      <c r="B15" s="3213" t="s">
        <v>3022</v>
      </c>
      <c r="C15" s="3213" t="s">
        <v>2971</v>
      </c>
      <c r="D15" s="3213" t="s">
        <v>3007</v>
      </c>
      <c r="E15" s="3213" t="s">
        <v>3008</v>
      </c>
      <c r="F15" s="3213" t="s">
        <v>3172</v>
      </c>
      <c r="G15" s="3213">
        <v>5069.5600000000004</v>
      </c>
      <c r="H15" s="3213" t="s">
        <v>3211</v>
      </c>
      <c r="I15" s="3213" t="s">
        <v>3209</v>
      </c>
      <c r="J15" s="3213" t="s">
        <v>3212</v>
      </c>
      <c r="K15" s="3213">
        <v>145500</v>
      </c>
      <c r="L15" s="3213">
        <v>19133.810000000001</v>
      </c>
      <c r="M15" s="3213">
        <v>22384.61</v>
      </c>
      <c r="N15" s="3213">
        <v>0</v>
      </c>
      <c r="O15" s="3213" t="s">
        <v>3176</v>
      </c>
    </row>
    <row r="16" spans="2:15">
      <c r="B16" s="3213" t="s">
        <v>3006</v>
      </c>
      <c r="C16" s="3213" t="s">
        <v>2971</v>
      </c>
      <c r="D16" s="3213" t="s">
        <v>3007</v>
      </c>
      <c r="E16" s="3213" t="s">
        <v>3008</v>
      </c>
      <c r="F16" s="3213" t="s">
        <v>3172</v>
      </c>
      <c r="G16" s="3213">
        <v>3411.73</v>
      </c>
      <c r="H16" s="3213" t="s">
        <v>3009</v>
      </c>
      <c r="I16" s="3213" t="s">
        <v>3010</v>
      </c>
      <c r="J16" s="3213" t="s">
        <v>3213</v>
      </c>
      <c r="K16" s="3213">
        <v>93300</v>
      </c>
      <c r="L16" s="3213">
        <v>18231.22</v>
      </c>
      <c r="M16" s="3213">
        <v>16963.63</v>
      </c>
      <c r="N16" s="3213">
        <v>0</v>
      </c>
      <c r="O16" s="3213" t="s">
        <v>3176</v>
      </c>
    </row>
    <row r="17" spans="2:15">
      <c r="B17" s="3213" t="s">
        <v>3011</v>
      </c>
      <c r="C17" s="3213" t="s">
        <v>2971</v>
      </c>
      <c r="D17" s="3213" t="s">
        <v>3007</v>
      </c>
      <c r="E17" s="3213" t="s">
        <v>3012</v>
      </c>
      <c r="F17" s="3213" t="s">
        <v>3172</v>
      </c>
      <c r="G17" s="3213">
        <v>6131.49</v>
      </c>
      <c r="H17" s="3213" t="s">
        <v>3013</v>
      </c>
      <c r="I17" s="3213" t="s">
        <v>3014</v>
      </c>
      <c r="J17" s="3213" t="s">
        <v>3214</v>
      </c>
      <c r="K17" s="3213">
        <v>82200</v>
      </c>
      <c r="L17" s="3213">
        <v>8937.4699999999993</v>
      </c>
      <c r="M17" s="3213">
        <v>11984.25</v>
      </c>
      <c r="N17" s="3213">
        <v>0</v>
      </c>
      <c r="O17" s="3213" t="s">
        <v>3176</v>
      </c>
    </row>
    <row r="18" spans="2:15">
      <c r="B18" s="3213" t="s">
        <v>3015</v>
      </c>
      <c r="C18" s="3213" t="s">
        <v>2971</v>
      </c>
      <c r="D18" s="3213" t="s">
        <v>3007</v>
      </c>
      <c r="E18" s="3213" t="s">
        <v>3008</v>
      </c>
      <c r="F18" s="3213" t="s">
        <v>3172</v>
      </c>
      <c r="G18" s="3213">
        <v>10376.82</v>
      </c>
      <c r="H18" s="3213" t="s">
        <v>3016</v>
      </c>
      <c r="I18" s="3213" t="s">
        <v>3017</v>
      </c>
      <c r="J18" s="3213" t="s">
        <v>3215</v>
      </c>
      <c r="K18" s="3213">
        <v>555200</v>
      </c>
      <c r="L18" s="3213">
        <v>35669.24</v>
      </c>
      <c r="M18" s="3213">
        <v>19197.79</v>
      </c>
      <c r="N18" s="3213">
        <v>0</v>
      </c>
      <c r="O18" s="3213" t="s">
        <v>3176</v>
      </c>
    </row>
    <row r="19" spans="2:15">
      <c r="B19" s="3213" t="s">
        <v>3015</v>
      </c>
      <c r="C19" s="3213" t="s">
        <v>2971</v>
      </c>
      <c r="D19" s="3213" t="s">
        <v>3007</v>
      </c>
      <c r="E19" s="3213" t="s">
        <v>3008</v>
      </c>
      <c r="F19" s="3213" t="s">
        <v>3172</v>
      </c>
      <c r="G19" s="3213">
        <v>17775.650000000001</v>
      </c>
      <c r="H19" s="3213" t="s">
        <v>2777</v>
      </c>
      <c r="I19" s="3213" t="s">
        <v>3017</v>
      </c>
      <c r="J19" s="3213" t="s">
        <v>3216</v>
      </c>
      <c r="K19" s="3213">
        <v>313700</v>
      </c>
      <c r="L19" s="3213">
        <v>11765.16</v>
      </c>
      <c r="M19" s="3213">
        <v>18784.43</v>
      </c>
      <c r="N19" s="3213">
        <v>0</v>
      </c>
      <c r="O19" s="3213" t="s">
        <v>3176</v>
      </c>
    </row>
    <row r="20" spans="2:15">
      <c r="B20" s="3213" t="s">
        <v>3006</v>
      </c>
      <c r="C20" s="3213" t="s">
        <v>2971</v>
      </c>
      <c r="D20" s="3213" t="s">
        <v>3007</v>
      </c>
      <c r="E20" s="3213" t="s">
        <v>3008</v>
      </c>
      <c r="F20" s="3213" t="s">
        <v>3172</v>
      </c>
      <c r="G20" s="3213">
        <v>16423.900000000001</v>
      </c>
      <c r="H20" s="3213" t="s">
        <v>3018</v>
      </c>
      <c r="I20" s="3213" t="s">
        <v>3019</v>
      </c>
      <c r="J20" s="3213" t="s">
        <v>3217</v>
      </c>
      <c r="K20" s="3213">
        <v>193200</v>
      </c>
      <c r="L20" s="3213">
        <v>7842.23</v>
      </c>
      <c r="M20" s="3213">
        <v>15284.8</v>
      </c>
      <c r="N20" s="3213">
        <v>0</v>
      </c>
      <c r="O20" s="3213" t="s">
        <v>3176</v>
      </c>
    </row>
    <row r="21" spans="2:15">
      <c r="B21" s="3213" t="s">
        <v>3020</v>
      </c>
      <c r="C21" s="3213" t="s">
        <v>2971</v>
      </c>
      <c r="D21" s="3213" t="s">
        <v>3007</v>
      </c>
      <c r="E21" s="3213" t="s">
        <v>3008</v>
      </c>
      <c r="F21" s="3213" t="s">
        <v>3172</v>
      </c>
      <c r="G21" s="3213">
        <v>6229.25</v>
      </c>
      <c r="H21" s="3213">
        <v>13.65</v>
      </c>
      <c r="I21" s="3213" t="s">
        <v>3021</v>
      </c>
      <c r="J21" s="3213" t="s">
        <v>3218</v>
      </c>
      <c r="K21" s="3213">
        <v>145600</v>
      </c>
      <c r="L21" s="3213">
        <v>15582.4</v>
      </c>
      <c r="M21" s="3213">
        <v>16640</v>
      </c>
      <c r="N21" s="3213">
        <v>0</v>
      </c>
      <c r="O21" s="3213" t="s">
        <v>3176</v>
      </c>
    </row>
    <row r="22" spans="2:15">
      <c r="B22" s="3213" t="s">
        <v>3022</v>
      </c>
      <c r="C22" s="3213" t="s">
        <v>2971</v>
      </c>
      <c r="D22" s="3213" t="s">
        <v>3007</v>
      </c>
      <c r="E22" s="3213" t="s">
        <v>3008</v>
      </c>
      <c r="F22" s="3213" t="s">
        <v>3172</v>
      </c>
      <c r="G22" s="3213">
        <v>12071.99</v>
      </c>
      <c r="H22" s="3213">
        <v>11.16</v>
      </c>
      <c r="I22" s="3213" t="s">
        <v>3023</v>
      </c>
      <c r="J22" s="3213" t="s">
        <v>3219</v>
      </c>
      <c r="K22" s="3213">
        <v>250600</v>
      </c>
      <c r="L22" s="3213">
        <v>13839.2</v>
      </c>
      <c r="M22" s="3213">
        <v>19701.25</v>
      </c>
      <c r="N22" s="3213">
        <v>0</v>
      </c>
      <c r="O22" s="3213" t="s">
        <v>3176</v>
      </c>
    </row>
    <row r="23" spans="2:15">
      <c r="B23" s="3213" t="s">
        <v>3024</v>
      </c>
      <c r="C23" s="3213" t="s">
        <v>2971</v>
      </c>
      <c r="D23" s="3213" t="s">
        <v>3007</v>
      </c>
      <c r="E23" s="3213" t="s">
        <v>3008</v>
      </c>
      <c r="F23" s="3213" t="s">
        <v>3172</v>
      </c>
      <c r="G23" s="3213">
        <v>10221.36</v>
      </c>
      <c r="H23" s="3213">
        <v>10.76</v>
      </c>
      <c r="I23" s="3213" t="s">
        <v>3023</v>
      </c>
      <c r="J23" s="3213" t="s">
        <v>3220</v>
      </c>
      <c r="K23" s="3213">
        <v>239100</v>
      </c>
      <c r="L23" s="3213">
        <v>15594.79</v>
      </c>
      <c r="M23" s="3213">
        <v>21736.36</v>
      </c>
      <c r="N23" s="3213">
        <v>0.21</v>
      </c>
      <c r="O23" s="3213" t="s">
        <v>3176</v>
      </c>
    </row>
    <row r="24" spans="2:15">
      <c r="B24" s="3213" t="s">
        <v>3015</v>
      </c>
      <c r="C24" s="3213" t="s">
        <v>2971</v>
      </c>
      <c r="D24" s="3213" t="s">
        <v>3007</v>
      </c>
      <c r="E24" s="3213" t="s">
        <v>3008</v>
      </c>
      <c r="F24" s="3213" t="s">
        <v>3172</v>
      </c>
      <c r="G24" s="3213">
        <v>25126.36</v>
      </c>
      <c r="H24" s="3213" t="s">
        <v>3025</v>
      </c>
      <c r="I24" s="3213" t="s">
        <v>3026</v>
      </c>
      <c r="J24" s="3213" t="s">
        <v>3221</v>
      </c>
      <c r="K24" s="3213">
        <v>261300</v>
      </c>
      <c r="L24" s="3213">
        <v>6932.96</v>
      </c>
      <c r="M24" s="3213">
        <v>16331.25</v>
      </c>
      <c r="N24" s="3213">
        <v>0</v>
      </c>
      <c r="O24" s="3213" t="s">
        <v>3176</v>
      </c>
    </row>
    <row r="25" spans="2:15">
      <c r="B25" s="3213" t="s">
        <v>3015</v>
      </c>
      <c r="C25" s="3213" t="s">
        <v>2971</v>
      </c>
      <c r="D25" s="3213" t="s">
        <v>3007</v>
      </c>
      <c r="E25" s="3213" t="s">
        <v>3008</v>
      </c>
      <c r="F25" s="3213" t="s">
        <v>3172</v>
      </c>
      <c r="G25" s="3213">
        <v>43167.360000000001</v>
      </c>
      <c r="H25" s="3213" t="s">
        <v>3027</v>
      </c>
      <c r="I25" s="3213" t="s">
        <v>3026</v>
      </c>
      <c r="J25" s="3213" t="s">
        <v>3222</v>
      </c>
      <c r="K25" s="3213">
        <v>354200</v>
      </c>
      <c r="L25" s="3213">
        <v>5470.18</v>
      </c>
      <c r="M25" s="3213">
        <v>18652.900000000001</v>
      </c>
      <c r="N25" s="3213">
        <v>0</v>
      </c>
      <c r="O25" s="3213" t="s">
        <v>3176</v>
      </c>
    </row>
    <row r="26" spans="2:15">
      <c r="B26" s="3213" t="s">
        <v>3015</v>
      </c>
      <c r="C26" s="3213" t="s">
        <v>2971</v>
      </c>
      <c r="D26" s="3213" t="s">
        <v>3007</v>
      </c>
      <c r="E26" s="3213" t="s">
        <v>3008</v>
      </c>
      <c r="F26" s="3213" t="s">
        <v>3172</v>
      </c>
      <c r="G26" s="3213">
        <v>25634.91</v>
      </c>
      <c r="H26" s="3213" t="s">
        <v>3028</v>
      </c>
      <c r="I26" s="3213" t="s">
        <v>3026</v>
      </c>
      <c r="J26" s="3213" t="s">
        <v>3223</v>
      </c>
      <c r="K26" s="3213">
        <v>362600</v>
      </c>
      <c r="L26" s="3213">
        <v>9429.85</v>
      </c>
      <c r="M26" s="3213">
        <v>17601.93</v>
      </c>
      <c r="N26" s="3213">
        <v>0</v>
      </c>
      <c r="O26" s="3213" t="s">
        <v>3176</v>
      </c>
    </row>
    <row r="27" spans="2:15">
      <c r="B27" s="3213" t="s">
        <v>3015</v>
      </c>
      <c r="C27" s="3213" t="s">
        <v>2971</v>
      </c>
      <c r="D27" s="3213" t="s">
        <v>3007</v>
      </c>
      <c r="E27" s="3213" t="s">
        <v>3008</v>
      </c>
      <c r="F27" s="3213" t="s">
        <v>3172</v>
      </c>
      <c r="G27" s="3213">
        <v>11911.49</v>
      </c>
      <c r="H27" s="3213" t="s">
        <v>3029</v>
      </c>
      <c r="I27" s="3213" t="s">
        <v>3030</v>
      </c>
      <c r="J27" s="3213" t="s">
        <v>3224</v>
      </c>
      <c r="K27" s="3213">
        <v>197900</v>
      </c>
      <c r="L27" s="3213">
        <v>11076.14</v>
      </c>
      <c r="M27" s="3213">
        <v>18636.400000000001</v>
      </c>
      <c r="N27" s="3213">
        <v>0</v>
      </c>
      <c r="O27" s="3213" t="s">
        <v>3176</v>
      </c>
    </row>
    <row r="28" spans="2:15">
      <c r="B28" s="3213" t="s">
        <v>3015</v>
      </c>
      <c r="C28" s="3213" t="s">
        <v>2971</v>
      </c>
      <c r="D28" s="3213" t="s">
        <v>3007</v>
      </c>
      <c r="E28" s="3213" t="s">
        <v>3008</v>
      </c>
      <c r="F28" s="3213" t="s">
        <v>3172</v>
      </c>
      <c r="G28" s="3213">
        <v>13368.82</v>
      </c>
      <c r="H28" s="3213" t="s">
        <v>3031</v>
      </c>
      <c r="I28" s="3213" t="s">
        <v>3030</v>
      </c>
      <c r="J28" s="3213" t="s">
        <v>3225</v>
      </c>
      <c r="K28" s="3213">
        <v>224700</v>
      </c>
      <c r="L28" s="3213">
        <v>11205.18</v>
      </c>
      <c r="M28" s="3213">
        <v>18725</v>
      </c>
      <c r="N28" s="3213">
        <v>0</v>
      </c>
      <c r="O28" s="3213" t="s">
        <v>3176</v>
      </c>
    </row>
    <row r="29" spans="2:15">
      <c r="B29" s="3213" t="s">
        <v>3032</v>
      </c>
      <c r="C29" s="3213" t="s">
        <v>2971</v>
      </c>
      <c r="D29" s="3213" t="s">
        <v>3007</v>
      </c>
      <c r="E29" s="3213" t="s">
        <v>3033</v>
      </c>
      <c r="F29" s="3213" t="s">
        <v>3172</v>
      </c>
      <c r="G29" s="3213">
        <v>6262.12</v>
      </c>
      <c r="H29" s="3213" t="s">
        <v>3034</v>
      </c>
      <c r="I29" s="3213" t="s">
        <v>3035</v>
      </c>
      <c r="J29" s="3213" t="s">
        <v>3226</v>
      </c>
      <c r="K29" s="3213">
        <v>112200</v>
      </c>
      <c r="L29" s="3213">
        <v>11944.84</v>
      </c>
      <c r="M29" s="3213">
        <v>13783.78</v>
      </c>
      <c r="N29" s="3213">
        <v>0</v>
      </c>
      <c r="O29" s="3213" t="s">
        <v>3176</v>
      </c>
    </row>
    <row r="30" spans="2:15">
      <c r="B30" s="3213" t="s">
        <v>3006</v>
      </c>
      <c r="C30" s="3213" t="s">
        <v>2971</v>
      </c>
      <c r="D30" s="3213" t="s">
        <v>3007</v>
      </c>
      <c r="E30" s="3213" t="s">
        <v>3008</v>
      </c>
      <c r="F30" s="3213" t="s">
        <v>3172</v>
      </c>
      <c r="G30" s="3213">
        <v>12803.03</v>
      </c>
      <c r="H30" s="3213" t="s">
        <v>3036</v>
      </c>
      <c r="I30" s="3213" t="s">
        <v>3037</v>
      </c>
      <c r="J30" s="3213" t="s">
        <v>3227</v>
      </c>
      <c r="K30" s="3213">
        <v>301900</v>
      </c>
      <c r="L30" s="3213">
        <v>15720.24</v>
      </c>
      <c r="M30" s="3213">
        <v>19204.830000000002</v>
      </c>
      <c r="N30" s="3213">
        <v>0</v>
      </c>
      <c r="O30" s="3213" t="s">
        <v>3176</v>
      </c>
    </row>
    <row r="31" spans="2:15">
      <c r="B31" s="3213" t="s">
        <v>3038</v>
      </c>
      <c r="C31" s="3213" t="s">
        <v>2971</v>
      </c>
      <c r="D31" s="3213" t="s">
        <v>3007</v>
      </c>
      <c r="E31" s="3213" t="s">
        <v>3008</v>
      </c>
      <c r="F31" s="3213" t="s">
        <v>3172</v>
      </c>
      <c r="G31" s="3213">
        <v>7477.25</v>
      </c>
      <c r="H31" s="3213" t="s">
        <v>3039</v>
      </c>
      <c r="I31" s="3213" t="s">
        <v>3040</v>
      </c>
      <c r="J31" s="3213" t="s">
        <v>3228</v>
      </c>
      <c r="K31" s="3213">
        <v>133700</v>
      </c>
      <c r="L31" s="3213">
        <v>11920.6</v>
      </c>
      <c r="M31" s="3213">
        <v>29065.22</v>
      </c>
      <c r="N31" s="3213">
        <v>1.52</v>
      </c>
      <c r="O31" s="3213" t="s">
        <v>3176</v>
      </c>
    </row>
    <row r="32" spans="2:15">
      <c r="B32" s="3213" t="s">
        <v>3006</v>
      </c>
      <c r="C32" s="3213" t="s">
        <v>2971</v>
      </c>
      <c r="D32" s="3213" t="s">
        <v>3007</v>
      </c>
      <c r="E32" s="3213" t="s">
        <v>3008</v>
      </c>
      <c r="F32" s="3213" t="s">
        <v>3172</v>
      </c>
      <c r="G32" s="3213">
        <v>5925</v>
      </c>
      <c r="H32" s="3213">
        <v>16</v>
      </c>
      <c r="I32" s="3213" t="s">
        <v>3041</v>
      </c>
      <c r="J32" s="3213" t="s">
        <v>3229</v>
      </c>
      <c r="K32" s="3213">
        <v>181000</v>
      </c>
      <c r="L32" s="3213">
        <v>20365.68</v>
      </c>
      <c r="M32" s="3213">
        <v>19092.830000000002</v>
      </c>
      <c r="N32" s="3213">
        <v>0</v>
      </c>
      <c r="O32" s="3213" t="s">
        <v>3176</v>
      </c>
    </row>
    <row r="33" spans="2:15">
      <c r="B33" s="3213" t="s">
        <v>3015</v>
      </c>
      <c r="C33" s="3213" t="s">
        <v>2971</v>
      </c>
      <c r="D33" s="3213" t="s">
        <v>3007</v>
      </c>
      <c r="E33" s="3213" t="s">
        <v>3008</v>
      </c>
      <c r="F33" s="3213" t="s">
        <v>3172</v>
      </c>
      <c r="G33" s="3213">
        <v>15539.46</v>
      </c>
      <c r="H33" s="3213" t="s">
        <v>3042</v>
      </c>
      <c r="I33" s="3213" t="s">
        <v>3041</v>
      </c>
      <c r="J33" s="3213" t="s">
        <v>3230</v>
      </c>
      <c r="K33" s="3213">
        <v>189100</v>
      </c>
      <c r="L33" s="3213">
        <v>8112.68</v>
      </c>
      <c r="M33" s="3213">
        <v>19697.91</v>
      </c>
      <c r="N33" s="3213">
        <v>0</v>
      </c>
      <c r="O33" s="3213" t="s">
        <v>3176</v>
      </c>
    </row>
    <row r="34" spans="2:15">
      <c r="B34" s="3213" t="s">
        <v>3015</v>
      </c>
      <c r="C34" s="3213" t="s">
        <v>2971</v>
      </c>
      <c r="D34" s="3213" t="s">
        <v>3007</v>
      </c>
      <c r="E34" s="3213" t="s">
        <v>3008</v>
      </c>
      <c r="F34" s="3213" t="s">
        <v>3172</v>
      </c>
      <c r="G34" s="3213">
        <v>33826.129999999997</v>
      </c>
      <c r="H34" s="3213" t="s">
        <v>3043</v>
      </c>
      <c r="I34" s="3213" t="s">
        <v>3041</v>
      </c>
      <c r="J34" s="3213" t="s">
        <v>3231</v>
      </c>
      <c r="K34" s="3213">
        <v>595000</v>
      </c>
      <c r="L34" s="3213">
        <v>11726.63</v>
      </c>
      <c r="M34" s="3213">
        <v>19255.650000000001</v>
      </c>
      <c r="N34" s="3213">
        <v>0</v>
      </c>
      <c r="O34" s="3213" t="s">
        <v>3176</v>
      </c>
    </row>
    <row r="35" spans="2:15">
      <c r="B35" s="3213" t="s">
        <v>3044</v>
      </c>
      <c r="C35" s="3213" t="s">
        <v>2971</v>
      </c>
      <c r="D35" s="3213" t="s">
        <v>3007</v>
      </c>
      <c r="E35" s="3213" t="s">
        <v>3008</v>
      </c>
      <c r="F35" s="3213" t="s">
        <v>3172</v>
      </c>
      <c r="G35" s="3213">
        <v>13675.12</v>
      </c>
      <c r="H35" s="3213">
        <v>4.53</v>
      </c>
      <c r="I35" s="3213" t="s">
        <v>3045</v>
      </c>
      <c r="J35" s="3213" t="s">
        <v>3232</v>
      </c>
      <c r="K35" s="3213">
        <v>186600</v>
      </c>
      <c r="L35" s="3213">
        <v>9096.81</v>
      </c>
      <c r="M35" s="3213">
        <v>30096.77</v>
      </c>
      <c r="N35" s="3213">
        <v>0.27</v>
      </c>
      <c r="O35" s="3213" t="s">
        <v>3176</v>
      </c>
    </row>
    <row r="36" spans="2:15">
      <c r="B36" s="3213" t="s">
        <v>3046</v>
      </c>
      <c r="C36" s="3213" t="s">
        <v>2971</v>
      </c>
      <c r="D36" s="3213" t="s">
        <v>3007</v>
      </c>
      <c r="E36" s="3213" t="s">
        <v>3008</v>
      </c>
      <c r="F36" s="3213" t="s">
        <v>3172</v>
      </c>
      <c r="G36" s="3213">
        <v>19262.18</v>
      </c>
      <c r="H36" s="3213">
        <v>6.54</v>
      </c>
      <c r="I36" s="3213" t="s">
        <v>3045</v>
      </c>
      <c r="J36" s="3213" t="s">
        <v>3233</v>
      </c>
      <c r="K36" s="3213">
        <v>302000</v>
      </c>
      <c r="L36" s="3213">
        <v>10452.26</v>
      </c>
      <c r="M36" s="3213">
        <v>27207.200000000001</v>
      </c>
      <c r="N36" s="3213">
        <v>0</v>
      </c>
      <c r="O36" s="3213" t="s">
        <v>3176</v>
      </c>
    </row>
    <row r="37" spans="2:15">
      <c r="B37" s="3213" t="s">
        <v>3044</v>
      </c>
      <c r="C37" s="3213" t="s">
        <v>2971</v>
      </c>
      <c r="D37" s="3213" t="s">
        <v>3007</v>
      </c>
      <c r="E37" s="3213" t="s">
        <v>3008</v>
      </c>
      <c r="F37" s="3213" t="s">
        <v>3172</v>
      </c>
      <c r="G37" s="3213">
        <v>12495.87</v>
      </c>
      <c r="H37" s="3213" t="s">
        <v>3047</v>
      </c>
      <c r="I37" s="3213" t="s">
        <v>3048</v>
      </c>
      <c r="J37" s="3213" t="s">
        <v>3234</v>
      </c>
      <c r="K37" s="3213">
        <v>167000</v>
      </c>
      <c r="L37" s="3213">
        <v>8909.61</v>
      </c>
      <c r="M37" s="3213">
        <v>29821.43</v>
      </c>
      <c r="N37" s="3213">
        <v>0.3</v>
      </c>
      <c r="O37" s="3213" t="s">
        <v>3176</v>
      </c>
    </row>
    <row r="38" spans="2:15">
      <c r="B38" s="3213" t="s">
        <v>3049</v>
      </c>
      <c r="C38" s="3213" t="s">
        <v>2971</v>
      </c>
      <c r="D38" s="3213" t="s">
        <v>3007</v>
      </c>
      <c r="E38" s="3213" t="s">
        <v>3008</v>
      </c>
      <c r="F38" s="3213" t="s">
        <v>3172</v>
      </c>
      <c r="G38" s="3213">
        <v>6571.61</v>
      </c>
      <c r="H38" s="3213" t="s">
        <v>3050</v>
      </c>
      <c r="I38" s="3213" t="s">
        <v>3048</v>
      </c>
      <c r="J38" s="3213" t="s">
        <v>3235</v>
      </c>
      <c r="K38" s="3213">
        <v>174500</v>
      </c>
      <c r="L38" s="3213">
        <v>17702.41</v>
      </c>
      <c r="M38" s="3213">
        <v>26624.95</v>
      </c>
      <c r="N38" s="3213">
        <v>0.28999999999999998</v>
      </c>
      <c r="O38" s="3213" t="s">
        <v>3176</v>
      </c>
    </row>
    <row r="39" spans="2:15">
      <c r="B39" s="3213" t="s">
        <v>3051</v>
      </c>
      <c r="C39" s="3213" t="s">
        <v>2971</v>
      </c>
      <c r="D39" s="3213" t="s">
        <v>3007</v>
      </c>
      <c r="E39" s="3213" t="s">
        <v>3008</v>
      </c>
      <c r="F39" s="3213" t="s">
        <v>3172</v>
      </c>
      <c r="G39" s="3213">
        <v>18218.36</v>
      </c>
      <c r="H39" s="3213" t="s">
        <v>3052</v>
      </c>
      <c r="I39" s="3213" t="s">
        <v>3053</v>
      </c>
      <c r="J39" s="3213" t="s">
        <v>3236</v>
      </c>
      <c r="K39" s="3213">
        <v>420720</v>
      </c>
      <c r="L39" s="3213">
        <v>15395.46</v>
      </c>
      <c r="M39" s="3213">
        <v>24748.240000000002</v>
      </c>
      <c r="N39" s="3213">
        <v>0</v>
      </c>
      <c r="O39" s="3213" t="s">
        <v>3176</v>
      </c>
    </row>
    <row r="40" spans="2:15">
      <c r="B40" s="3213" t="s">
        <v>3049</v>
      </c>
      <c r="C40" s="3213" t="s">
        <v>2971</v>
      </c>
      <c r="D40" s="3213" t="s">
        <v>3007</v>
      </c>
      <c r="E40" s="3213" t="s">
        <v>3008</v>
      </c>
      <c r="F40" s="3213" t="s">
        <v>3172</v>
      </c>
      <c r="G40" s="3213">
        <v>6262.81</v>
      </c>
      <c r="H40" s="3213" t="s">
        <v>3054</v>
      </c>
      <c r="I40" s="3213" t="s">
        <v>3055</v>
      </c>
      <c r="J40" s="3213" t="s">
        <v>3237</v>
      </c>
      <c r="K40" s="3213">
        <v>174500</v>
      </c>
      <c r="L40" s="3213">
        <v>18575.259999999998</v>
      </c>
      <c r="M40" s="3213">
        <v>26044.77</v>
      </c>
      <c r="N40" s="3213">
        <v>0</v>
      </c>
      <c r="O40" s="3213" t="s">
        <v>3176</v>
      </c>
    </row>
    <row r="41" spans="2:15">
      <c r="B41" s="3213" t="s">
        <v>3049</v>
      </c>
      <c r="C41" s="3213" t="s">
        <v>2971</v>
      </c>
      <c r="D41" s="3213" t="s">
        <v>3007</v>
      </c>
      <c r="E41" s="3213" t="s">
        <v>3008</v>
      </c>
      <c r="F41" s="3213" t="s">
        <v>3172</v>
      </c>
      <c r="G41" s="3213">
        <v>5454.94</v>
      </c>
      <c r="H41" s="3213" t="s">
        <v>3056</v>
      </c>
      <c r="I41" s="3213" t="s">
        <v>3055</v>
      </c>
      <c r="J41" s="3213" t="s">
        <v>3238</v>
      </c>
      <c r="K41" s="3213">
        <v>162500</v>
      </c>
      <c r="L41" s="3213">
        <v>19859.669999999998</v>
      </c>
      <c r="M41" s="3213">
        <v>26209.68</v>
      </c>
      <c r="N41" s="3213">
        <v>0</v>
      </c>
      <c r="O41" s="3213" t="s">
        <v>3176</v>
      </c>
    </row>
    <row r="42" spans="2:15">
      <c r="B42" s="3213" t="s">
        <v>3006</v>
      </c>
      <c r="C42" s="3213" t="s">
        <v>2971</v>
      </c>
      <c r="D42" s="3213" t="s">
        <v>3007</v>
      </c>
      <c r="E42" s="3213" t="s">
        <v>3008</v>
      </c>
      <c r="F42" s="3213" t="s">
        <v>3172</v>
      </c>
      <c r="G42" s="3213">
        <v>29768.12</v>
      </c>
      <c r="H42" s="3213">
        <v>8.73</v>
      </c>
      <c r="I42" s="3213" t="s">
        <v>3057</v>
      </c>
      <c r="J42" s="3213" t="s">
        <v>3239</v>
      </c>
      <c r="K42" s="3213">
        <v>526600</v>
      </c>
      <c r="L42" s="3213">
        <v>11793.38</v>
      </c>
      <c r="M42" s="3213">
        <v>25232.38</v>
      </c>
      <c r="N42" s="3213">
        <v>0</v>
      </c>
      <c r="O42" s="3213" t="s">
        <v>3176</v>
      </c>
    </row>
    <row r="43" spans="2:15">
      <c r="B43" s="3213" t="s">
        <v>3058</v>
      </c>
      <c r="C43" s="3213" t="s">
        <v>2971</v>
      </c>
      <c r="D43" s="3213" t="s">
        <v>3007</v>
      </c>
      <c r="E43" s="3213" t="s">
        <v>3008</v>
      </c>
      <c r="F43" s="3213" t="s">
        <v>3172</v>
      </c>
      <c r="G43" s="3213">
        <v>8013.03</v>
      </c>
      <c r="H43" s="3213">
        <v>8</v>
      </c>
      <c r="I43" s="3213" t="s">
        <v>3059</v>
      </c>
      <c r="J43" s="3213" t="s">
        <v>3240</v>
      </c>
      <c r="K43" s="3213">
        <v>98101</v>
      </c>
      <c r="L43" s="3213">
        <v>8161.79</v>
      </c>
      <c r="M43" s="3213">
        <v>14014.43</v>
      </c>
      <c r="N43" s="3213">
        <v>0</v>
      </c>
      <c r="O43" s="3213" t="s">
        <v>3176</v>
      </c>
    </row>
    <row r="44" spans="2:15">
      <c r="B44" s="3213" t="s">
        <v>3006</v>
      </c>
      <c r="C44" s="3213" t="s">
        <v>2971</v>
      </c>
      <c r="D44" s="3213" t="s">
        <v>3007</v>
      </c>
      <c r="E44" s="3213" t="s">
        <v>3008</v>
      </c>
      <c r="F44" s="3213" t="s">
        <v>3172</v>
      </c>
      <c r="G44" s="3213">
        <v>3610.13</v>
      </c>
      <c r="H44" s="3213">
        <v>16.95</v>
      </c>
      <c r="I44" s="3213" t="s">
        <v>3060</v>
      </c>
      <c r="J44" s="3213" t="s">
        <v>3241</v>
      </c>
      <c r="K44" s="3213">
        <v>129600</v>
      </c>
      <c r="L44" s="3213">
        <v>23932.66</v>
      </c>
      <c r="M44" s="3213">
        <v>21176.47</v>
      </c>
      <c r="N44" s="3213">
        <v>0</v>
      </c>
      <c r="O44" s="3213" t="s">
        <v>3176</v>
      </c>
    </row>
    <row r="45" spans="2:15">
      <c r="B45" s="3213" t="s">
        <v>3061</v>
      </c>
      <c r="C45" s="3213" t="s">
        <v>2971</v>
      </c>
      <c r="D45" s="3213" t="s">
        <v>3007</v>
      </c>
      <c r="E45" s="3213" t="s">
        <v>3033</v>
      </c>
      <c r="F45" s="3213" t="s">
        <v>3242</v>
      </c>
      <c r="G45" s="3213">
        <v>6941.25</v>
      </c>
      <c r="H45" s="3213" t="s">
        <v>3062</v>
      </c>
      <c r="I45" s="3213" t="s">
        <v>3063</v>
      </c>
      <c r="J45" s="3213" t="s">
        <v>3243</v>
      </c>
      <c r="K45" s="3213">
        <v>45800</v>
      </c>
      <c r="L45" s="3213">
        <v>4398.82</v>
      </c>
      <c r="M45" s="3213">
        <v>77758.91</v>
      </c>
      <c r="N45" s="3213">
        <v>121.26</v>
      </c>
      <c r="O45" s="3213" t="s">
        <v>3176</v>
      </c>
    </row>
    <row r="46" spans="2:15">
      <c r="B46" s="3213" t="s">
        <v>3064</v>
      </c>
      <c r="C46" s="3213" t="s">
        <v>2971</v>
      </c>
      <c r="D46" s="3213" t="s">
        <v>3007</v>
      </c>
      <c r="E46" s="3213" t="s">
        <v>3008</v>
      </c>
      <c r="F46" s="3213" t="s">
        <v>3172</v>
      </c>
      <c r="G46" s="3213">
        <v>32485.15</v>
      </c>
      <c r="H46" s="3213" t="s">
        <v>3065</v>
      </c>
      <c r="I46" s="3213" t="s">
        <v>3066</v>
      </c>
      <c r="J46" s="3213" t="s">
        <v>3188</v>
      </c>
      <c r="K46" s="3213">
        <v>386000</v>
      </c>
      <c r="L46" s="3213">
        <v>7921.57</v>
      </c>
      <c r="M46" s="3213">
        <v>19794.86</v>
      </c>
      <c r="N46" s="3213">
        <v>22.54</v>
      </c>
      <c r="O46" s="3213" t="s">
        <v>3176</v>
      </c>
    </row>
    <row r="47" spans="2:15">
      <c r="B47" s="3213" t="s">
        <v>3067</v>
      </c>
      <c r="C47" s="3213" t="s">
        <v>2971</v>
      </c>
      <c r="D47" s="3213" t="s">
        <v>3007</v>
      </c>
      <c r="E47" s="3213" t="s">
        <v>3008</v>
      </c>
      <c r="F47" s="3213" t="s">
        <v>3242</v>
      </c>
      <c r="G47" s="3213">
        <v>6267.15</v>
      </c>
      <c r="H47" s="3213" t="s">
        <v>3068</v>
      </c>
      <c r="I47" s="3213" t="s">
        <v>3069</v>
      </c>
      <c r="J47" s="3213" t="s">
        <v>3244</v>
      </c>
      <c r="K47" s="3213">
        <v>70000</v>
      </c>
      <c r="L47" s="3213">
        <v>7446.23</v>
      </c>
      <c r="M47" s="3213">
        <v>20000</v>
      </c>
      <c r="N47" s="3213">
        <v>19.66</v>
      </c>
      <c r="O47" s="3213" t="s">
        <v>3176</v>
      </c>
    </row>
    <row r="48" spans="2:15">
      <c r="B48" s="3213" t="s">
        <v>3067</v>
      </c>
      <c r="C48" s="3213" t="s">
        <v>2971</v>
      </c>
      <c r="D48" s="3213" t="s">
        <v>3007</v>
      </c>
      <c r="E48" s="3213" t="s">
        <v>3008</v>
      </c>
      <c r="F48" s="3213" t="s">
        <v>3242</v>
      </c>
      <c r="G48" s="3213">
        <v>6118.8</v>
      </c>
      <c r="H48" s="3213" t="s">
        <v>3070</v>
      </c>
      <c r="I48" s="3213" t="s">
        <v>3069</v>
      </c>
      <c r="J48" s="3213" t="s">
        <v>3245</v>
      </c>
      <c r="K48" s="3213">
        <v>132000</v>
      </c>
      <c r="L48" s="3213">
        <v>14381.9</v>
      </c>
      <c r="M48" s="3213">
        <v>17368.41</v>
      </c>
      <c r="N48" s="3213">
        <v>9</v>
      </c>
      <c r="O48" s="3213" t="s">
        <v>3176</v>
      </c>
    </row>
    <row r="49" spans="2:15">
      <c r="B49" s="3213" t="s">
        <v>3067</v>
      </c>
      <c r="C49" s="3213" t="s">
        <v>2971</v>
      </c>
      <c r="D49" s="3213" t="s">
        <v>3007</v>
      </c>
      <c r="E49" s="3213" t="s">
        <v>3008</v>
      </c>
      <c r="F49" s="3213" t="s">
        <v>3242</v>
      </c>
      <c r="G49" s="3213">
        <v>5277.75</v>
      </c>
      <c r="H49" s="3213" t="s">
        <v>3071</v>
      </c>
      <c r="I49" s="3213" t="s">
        <v>3069</v>
      </c>
      <c r="J49" s="3213" t="s">
        <v>3246</v>
      </c>
      <c r="K49" s="3213">
        <v>106000</v>
      </c>
      <c r="L49" s="3213">
        <v>13389.54</v>
      </c>
      <c r="M49" s="3213">
        <v>19629.63</v>
      </c>
      <c r="N49" s="3213">
        <v>20.87</v>
      </c>
      <c r="O49" s="3213" t="s">
        <v>3176</v>
      </c>
    </row>
    <row r="50" spans="2:15">
      <c r="B50" s="3213" t="s">
        <v>3067</v>
      </c>
      <c r="C50" s="3213" t="s">
        <v>2971</v>
      </c>
      <c r="D50" s="3213" t="s">
        <v>3007</v>
      </c>
      <c r="E50" s="3213" t="s">
        <v>3008</v>
      </c>
      <c r="F50" s="3213" t="s">
        <v>3242</v>
      </c>
      <c r="G50" s="3213">
        <v>5776.77</v>
      </c>
      <c r="H50" s="3213" t="s">
        <v>3072</v>
      </c>
      <c r="I50" s="3213" t="s">
        <v>3069</v>
      </c>
      <c r="J50" s="3213" t="s">
        <v>3247</v>
      </c>
      <c r="K50" s="3213">
        <v>71000</v>
      </c>
      <c r="L50" s="3213">
        <v>8193.74</v>
      </c>
      <c r="M50" s="3213">
        <v>20285.7</v>
      </c>
      <c r="N50" s="3213">
        <v>22.84</v>
      </c>
      <c r="O50" s="3213" t="s">
        <v>3176</v>
      </c>
    </row>
    <row r="51" spans="2:15">
      <c r="B51" s="3213" t="s">
        <v>3073</v>
      </c>
      <c r="C51" s="3213" t="s">
        <v>2971</v>
      </c>
      <c r="D51" s="3213" t="s">
        <v>3007</v>
      </c>
      <c r="E51" s="3213" t="s">
        <v>3008</v>
      </c>
      <c r="F51" s="3213" t="s">
        <v>3242</v>
      </c>
      <c r="G51" s="3213">
        <v>24317.22</v>
      </c>
      <c r="H51" s="3213" t="s">
        <v>3074</v>
      </c>
      <c r="I51" s="3213" t="s">
        <v>3075</v>
      </c>
      <c r="J51" s="3213" t="s">
        <v>3248</v>
      </c>
      <c r="K51" s="3213">
        <v>157401</v>
      </c>
      <c r="L51" s="3213">
        <v>4315.21</v>
      </c>
      <c r="M51" s="3213">
        <v>9151.2099999999991</v>
      </c>
      <c r="N51" s="3213">
        <v>0</v>
      </c>
      <c r="O51" s="3213" t="s">
        <v>3176</v>
      </c>
    </row>
    <row r="52" spans="2:15">
      <c r="B52" s="3213" t="s">
        <v>3076</v>
      </c>
      <c r="C52" s="3213" t="s">
        <v>2971</v>
      </c>
      <c r="D52" s="3213" t="s">
        <v>3007</v>
      </c>
      <c r="E52" s="3213" t="s">
        <v>3008</v>
      </c>
      <c r="F52" s="3213" t="s">
        <v>3242</v>
      </c>
      <c r="G52" s="3213">
        <v>15062.57</v>
      </c>
      <c r="H52" s="3213" t="s">
        <v>3077</v>
      </c>
      <c r="I52" s="3213" t="s">
        <v>3075</v>
      </c>
      <c r="J52" s="3213" t="s">
        <v>3249</v>
      </c>
      <c r="K52" s="3213">
        <v>64613</v>
      </c>
      <c r="L52" s="3213">
        <v>2859.76</v>
      </c>
      <c r="M52" s="3213">
        <v>8076.61</v>
      </c>
      <c r="N52" s="3213">
        <v>0</v>
      </c>
      <c r="O52" s="3213" t="s">
        <v>3176</v>
      </c>
    </row>
    <row r="53" spans="2:15">
      <c r="C53" s="3215"/>
      <c r="D53" s="3215"/>
      <c r="E53" s="3215"/>
      <c r="F53" s="3215"/>
      <c r="G53" s="3215"/>
      <c r="H53" s="3215"/>
      <c r="I53" s="3215"/>
      <c r="J53" s="3215"/>
      <c r="K53" s="3215"/>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L33" sqref="L33"/>
    </sheetView>
  </sheetViews>
  <sheetFormatPr defaultRowHeight="14"/>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4"/>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topLeftCell="C1" workbookViewId="0">
      <selection activeCell="G22" sqref="G22"/>
    </sheetView>
  </sheetViews>
  <sheetFormatPr defaultRowHeight="14"/>
  <sheetData>
    <row r="2" spans="2:13">
      <c r="B2" s="3195" t="s">
        <v>3105</v>
      </c>
      <c r="M2" s="3195" t="s">
        <v>3106</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224" t="s">
        <v>2000</v>
      </c>
      <c r="B1" s="3224"/>
      <c r="C1" s="3224"/>
      <c r="D1" s="3224"/>
      <c r="E1" s="3224"/>
      <c r="F1" s="3224"/>
      <c r="G1" s="3224"/>
      <c r="H1" s="3224"/>
      <c r="I1" s="3224"/>
      <c r="J1" s="3224"/>
      <c r="K1" s="3224"/>
      <c r="L1" s="3224"/>
      <c r="M1" s="3224"/>
      <c r="N1" s="3224"/>
      <c r="O1" s="3224"/>
      <c r="P1" s="3224"/>
      <c r="Q1" s="3224"/>
      <c r="R1" s="3224"/>
    </row>
    <row r="2" spans="1:18">
      <c r="A2" s="1807" t="s">
        <v>2002</v>
      </c>
      <c r="B2" s="1807"/>
      <c r="C2" s="1807"/>
      <c r="D2" s="1807"/>
      <c r="E2" s="1807"/>
      <c r="F2" s="1807"/>
      <c r="G2" s="1807"/>
      <c r="H2" s="1807"/>
      <c r="I2" s="1808"/>
      <c r="J2" s="1808"/>
      <c r="K2" s="1809" t="str">
        <f>"估价期日："&amp;TEXT(项目基本情况!D3,"yyyy年m月d日;;")</f>
        <v>估价期日：2020年3月9日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5" t="s">
        <v>1991</v>
      </c>
      <c r="B3" s="3225" t="s">
        <v>2690</v>
      </c>
      <c r="C3" s="3226" t="s">
        <v>1992</v>
      </c>
      <c r="D3" s="3225" t="s">
        <v>2694</v>
      </c>
      <c r="E3" s="3220" t="s">
        <v>1993</v>
      </c>
      <c r="F3" s="3220"/>
      <c r="G3" s="3220"/>
      <c r="H3" s="3220" t="s">
        <v>1994</v>
      </c>
      <c r="I3" s="3220"/>
      <c r="J3" s="3220"/>
      <c r="K3" s="3226" t="s">
        <v>1995</v>
      </c>
      <c r="L3" s="3226" t="s">
        <v>1996</v>
      </c>
      <c r="M3" s="3225" t="s">
        <v>2691</v>
      </c>
      <c r="N3" s="3227" t="str">
        <f>"（分摊）"&amp;项目基本情况!B16&amp;"国有建设用地使用权面积/㎡"</f>
        <v>（分摊）出让国有建设用地使用权面积/㎡</v>
      </c>
      <c r="O3" s="3225" t="s">
        <v>2025</v>
      </c>
      <c r="P3" s="3226" t="s">
        <v>2005</v>
      </c>
      <c r="Q3" s="3226" t="s">
        <v>2026</v>
      </c>
      <c r="R3" s="3226" t="s">
        <v>1997</v>
      </c>
    </row>
    <row r="4" spans="1:18" ht="36.75" customHeight="1">
      <c r="A4" s="3225"/>
      <c r="B4" s="3225"/>
      <c r="C4" s="3226"/>
      <c r="D4" s="3225"/>
      <c r="E4" s="2649" t="s">
        <v>2004</v>
      </c>
      <c r="F4" s="2649" t="s">
        <v>2703</v>
      </c>
      <c r="G4" s="2649" t="s">
        <v>1998</v>
      </c>
      <c r="H4" s="2649" t="s">
        <v>1999</v>
      </c>
      <c r="I4" s="2649" t="s">
        <v>2704</v>
      </c>
      <c r="J4" s="2649" t="s">
        <v>1998</v>
      </c>
      <c r="K4" s="3226"/>
      <c r="L4" s="3226"/>
      <c r="M4" s="3225"/>
      <c r="N4" s="3227"/>
      <c r="O4" s="3225"/>
      <c r="P4" s="3226"/>
      <c r="Q4" s="3226"/>
      <c r="R4" s="3226"/>
    </row>
    <row r="5" spans="1:18" ht="135" customHeight="1">
      <c r="A5" s="1943" t="s">
        <v>2614</v>
      </c>
      <c r="B5" s="2867" t="s">
        <v>2612</v>
      </c>
      <c r="C5" s="2648">
        <v>22</v>
      </c>
      <c r="D5" s="2647" t="s">
        <v>2613</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124364.83</v>
      </c>
      <c r="P5" s="1810">
        <f ca="1">结果表!E42</f>
        <v>417919</v>
      </c>
      <c r="Q5" s="1810">
        <f ca="1">结果表!D42</f>
        <v>35027</v>
      </c>
      <c r="R5" s="1811">
        <f ca="1">结果表!C42</f>
        <v>435607</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2">
        <f ca="1">结果表!O39</f>
        <v>435607</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2"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topLeftCell="A13" workbookViewId="0">
      <selection activeCell="K24" sqref="K24"/>
    </sheetView>
  </sheetViews>
  <sheetFormatPr defaultRowHeight="14"/>
  <sheetData>
    <row r="3" spans="2:15">
      <c r="B3" s="3195" t="s">
        <v>3109</v>
      </c>
      <c r="O3" s="3195" t="s">
        <v>3110</v>
      </c>
    </row>
    <row r="22" spans="4:8">
      <c r="E22" s="3194" t="s">
        <v>3117</v>
      </c>
      <c r="F22" s="3194" t="s">
        <v>3118</v>
      </c>
      <c r="G22" s="3194" t="s">
        <v>3120</v>
      </c>
    </row>
    <row r="23" spans="4:8">
      <c r="D23" s="3194" t="s">
        <v>3111</v>
      </c>
      <c r="E23">
        <v>130000</v>
      </c>
      <c r="F23">
        <v>1</v>
      </c>
      <c r="G23">
        <v>26</v>
      </c>
      <c r="H23">
        <f ca="1">H29*5/SUM(F23:F27)</f>
        <v>134867.14285714287</v>
      </c>
    </row>
    <row r="24" spans="4:8">
      <c r="D24" s="3194" t="s">
        <v>3112</v>
      </c>
      <c r="E24">
        <f>$E$23*F24</f>
        <v>91000</v>
      </c>
      <c r="F24">
        <v>0.7</v>
      </c>
      <c r="G24">
        <f>$G$23*F24</f>
        <v>18.2</v>
      </c>
      <c r="H24">
        <f ca="1">H23*F24</f>
        <v>94407</v>
      </c>
    </row>
    <row r="25" spans="4:8">
      <c r="D25" s="3194" t="s">
        <v>3113</v>
      </c>
      <c r="E25">
        <f t="shared" ref="E25:E27" si="0">$E$23*F25</f>
        <v>78000</v>
      </c>
      <c r="F25">
        <v>0.6</v>
      </c>
      <c r="G25">
        <f t="shared" ref="G25:G28" si="1">$G$23*F25</f>
        <v>15.6</v>
      </c>
      <c r="H25">
        <f ca="1">H23*F25</f>
        <v>80920.285714285725</v>
      </c>
    </row>
    <row r="26" spans="4:8">
      <c r="D26" s="3194" t="s">
        <v>3114</v>
      </c>
      <c r="E26">
        <f t="shared" si="0"/>
        <v>78000</v>
      </c>
      <c r="F26">
        <v>0.6</v>
      </c>
      <c r="G26">
        <f t="shared" si="1"/>
        <v>15.6</v>
      </c>
      <c r="H26">
        <f ca="1">H23*F26</f>
        <v>80920.285714285725</v>
      </c>
    </row>
    <row r="27" spans="4:8">
      <c r="D27" s="3194" t="s">
        <v>3115</v>
      </c>
      <c r="E27">
        <f t="shared" si="0"/>
        <v>78000</v>
      </c>
      <c r="F27">
        <v>0.6</v>
      </c>
      <c r="G27">
        <f t="shared" si="1"/>
        <v>15.6</v>
      </c>
      <c r="H27">
        <f ca="1">H26</f>
        <v>80920.285714285725</v>
      </c>
    </row>
    <row r="28" spans="4:8">
      <c r="D28" s="3194" t="s">
        <v>3116</v>
      </c>
      <c r="G28">
        <f t="shared" si="1"/>
        <v>0</v>
      </c>
    </row>
    <row r="29" spans="4:8">
      <c r="D29" s="3194" t="s">
        <v>3121</v>
      </c>
      <c r="E29">
        <f>AVERAGE(E23:E28)</f>
        <v>91000</v>
      </c>
      <c r="G29">
        <f>AVERAGE(G23:G27)</f>
        <v>18.2</v>
      </c>
      <c r="H29">
        <f ca="1">'剩余法-待开发'!C8</f>
        <v>94407</v>
      </c>
    </row>
    <row r="31" spans="4:8">
      <c r="D31" s="3194" t="s">
        <v>3119</v>
      </c>
      <c r="E31">
        <f>E23*F31</f>
        <v>91000</v>
      </c>
      <c r="F31">
        <v>0.7</v>
      </c>
      <c r="G31">
        <f>ROUND(G23*F31,0)</f>
        <v>18</v>
      </c>
      <c r="H31">
        <f ca="1">H23*F31</f>
        <v>94407</v>
      </c>
    </row>
  </sheetData>
  <phoneticPr fontId="232"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P6" sqref="P6"/>
    </sheetView>
  </sheetViews>
  <sheetFormatPr defaultRowHeight="14"/>
  <sheetData>
    <row r="3" spans="2:2">
      <c r="B3" s="3195" t="s">
        <v>3108</v>
      </c>
    </row>
  </sheetData>
  <phoneticPr fontId="23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3" sqref="N13"/>
    </sheetView>
  </sheetViews>
  <sheetFormatPr defaultRowHeight="14"/>
  <sheetData/>
  <phoneticPr fontId="2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802" customWidth="1"/>
    <col min="2" max="3" width="21.36328125" style="1802" customWidth="1"/>
    <col min="4" max="4" width="19.90625" style="1802" customWidth="1"/>
    <col min="5" max="16384" width="9" style="1802"/>
  </cols>
  <sheetData>
    <row r="1" spans="1:4">
      <c r="A1" s="3228" t="s">
        <v>2027</v>
      </c>
      <c r="B1" s="3228"/>
      <c r="C1" s="3228"/>
      <c r="D1" s="3228"/>
    </row>
    <row r="2" spans="1:4" ht="47.25" customHeight="1">
      <c r="A2" s="3232" t="str">
        <f>"1.权利限制："&amp;项目基本情况!L24&amp;"未设定租赁等其他他项权利。"</f>
        <v>1.权利限制：根据估价对象《不动产权证书》——、《国有土地使用权》——，截至估价期日，估价对象抵押权未见登记。未设定租赁等其他他项权利。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3.估价规划限制条件：详见《建设用地规划许可证》。</v>
      </c>
      <c r="B4" s="3228"/>
      <c r="C4" s="3228"/>
      <c r="D4" s="3228"/>
    </row>
    <row r="5" spans="1:4">
      <c r="A5" s="3231" t="s">
        <v>2028</v>
      </c>
      <c r="B5" s="3231"/>
      <c r="C5" s="3231"/>
      <c r="D5" s="3231"/>
    </row>
    <row r="6" spans="1:4">
      <c r="A6" s="3228" t="s">
        <v>2006</v>
      </c>
      <c r="B6" s="3228"/>
      <c r="C6" s="3228"/>
      <c r="D6" s="3228"/>
    </row>
    <row r="7" spans="1:4" ht="33" customHeight="1">
      <c r="A7" s="3228" t="s">
        <v>2534</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（1）根据估价对象《不动产权证书》——、《国有土地使用权》——，截至估价期日，估价对象抵押权未见登记。</v>
      </c>
      <c r="B11" s="3230"/>
      <c r="C11" s="3230"/>
      <c r="D11" s="3230"/>
    </row>
    <row r="12" spans="1:4" ht="168" customHeight="1">
      <c r="A12" s="3231" t="s">
        <v>2030</v>
      </c>
      <c r="B12" s="3231"/>
      <c r="C12" s="3231"/>
      <c r="D12" s="3231"/>
    </row>
    <row r="13" spans="1:4">
      <c r="A13" s="3229" t="s">
        <v>2705</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2661</v>
      </c>
      <c r="B17" s="3228"/>
      <c r="C17" s="3228"/>
      <c r="D17" s="3228"/>
    </row>
    <row r="18" spans="1:4">
      <c r="A18" s="3228" t="s">
        <v>2653</v>
      </c>
      <c r="B18" s="3228"/>
      <c r="C18" s="3228"/>
      <c r="D18" s="3228"/>
    </row>
    <row r="19" spans="1:4">
      <c r="A19" s="2868" t="s">
        <v>2654</v>
      </c>
      <c r="B19" s="2868" t="s">
        <v>2655</v>
      </c>
      <c r="C19" s="2868" t="s">
        <v>2656</v>
      </c>
      <c r="D19" s="2868" t="s">
        <v>2657</v>
      </c>
    </row>
    <row r="20" spans="1:4">
      <c r="A20" s="2868" t="str">
        <f>项目基本情况!B4</f>
        <v>王鹏</v>
      </c>
      <c r="B20" s="2868">
        <f ca="1">项目基本情况!C4</f>
        <v>2002110030</v>
      </c>
      <c r="C20" s="2870"/>
      <c r="D20" s="1800" t="s">
        <v>2662</v>
      </c>
    </row>
    <row r="21" spans="1:4">
      <c r="A21" s="2868" t="str">
        <f>项目基本情况!D4</f>
        <v>崔锴</v>
      </c>
      <c r="B21" s="2868">
        <f ca="1">项目基本情况!E4</f>
        <v>2010110070</v>
      </c>
      <c r="C21" s="2870"/>
      <c r="D21" s="1800" t="s">
        <v>2663</v>
      </c>
    </row>
    <row r="23" spans="1:4">
      <c r="A23" s="3228" t="s">
        <v>2658</v>
      </c>
      <c r="B23" s="3228"/>
      <c r="C23" s="3228"/>
      <c r="D23" s="3228"/>
    </row>
    <row r="24" spans="1:4">
      <c r="A24" s="2868" t="s">
        <v>2654</v>
      </c>
      <c r="B24" s="2868" t="s">
        <v>2659</v>
      </c>
      <c r="C24" s="2868" t="s">
        <v>2656</v>
      </c>
      <c r="D24" s="2868" t="s">
        <v>2657</v>
      </c>
    </row>
    <row r="25" spans="1:4">
      <c r="A25" s="2871" t="s">
        <v>2660</v>
      </c>
      <c r="B25" s="2868" t="s">
        <v>917</v>
      </c>
      <c r="C25" s="2870"/>
      <c r="D25" s="1800" t="s">
        <v>2663</v>
      </c>
    </row>
    <row r="29" spans="1:4">
      <c r="D29" s="2869" t="s">
        <v>2001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53125" defaultRowHeight="15.5"/>
  <cols>
    <col min="1" max="1" width="14.453125" style="1164" customWidth="1"/>
    <col min="2" max="16384" width="14.453125" style="1162"/>
  </cols>
  <sheetData>
    <row r="1" spans="1:7" s="1160" customFormat="1" ht="18">
      <c r="A1" s="1159" t="s">
        <v>64</v>
      </c>
    </row>
    <row r="3" spans="1:7" ht="15">
      <c r="A3" s="1161" t="s">
        <v>65</v>
      </c>
      <c r="B3" s="1162" t="s">
        <v>66</v>
      </c>
      <c r="G3" s="1163"/>
    </row>
    <row r="4" spans="1:7">
      <c r="G4" s="1163"/>
    </row>
    <row r="5" spans="1:7" ht="15">
      <c r="A5" s="1165" t="s">
        <v>44</v>
      </c>
      <c r="B5" s="1162" t="s">
        <v>45</v>
      </c>
      <c r="G5" s="1163"/>
    </row>
    <row r="6" spans="1:7">
      <c r="G6" s="1163"/>
    </row>
    <row r="7" spans="1:7" ht="1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
      <c r="A15" s="3240" t="s">
        <v>52</v>
      </c>
      <c r="B15" s="3241" t="s">
        <v>811</v>
      </c>
      <c r="C15" s="3237"/>
    </row>
    <row r="16" spans="1:7" ht="14">
      <c r="A16" s="3240"/>
      <c r="B16" s="3238" t="s">
        <v>53</v>
      </c>
      <c r="C16" s="1171" t="s">
        <v>52</v>
      </c>
    </row>
    <row r="17" spans="1:3" ht="14">
      <c r="A17" s="3240"/>
      <c r="B17" s="3238"/>
      <c r="C17" s="1171" t="s">
        <v>54</v>
      </c>
    </row>
    <row r="18" spans="1:3" ht="14">
      <c r="A18" s="3240"/>
      <c r="B18" s="3238"/>
      <c r="C18" s="1171" t="s">
        <v>55</v>
      </c>
    </row>
    <row r="19" spans="1:3" ht="14">
      <c r="A19" s="3240"/>
      <c r="B19" s="3236" t="s">
        <v>56</v>
      </c>
      <c r="C19" s="3237"/>
    </row>
    <row r="20" spans="1:3" ht="14">
      <c r="A20" s="1172" t="s">
        <v>57</v>
      </c>
      <c r="B20" s="1173"/>
      <c r="C20" s="1174"/>
    </row>
    <row r="21" spans="1:3" ht="14">
      <c r="A21" s="3239" t="s">
        <v>58</v>
      </c>
      <c r="B21" s="3236" t="s">
        <v>59</v>
      </c>
      <c r="C21" s="3237"/>
    </row>
    <row r="22" spans="1:3" ht="14">
      <c r="A22" s="3239"/>
      <c r="B22" s="3236" t="s">
        <v>60</v>
      </c>
      <c r="C22" s="3237"/>
    </row>
    <row r="23" spans="1:3" ht="14">
      <c r="A23" s="3239"/>
      <c r="B23" s="3236" t="s">
        <v>61</v>
      </c>
      <c r="C23" s="3237"/>
    </row>
    <row r="24" spans="1:3" ht="14">
      <c r="A24" s="3239"/>
      <c r="B24" s="3242" t="s">
        <v>62</v>
      </c>
      <c r="C24" s="1175" t="s">
        <v>802</v>
      </c>
    </row>
    <row r="25" spans="1:3" ht="14">
      <c r="A25" s="3239"/>
      <c r="B25" s="3243"/>
      <c r="C25" s="1175" t="s">
        <v>803</v>
      </c>
    </row>
    <row r="26" spans="1:3" ht="14">
      <c r="A26" s="3239"/>
      <c r="B26" s="3243"/>
      <c r="C26" s="1175" t="s">
        <v>804</v>
      </c>
    </row>
    <row r="27" spans="1:3" ht="14">
      <c r="A27" s="3239"/>
      <c r="B27" s="3243"/>
      <c r="C27" s="1175" t="s">
        <v>805</v>
      </c>
    </row>
    <row r="28" spans="1:3" ht="14">
      <c r="A28" s="3239"/>
      <c r="B28" s="3243"/>
      <c r="C28" s="1175" t="s">
        <v>806</v>
      </c>
    </row>
    <row r="29" spans="1:3" ht="14">
      <c r="A29" s="3239"/>
      <c r="B29" s="3243"/>
      <c r="C29" s="1175" t="s">
        <v>807</v>
      </c>
    </row>
    <row r="30" spans="1:3" ht="14">
      <c r="A30" s="3239"/>
      <c r="B30" s="3243"/>
      <c r="C30" s="1175" t="s">
        <v>808</v>
      </c>
    </row>
    <row r="31" spans="1:3" ht="14">
      <c r="A31" s="3239"/>
      <c r="B31" s="3243"/>
      <c r="C31" s="1175" t="s">
        <v>809</v>
      </c>
    </row>
    <row r="32" spans="1:3" ht="14">
      <c r="A32" s="3239"/>
      <c r="B32" s="3243"/>
      <c r="C32" s="1175" t="s">
        <v>1611</v>
      </c>
    </row>
    <row r="33" spans="1:3" ht="14">
      <c r="A33" s="3239"/>
      <c r="B33" s="3233" t="s">
        <v>1617</v>
      </c>
      <c r="C33" s="1175" t="s">
        <v>1612</v>
      </c>
    </row>
    <row r="34" spans="1:3" ht="14">
      <c r="A34" s="3239"/>
      <c r="B34" s="3234"/>
      <c r="C34" s="1180" t="s">
        <v>1613</v>
      </c>
    </row>
    <row r="35" spans="1:3" ht="14">
      <c r="A35" s="3239"/>
      <c r="B35" s="3234"/>
      <c r="C35" s="1181" t="s">
        <v>1614</v>
      </c>
    </row>
    <row r="36" spans="1:3" ht="14">
      <c r="A36" s="3239"/>
      <c r="B36" s="3234"/>
      <c r="C36" s="1181" t="s">
        <v>1615</v>
      </c>
    </row>
    <row r="37" spans="1:3" ht="14">
      <c r="A37" s="3239"/>
      <c r="B37" s="3235"/>
      <c r="C37" s="1182" t="s">
        <v>1616</v>
      </c>
    </row>
    <row r="38" spans="1:3">
      <c r="A38" s="1176" t="s">
        <v>810</v>
      </c>
    </row>
    <row r="41" spans="1:3">
      <c r="A41" s="1176" t="s">
        <v>67</v>
      </c>
    </row>
    <row r="42" spans="1:3" ht="14">
      <c r="A42" s="1177" t="s">
        <v>818</v>
      </c>
    </row>
    <row r="43" spans="1:3" ht="14">
      <c r="A43" s="1178" t="s">
        <v>68</v>
      </c>
    </row>
    <row r="44" spans="1:3" ht="14">
      <c r="A44" s="1177" t="s">
        <v>817</v>
      </c>
    </row>
    <row r="45" spans="1:3" ht="14">
      <c r="A45" s="1179" t="s">
        <v>819</v>
      </c>
    </row>
    <row r="46" spans="1:3" ht="14">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328125" defaultRowHeight="20.25" customHeight="1"/>
  <cols>
    <col min="1" max="1" width="24.81640625" style="2341" customWidth="1"/>
    <col min="2" max="5" width="22.6328125" style="2341"/>
    <col min="6" max="6" width="25.6328125" style="2341" customWidth="1"/>
    <col min="7" max="16384" width="22.6328125" style="2341"/>
  </cols>
  <sheetData>
    <row r="2" spans="1:6" ht="20.25" customHeight="1">
      <c r="A2" s="2338" t="s">
        <v>1869</v>
      </c>
      <c r="B2" s="1656">
        <f ca="1">TODAY()</f>
        <v>43901</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t="str">
        <f ca="1">IF(C4&lt;B2,"已过期",1119970066)</f>
        <v>已过期</v>
      </c>
      <c r="C4" s="3006">
        <v>43849</v>
      </c>
      <c r="D4" s="2343" t="s">
        <v>1876</v>
      </c>
      <c r="E4" s="2343">
        <f ca="1">IF(F4&lt;B2,"已过期",96010014)</f>
        <v>96010014</v>
      </c>
      <c r="F4" s="3007">
        <v>47118</v>
      </c>
    </row>
    <row r="5" spans="1:6" ht="20.25" customHeight="1">
      <c r="A5" s="2343" t="s">
        <v>1877</v>
      </c>
      <c r="B5" s="2343" t="str">
        <f ca="1">IF(C5&lt;B2,"已过期",1119970074)</f>
        <v>已过期</v>
      </c>
      <c r="C5" s="3006">
        <v>43849</v>
      </c>
      <c r="D5" s="2343" t="s">
        <v>1877</v>
      </c>
      <c r="E5" s="2343">
        <f ca="1">IF(F5&lt;B2,"已过期",2002110027)</f>
        <v>2002110027</v>
      </c>
      <c r="F5" s="3007">
        <v>46752</v>
      </c>
    </row>
    <row r="6" spans="1:6" ht="20.25" customHeight="1">
      <c r="A6" s="2343" t="s">
        <v>1878</v>
      </c>
      <c r="B6" s="2343" t="str">
        <f ca="1">IF(C6&lt;B2,"已过期",1119970111)</f>
        <v>已过期</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t="str">
        <f ca="1">IF(C8&lt;B2,"已过期",1120000080)</f>
        <v>已过期</v>
      </c>
      <c r="C8" s="3006">
        <v>43849</v>
      </c>
      <c r="D8" s="2343" t="s">
        <v>1880</v>
      </c>
      <c r="E8" s="2343">
        <f ca="1">IF(F8&lt;B2,"已过期",2000110082)</f>
        <v>2000110082</v>
      </c>
      <c r="F8" s="3007">
        <v>46387</v>
      </c>
    </row>
    <row r="9" spans="1:6" ht="20.25" customHeight="1">
      <c r="A9" s="2343" t="s">
        <v>1881</v>
      </c>
      <c r="B9" s="2343" t="str">
        <f ca="1">IF(C9&lt;B2,"已过期",1419970001)</f>
        <v>已过期</v>
      </c>
      <c r="C9" s="3006">
        <v>43867</v>
      </c>
      <c r="D9" s="2343" t="s">
        <v>1881</v>
      </c>
      <c r="E9" s="2343">
        <f ca="1">IF(F9&lt;B2,"已过期",2002110125)</f>
        <v>2002110125</v>
      </c>
      <c r="F9" s="3007">
        <v>47118</v>
      </c>
    </row>
    <row r="10" spans="1:6" ht="20.25" customHeight="1">
      <c r="A10" s="2343" t="s">
        <v>1882</v>
      </c>
      <c r="B10" s="2343" t="str">
        <f ca="1">IF(C10&lt;B2,"已过期",1120060040)</f>
        <v>已过期</v>
      </c>
      <c r="C10" s="3006">
        <v>43483</v>
      </c>
      <c r="D10" s="2343" t="s">
        <v>1882</v>
      </c>
      <c r="E10" s="2343">
        <f ca="1">IF(F10&lt;B2,"已过期",2004110096)</f>
        <v>2004110096</v>
      </c>
      <c r="F10" s="3007">
        <v>47118</v>
      </c>
    </row>
    <row r="11" spans="1:6" ht="20.25" customHeight="1">
      <c r="A11" s="2343" t="s">
        <v>1883</v>
      </c>
      <c r="B11" s="2343" t="str">
        <f ca="1">IF(C11&lt;B2,"已过期",1120100036)</f>
        <v>已过期</v>
      </c>
      <c r="C11" s="3006">
        <v>43622</v>
      </c>
      <c r="D11" s="2343" t="s">
        <v>1883</v>
      </c>
      <c r="E11" s="2343">
        <f ca="1">IF(F11&lt;B2,"已过期",2010110070)</f>
        <v>2010110070</v>
      </c>
      <c r="F11" s="3007">
        <v>47907</v>
      </c>
    </row>
    <row r="12" spans="1:6" ht="20.25" customHeight="1">
      <c r="A12" s="2343" t="s">
        <v>2924</v>
      </c>
      <c r="B12" s="2343">
        <v>1120110054</v>
      </c>
      <c r="C12" s="3006">
        <v>43937</v>
      </c>
      <c r="D12" s="2343" t="s">
        <v>2924</v>
      </c>
      <c r="E12" s="2343">
        <v>2008110060</v>
      </c>
      <c r="F12" s="3007">
        <v>47177</v>
      </c>
    </row>
    <row r="13" spans="1:6" ht="20.25" customHeight="1">
      <c r="A13" s="2343" t="s">
        <v>1884</v>
      </c>
      <c r="B13" s="2343" t="str">
        <f ca="1">IF(C13&lt;B2,"已过期",1120070131)</f>
        <v>已过期</v>
      </c>
      <c r="C13" s="3006">
        <v>43814</v>
      </c>
      <c r="D13" s="2343" t="s">
        <v>1884</v>
      </c>
      <c r="E13" s="2343">
        <v>2014110011</v>
      </c>
      <c r="F13" s="3007">
        <v>49302</v>
      </c>
    </row>
    <row r="14" spans="1:6" ht="20.25" customHeight="1">
      <c r="A14" s="2343" t="s">
        <v>1885</v>
      </c>
      <c r="B14" s="2343" t="str">
        <f ca="1">IF(C14&lt;B2,"已过期",1120130020)</f>
        <v>已过期</v>
      </c>
      <c r="C14" s="3006">
        <v>43622</v>
      </c>
      <c r="D14" s="2343"/>
      <c r="E14" s="2343"/>
      <c r="F14" s="2343"/>
    </row>
    <row r="15" spans="1:6" ht="20.25" customHeight="1">
      <c r="A15" s="2343" t="s">
        <v>2533</v>
      </c>
      <c r="B15" s="2343">
        <v>1120070085</v>
      </c>
      <c r="C15" s="3006">
        <v>43814</v>
      </c>
      <c r="D15" s="2343" t="s">
        <v>2533</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t="str">
        <f ca="1">IF(C23&lt;B2,"已过期",1120130048)</f>
        <v>已过期</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44" t="s">
        <v>1890</v>
      </c>
      <c r="B25" s="3244"/>
      <c r="C25" s="3244"/>
      <c r="D25" s="3244"/>
      <c r="E25" s="3244"/>
      <c r="F25" s="3244"/>
      <c r="G25" s="3244"/>
    </row>
    <row r="26" spans="1:7" ht="20.25" customHeight="1">
      <c r="A26" s="3245" t="s">
        <v>1891</v>
      </c>
      <c r="B26" s="3245"/>
      <c r="C26" s="3245"/>
      <c r="D26" s="3245" t="s">
        <v>1892</v>
      </c>
      <c r="E26" s="3245"/>
      <c r="F26" s="3245"/>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0" sqref="Y10"/>
    </sheetView>
  </sheetViews>
  <sheetFormatPr defaultColWidth="9" defaultRowHeight="14"/>
  <cols>
    <col min="1" max="1" width="14.453125" style="1184" customWidth="1"/>
    <col min="2" max="2" width="18.90625" style="1162"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62" customWidth="1"/>
    <col min="25" max="25" width="7.1796875" style="1162" customWidth="1"/>
    <col min="26" max="16384" width="9" style="1162"/>
  </cols>
  <sheetData>
    <row r="1" spans="1:23" s="1183" customFormat="1" ht="28">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2504</v>
      </c>
      <c r="R1" s="2582" t="s">
        <v>2498</v>
      </c>
      <c r="S1" s="6" t="s">
        <v>119</v>
      </c>
      <c r="T1" s="7" t="s">
        <v>120</v>
      </c>
      <c r="U1" s="6" t="s">
        <v>121</v>
      </c>
      <c r="V1" s="6" t="s">
        <v>122</v>
      </c>
      <c r="W1" s="1004" t="s">
        <v>839</v>
      </c>
    </row>
    <row r="2" spans="1:23">
      <c r="A2" s="3110" t="s">
        <v>2960</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2499</v>
      </c>
      <c r="S2" s="9" t="s">
        <v>73</v>
      </c>
      <c r="T2" s="9" t="s">
        <v>74</v>
      </c>
      <c r="U2" s="9" t="s">
        <v>73</v>
      </c>
      <c r="V2" s="9" t="s">
        <v>75</v>
      </c>
      <c r="W2" s="9" t="s">
        <v>840</v>
      </c>
    </row>
    <row r="3" spans="1:23">
      <c r="A3" s="3110" t="s">
        <v>2962</v>
      </c>
      <c r="B3" s="10" t="s">
        <v>3123</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2500</v>
      </c>
      <c r="S3" s="9" t="s">
        <v>81</v>
      </c>
      <c r="T3" s="9" t="s">
        <v>82</v>
      </c>
      <c r="U3" s="9" t="s">
        <v>81</v>
      </c>
      <c r="V3" s="9" t="s">
        <v>83</v>
      </c>
      <c r="W3" s="9" t="s">
        <v>841</v>
      </c>
    </row>
    <row r="4" spans="1:23">
      <c r="A4" s="3110" t="s">
        <v>2964</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2501</v>
      </c>
      <c r="S4" s="9" t="s">
        <v>88</v>
      </c>
      <c r="T4" s="9" t="s">
        <v>89</v>
      </c>
      <c r="U4" s="9" t="s">
        <v>88</v>
      </c>
      <c r="W4" s="9" t="s">
        <v>842</v>
      </c>
    </row>
    <row r="5" spans="1:23">
      <c r="A5" s="3110" t="s">
        <v>2966</v>
      </c>
      <c r="B5" s="8" t="s">
        <v>2979</v>
      </c>
      <c r="C5" s="1550" t="s">
        <v>1674</v>
      </c>
      <c r="F5" s="9" t="s">
        <v>90</v>
      </c>
      <c r="H5" s="9" t="s">
        <v>69</v>
      </c>
      <c r="I5" s="9" t="s">
        <v>91</v>
      </c>
      <c r="K5" s="9" t="s">
        <v>92</v>
      </c>
      <c r="L5" s="9" t="s">
        <v>92</v>
      </c>
      <c r="M5" s="9" t="s">
        <v>92</v>
      </c>
      <c r="N5" s="9" t="s">
        <v>92</v>
      </c>
      <c r="O5" s="9" t="s">
        <v>92</v>
      </c>
      <c r="P5" s="1006" t="s">
        <v>511</v>
      </c>
      <c r="Q5" s="9" t="s">
        <v>92</v>
      </c>
      <c r="R5" s="1006" t="s">
        <v>2502</v>
      </c>
      <c r="S5" s="9" t="s">
        <v>92</v>
      </c>
      <c r="T5" s="9" t="s">
        <v>93</v>
      </c>
      <c r="U5" s="9" t="s">
        <v>92</v>
      </c>
      <c r="W5" s="9" t="s">
        <v>843</v>
      </c>
    </row>
    <row r="6" spans="1:23">
      <c r="A6" s="3110" t="s">
        <v>2968</v>
      </c>
      <c r="B6" s="8" t="s">
        <v>2980</v>
      </c>
      <c r="C6" s="1552" t="s">
        <v>1675</v>
      </c>
      <c r="F6" s="9" t="s">
        <v>70</v>
      </c>
      <c r="H6" s="9" t="s">
        <v>71</v>
      </c>
      <c r="I6" s="9" t="s">
        <v>94</v>
      </c>
      <c r="K6" s="9" t="s">
        <v>95</v>
      </c>
      <c r="L6" s="9" t="s">
        <v>95</v>
      </c>
      <c r="M6" s="9" t="s">
        <v>95</v>
      </c>
      <c r="N6" s="9" t="s">
        <v>95</v>
      </c>
      <c r="O6" s="9" t="s">
        <v>95</v>
      </c>
      <c r="P6" s="1006" t="s">
        <v>846</v>
      </c>
      <c r="Q6" s="9" t="s">
        <v>95</v>
      </c>
      <c r="R6" s="1006" t="s">
        <v>2503</v>
      </c>
      <c r="S6" s="9" t="s">
        <v>95</v>
      </c>
      <c r="T6" s="9"/>
      <c r="U6" s="9" t="s">
        <v>95</v>
      </c>
      <c r="W6" s="9" t="s">
        <v>844</v>
      </c>
    </row>
    <row r="7" spans="1:23">
      <c r="A7" s="3110" t="s">
        <v>2978</v>
      </c>
      <c r="B7" s="8" t="s">
        <v>2981</v>
      </c>
      <c r="C7" s="1550" t="s">
        <v>1676</v>
      </c>
      <c r="F7" s="9" t="s">
        <v>125</v>
      </c>
      <c r="H7" s="9" t="s">
        <v>96</v>
      </c>
      <c r="I7" s="9" t="s">
        <v>97</v>
      </c>
    </row>
    <row r="8" spans="1:23">
      <c r="A8" s="8"/>
      <c r="B8" s="8" t="s">
        <v>2982</v>
      </c>
      <c r="C8" s="1550" t="s">
        <v>1677</v>
      </c>
      <c r="F8" s="9" t="s">
        <v>126</v>
      </c>
      <c r="H8" s="9"/>
      <c r="I8" s="9" t="s">
        <v>98</v>
      </c>
    </row>
    <row r="9" spans="1:23">
      <c r="A9" s="8"/>
      <c r="B9" s="8" t="s">
        <v>2983</v>
      </c>
      <c r="C9" s="1550" t="s">
        <v>1678</v>
      </c>
      <c r="F9" s="9" t="s">
        <v>99</v>
      </c>
      <c r="H9" s="9"/>
    </row>
    <row r="10" spans="1:23">
      <c r="A10" s="8"/>
      <c r="B10" s="8" t="s">
        <v>2984</v>
      </c>
      <c r="C10" s="1550" t="s">
        <v>1679</v>
      </c>
      <c r="F10" s="9" t="s">
        <v>6</v>
      </c>
    </row>
    <row r="11" spans="1:23">
      <c r="A11" s="8"/>
      <c r="B11" s="8"/>
      <c r="C11" s="1550" t="s">
        <v>1680</v>
      </c>
    </row>
    <row r="12" spans="1:23">
      <c r="A12" s="8"/>
      <c r="B12" s="8"/>
      <c r="C12" s="1550" t="s">
        <v>1681</v>
      </c>
    </row>
    <row r="13" spans="1:23">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c r="A18" s="8"/>
      <c r="B18" s="3110"/>
      <c r="C18" s="1553"/>
    </row>
    <row r="19" spans="1:3">
      <c r="A19" s="8"/>
      <c r="B19" s="3110"/>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46"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9日，在规划利用条件下、设定土地开发程度为红线外“七通”、宗地内场地平整，设定用途为商业，剩余土地使用年限为的出让国有建设用地使用权价格。</v>
      </c>
      <c r="D53" s="1767"/>
      <c r="E53" s="1767"/>
    </row>
    <row r="54" spans="1:5">
      <c r="A54" s="3246"/>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6"/>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6"/>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6"/>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企业预期售价</vt:lpstr>
      <vt:lpstr>土地案例</vt:lpstr>
      <vt:lpstr>位置</vt:lpstr>
      <vt:lpstr>文件</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2020-03-11T22:23:11Z</dcterms:modified>
</cp:coreProperties>
</file>