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建安估算" sheetId="81" r:id="rId18"/>
    <sheet name="建安参考" sheetId="82" r:id="rId19"/>
    <sheet name="结果表" sheetId="9" r:id="rId20"/>
    <sheet name="土地比较法-住宅、综合" sheetId="39" state="hidden"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指标" sheetId="78" r:id="rId47"/>
    <sheet name="资料" sheetId="79" r:id="rId48"/>
    <sheet name="规证" sheetId="80" state="hidden"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4" i="74" l="1"/>
  <c r="D14" i="74"/>
  <c r="V27" i="81"/>
  <c r="V26" i="81"/>
  <c r="V25" i="81"/>
  <c r="V13" i="81"/>
  <c r="Q4" i="81"/>
  <c r="Q5" i="81"/>
  <c r="Q6" i="81"/>
  <c r="S6" i="81" s="1"/>
  <c r="Q7" i="81"/>
  <c r="Q8" i="81"/>
  <c r="Q9" i="81"/>
  <c r="Q10" i="81"/>
  <c r="S10" i="81" s="1"/>
  <c r="Q11" i="81"/>
  <c r="Q12" i="81"/>
  <c r="S12" i="81" s="1"/>
  <c r="Q13" i="81"/>
  <c r="Q14" i="81"/>
  <c r="Q15" i="81"/>
  <c r="Q16" i="81"/>
  <c r="Q17" i="81"/>
  <c r="Q18" i="81"/>
  <c r="Q19" i="81"/>
  <c r="Q20" i="81"/>
  <c r="Q21" i="81"/>
  <c r="Q22" i="81"/>
  <c r="S22" i="81" s="1"/>
  <c r="Q23" i="81"/>
  <c r="Q24" i="81"/>
  <c r="Q3" i="81"/>
  <c r="S3" i="81" s="1"/>
  <c r="X13" i="82"/>
  <c r="X12" i="82"/>
  <c r="X11" i="82"/>
  <c r="X10" i="82"/>
  <c r="Q42" i="81"/>
  <c r="G42" i="81"/>
  <c r="S41" i="81"/>
  <c r="Z36" i="81"/>
  <c r="Q36" i="81"/>
  <c r="Q37" i="81" s="1"/>
  <c r="Z35" i="81"/>
  <c r="Z34" i="81"/>
  <c r="V30" i="81"/>
  <c r="S30" i="81"/>
  <c r="X30" i="81" s="1"/>
  <c r="L27" i="81"/>
  <c r="K27" i="81"/>
  <c r="J27" i="81"/>
  <c r="I27" i="81"/>
  <c r="H27" i="81"/>
  <c r="G27" i="81"/>
  <c r="F27" i="81"/>
  <c r="E27" i="81"/>
  <c r="C27" i="81"/>
  <c r="B27" i="81"/>
  <c r="D25" i="81"/>
  <c r="D24" i="81"/>
  <c r="S23" i="81"/>
  <c r="D23" i="81"/>
  <c r="D22" i="81"/>
  <c r="S21" i="81"/>
  <c r="D21" i="81"/>
  <c r="S20" i="81"/>
  <c r="D20" i="81"/>
  <c r="S19" i="81"/>
  <c r="D19" i="81"/>
  <c r="S18" i="81"/>
  <c r="D18" i="81"/>
  <c r="S17" i="81"/>
  <c r="D17" i="81"/>
  <c r="S16" i="81"/>
  <c r="D16" i="81"/>
  <c r="S15" i="81"/>
  <c r="D15" i="81"/>
  <c r="D14" i="81"/>
  <c r="T13" i="81"/>
  <c r="R13" i="81"/>
  <c r="S13" i="81"/>
  <c r="D13" i="81"/>
  <c r="D12" i="81"/>
  <c r="S11" i="81"/>
  <c r="D11" i="81"/>
  <c r="D10" i="81"/>
  <c r="D9" i="81"/>
  <c r="D8" i="81"/>
  <c r="R7" i="81"/>
  <c r="R9" i="81" s="1"/>
  <c r="S7" i="81"/>
  <c r="D7" i="81"/>
  <c r="R6" i="81"/>
  <c r="R10" i="81" s="1"/>
  <c r="D6" i="81"/>
  <c r="D5" i="81"/>
  <c r="U4" i="81"/>
  <c r="U13" i="81" s="1"/>
  <c r="T4" i="81"/>
  <c r="D4" i="81"/>
  <c r="V3" i="81"/>
  <c r="T3" i="81"/>
  <c r="T27" i="81" s="1"/>
  <c r="R3" i="81"/>
  <c r="R14" i="81" s="1"/>
  <c r="D3" i="81"/>
  <c r="D27" i="81" s="1"/>
  <c r="S9" i="81" l="1"/>
  <c r="S14" i="81"/>
  <c r="R4" i="81"/>
  <c r="R5" i="81" s="1"/>
  <c r="R8" i="81" s="1"/>
  <c r="S8" i="81" s="1"/>
  <c r="V4" i="81"/>
  <c r="S24" i="81"/>
  <c r="S5" i="81" l="1"/>
  <c r="U27" i="81"/>
  <c r="Q27" i="81"/>
  <c r="B14" i="74" s="1"/>
  <c r="S4" i="81"/>
  <c r="S27" i="81" l="1"/>
  <c r="R27" i="81" s="1"/>
  <c r="S32" i="81"/>
  <c r="X27" i="81" l="1"/>
  <c r="X32" i="81" s="1"/>
  <c r="N14" i="1" l="1"/>
  <c r="AN35" i="3"/>
  <c r="L7" i="1" l="1"/>
  <c r="J7" i="1"/>
  <c r="X26" i="80"/>
  <c r="W5" i="80" l="1"/>
  <c r="W7" i="80"/>
  <c r="W9" i="80"/>
  <c r="W11" i="80"/>
  <c r="W13" i="80"/>
  <c r="W15" i="80"/>
  <c r="W17" i="80"/>
  <c r="W19" i="80"/>
  <c r="W21" i="80"/>
  <c r="W23" i="80"/>
  <c r="W3" i="80"/>
  <c r="W4" i="80"/>
  <c r="W6" i="80"/>
  <c r="W8" i="80"/>
  <c r="W10" i="80"/>
  <c r="W12" i="80"/>
  <c r="W14" i="80"/>
  <c r="W16" i="80"/>
  <c r="W18" i="80"/>
  <c r="W20" i="80"/>
  <c r="W22" i="80"/>
  <c r="W24" i="80"/>
  <c r="W26" i="80" l="1"/>
  <c r="Z24" i="80" s="1"/>
  <c r="Z5" i="80"/>
  <c r="B35" i="1"/>
  <c r="B28" i="1"/>
  <c r="Z13" i="80" l="1"/>
  <c r="Z21" i="80"/>
  <c r="Z9" i="80"/>
  <c r="Z17" i="80"/>
  <c r="Z3" i="80"/>
  <c r="Z6" i="80"/>
  <c r="Z14" i="80"/>
  <c r="Z22" i="80"/>
  <c r="Z11" i="80"/>
  <c r="Z19" i="80"/>
  <c r="Z4" i="80"/>
  <c r="Z12" i="80"/>
  <c r="Z20" i="80"/>
  <c r="Z10" i="80"/>
  <c r="Z18" i="80"/>
  <c r="Z7" i="80"/>
  <c r="Z15" i="80"/>
  <c r="Z23" i="80"/>
  <c r="Z8" i="80"/>
  <c r="Z16" i="80"/>
  <c r="R25" i="80"/>
  <c r="T25" i="80" s="1"/>
  <c r="R24" i="80"/>
  <c r="T24" i="80" s="1"/>
  <c r="R23" i="80"/>
  <c r="T23" i="80" s="1"/>
  <c r="R22" i="80"/>
  <c r="T22" i="80" s="1"/>
  <c r="R21" i="80"/>
  <c r="T21" i="80" s="1"/>
  <c r="R20" i="80"/>
  <c r="T20" i="80" s="1"/>
  <c r="R19" i="80"/>
  <c r="T19" i="80" s="1"/>
  <c r="R18" i="80"/>
  <c r="T18" i="80" s="1"/>
  <c r="R17" i="80"/>
  <c r="T17" i="80" s="1"/>
  <c r="R16" i="80"/>
  <c r="T16" i="80" s="1"/>
  <c r="R15" i="80"/>
  <c r="T15" i="80" s="1"/>
  <c r="K36" i="3"/>
  <c r="AH21" i="3"/>
  <c r="AH22" i="3"/>
  <c r="AH29" i="3"/>
  <c r="AH33" i="3"/>
  <c r="AH34" i="3"/>
  <c r="AD14" i="3"/>
  <c r="AD17" i="3"/>
  <c r="AD19" i="3"/>
  <c r="AD20" i="3"/>
  <c r="AD31" i="3"/>
  <c r="AD32" i="3"/>
  <c r="AD33" i="3"/>
  <c r="AD34" i="3"/>
  <c r="AD13" i="3"/>
  <c r="K23" i="3"/>
  <c r="K24" i="3"/>
  <c r="K25" i="3"/>
  <c r="K26" i="3"/>
  <c r="C35" i="3"/>
  <c r="C14" i="3"/>
  <c r="C15" i="3"/>
  <c r="C16" i="3"/>
  <c r="C17" i="3"/>
  <c r="C18" i="3"/>
  <c r="C19" i="3"/>
  <c r="C20" i="3"/>
  <c r="C21" i="3"/>
  <c r="C22" i="3"/>
  <c r="C23" i="3"/>
  <c r="C24" i="3"/>
  <c r="C25" i="3"/>
  <c r="C26" i="3"/>
  <c r="C27" i="3"/>
  <c r="C28" i="3"/>
  <c r="C29" i="3"/>
  <c r="C30" i="3"/>
  <c r="C31" i="3"/>
  <c r="C32" i="3"/>
  <c r="C33" i="3"/>
  <c r="C34" i="3"/>
  <c r="C13" i="3"/>
  <c r="A3" i="3"/>
  <c r="E13" i="4"/>
  <c r="D13" i="4"/>
  <c r="F10" i="4"/>
  <c r="D3" i="4"/>
  <c r="F19" i="6" l="1"/>
  <c r="Z26" i="80"/>
  <c r="R4" i="80"/>
  <c r="R5" i="80"/>
  <c r="R6" i="80"/>
  <c r="R7" i="80"/>
  <c r="R8" i="80"/>
  <c r="R9" i="80"/>
  <c r="R10" i="80"/>
  <c r="R11" i="80"/>
  <c r="R12" i="80"/>
  <c r="R13" i="80"/>
  <c r="R14" i="80"/>
  <c r="R3" i="80"/>
  <c r="T3" i="80" s="1"/>
  <c r="T6" i="80" l="1"/>
  <c r="T5" i="80"/>
  <c r="T4" i="80"/>
  <c r="T7" i="80" l="1"/>
  <c r="T8" i="80" l="1"/>
  <c r="T9" i="80" l="1"/>
  <c r="T10" i="80" l="1"/>
  <c r="T11" i="80" l="1"/>
  <c r="T12" i="80" l="1"/>
  <c r="T14" i="80" l="1"/>
  <c r="T13" i="80"/>
  <c r="F26" i="80" l="1"/>
  <c r="G26" i="80"/>
  <c r="H26" i="80"/>
  <c r="J26" i="80"/>
  <c r="L26" i="80"/>
  <c r="B26" i="80"/>
  <c r="E10" i="80"/>
  <c r="E9" i="80"/>
  <c r="E7" i="80"/>
  <c r="E4" i="80"/>
  <c r="I14" i="3" s="1"/>
  <c r="K25" i="80"/>
  <c r="K26" i="80" s="1"/>
  <c r="X27" i="80" s="1"/>
  <c r="I20" i="80"/>
  <c r="AD30" i="3" s="1"/>
  <c r="I18" i="80"/>
  <c r="AD28" i="3" s="1"/>
  <c r="C22" i="80"/>
  <c r="D22" i="80" s="1"/>
  <c r="C21" i="80"/>
  <c r="D21" i="80" s="1"/>
  <c r="C20" i="80"/>
  <c r="D20" i="80" s="1"/>
  <c r="C19" i="80"/>
  <c r="D19" i="80" s="1"/>
  <c r="C18" i="80"/>
  <c r="D18" i="80" s="1"/>
  <c r="I17" i="80"/>
  <c r="AD27" i="3" s="1"/>
  <c r="C17" i="80"/>
  <c r="D17" i="80" s="1"/>
  <c r="C16" i="80"/>
  <c r="D16" i="80" s="1"/>
  <c r="C15" i="80"/>
  <c r="D15" i="80" s="1"/>
  <c r="C14" i="80"/>
  <c r="D14" i="80" s="1"/>
  <c r="C13" i="80"/>
  <c r="D13" i="80" s="1"/>
  <c r="I12" i="80"/>
  <c r="C12" i="80"/>
  <c r="D12" i="80" s="1"/>
  <c r="C11" i="80"/>
  <c r="D11" i="80" s="1"/>
  <c r="E11" i="80" s="1"/>
  <c r="C8" i="80"/>
  <c r="D8" i="80" s="1"/>
  <c r="E8" i="80" s="1"/>
  <c r="I18" i="3" s="1"/>
  <c r="C6" i="80"/>
  <c r="D6" i="80" s="1"/>
  <c r="E6" i="80" s="1"/>
  <c r="E5" i="80"/>
  <c r="I15" i="3" s="1"/>
  <c r="B54" i="79"/>
  <c r="B62" i="79" s="1"/>
  <c r="B71" i="79" s="1"/>
  <c r="E19" i="79"/>
  <c r="D19" i="79"/>
  <c r="E12" i="80" l="1"/>
  <c r="I22" i="3" s="1"/>
  <c r="I19" i="3"/>
  <c r="I26" i="80"/>
  <c r="I16" i="3"/>
  <c r="I21" i="3"/>
  <c r="AD22" i="3"/>
  <c r="M35" i="3"/>
  <c r="I17" i="3"/>
  <c r="I20" i="3"/>
  <c r="D26" i="80"/>
  <c r="C26" i="80"/>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K59" i="15"/>
  <c r="P74" i="15" s="1"/>
  <c r="P61" i="15"/>
  <c r="D116" i="39"/>
  <c r="E116" i="39"/>
  <c r="F116" i="39"/>
  <c r="G116" i="39"/>
  <c r="H116" i="39"/>
  <c r="I116" i="39"/>
  <c r="J116" i="39"/>
  <c r="K116" i="39"/>
  <c r="L116" i="39"/>
  <c r="M116" i="39"/>
  <c r="C116" i="39"/>
  <c r="A21" i="62"/>
  <c r="A20" i="62"/>
  <c r="B66" i="72" s="1"/>
  <c r="A22" i="51"/>
  <c r="A21" i="51"/>
  <c r="B16" i="72" s="1"/>
  <c r="A20" i="51"/>
  <c r="A15" i="62"/>
  <c r="A14" i="62"/>
  <c r="B60" i="72" s="1"/>
  <c r="A13" i="62"/>
  <c r="B59" i="72" s="1"/>
  <c r="A19" i="62"/>
  <c r="B65" i="72" s="1"/>
  <c r="A12" i="62"/>
  <c r="B58" i="72" s="1"/>
  <c r="A120" i="9"/>
  <c r="H2" i="52"/>
  <c r="A1" i="52"/>
  <c r="A3" i="53"/>
  <c r="Q23" i="71"/>
  <c r="P23" i="71"/>
  <c r="O23" i="71"/>
  <c r="N23"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67" i="72"/>
  <c r="B10" i="72"/>
  <c r="C53" i="10"/>
  <c r="B51" i="10"/>
  <c r="A18" i="51"/>
  <c r="B13" i="72" s="1"/>
  <c r="B49" i="48"/>
  <c r="B5" i="72" s="1"/>
  <c r="I19" i="43"/>
  <c r="D86" i="71"/>
  <c r="F85" i="71"/>
  <c r="F84" i="71" s="1"/>
  <c r="F83" i="71" s="1"/>
  <c r="E85" i="71"/>
  <c r="E84" i="71" s="1"/>
  <c r="E83" i="71" s="1"/>
  <c r="C85" i="7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S65" i="71" s="1"/>
  <c r="F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B40" i="71" s="1"/>
  <c r="B41" i="71" s="1"/>
  <c r="S41" i="71" s="1"/>
  <c r="D38" i="71"/>
  <c r="Q37" i="71"/>
  <c r="P37" i="71"/>
  <c r="O37" i="71"/>
  <c r="N37" i="71"/>
  <c r="Q36" i="71"/>
  <c r="AB36" i="71" s="1"/>
  <c r="P36" i="71"/>
  <c r="AA36" i="71" s="1"/>
  <c r="O36" i="71"/>
  <c r="Y36" i="71" s="1"/>
  <c r="Z36" i="71" s="1"/>
  <c r="N36" i="71"/>
  <c r="Q35" i="71"/>
  <c r="AB35" i="71" s="1"/>
  <c r="P35" i="71"/>
  <c r="O35" i="71"/>
  <c r="N35" i="71"/>
  <c r="Q34" i="71"/>
  <c r="F35" i="71" s="1"/>
  <c r="F36" i="71" s="1"/>
  <c r="F37" i="71" s="1"/>
  <c r="V37" i="71" s="1"/>
  <c r="P34" i="71"/>
  <c r="O34" i="71"/>
  <c r="C35" i="71" s="1"/>
  <c r="N34" i="71"/>
  <c r="B35" i="71" s="1"/>
  <c r="B36" i="71" s="1"/>
  <c r="D34" i="71"/>
  <c r="Q33" i="71"/>
  <c r="P33" i="71"/>
  <c r="O33" i="71"/>
  <c r="N33" i="71"/>
  <c r="Q32" i="71"/>
  <c r="AB32" i="71" s="1"/>
  <c r="P32" i="71"/>
  <c r="AA32" i="71" s="1"/>
  <c r="O32" i="71"/>
  <c r="N32" i="71"/>
  <c r="X32" i="71" s="1"/>
  <c r="Q31" i="71"/>
  <c r="P31" i="71"/>
  <c r="O31" i="71"/>
  <c r="Y31" i="71"/>
  <c r="Z31" i="71" s="1"/>
  <c r="N31" i="71"/>
  <c r="Q30" i="71"/>
  <c r="F31" i="71" s="1"/>
  <c r="F32" i="71" s="1"/>
  <c r="F33" i="71" s="1"/>
  <c r="V33" i="71" s="1"/>
  <c r="P30" i="71"/>
  <c r="O30" i="71"/>
  <c r="Y27" i="71" s="1"/>
  <c r="Z27" i="71" s="1"/>
  <c r="N30" i="71"/>
  <c r="D30" i="71"/>
  <c r="Q29" i="71"/>
  <c r="P29" i="71"/>
  <c r="AA29" i="71" s="1"/>
  <c r="O29" i="71"/>
  <c r="Y29" i="71"/>
  <c r="Z29" i="71" s="1"/>
  <c r="N29" i="71"/>
  <c r="Q28" i="71"/>
  <c r="AB28" i="71" s="1"/>
  <c r="P28" i="71"/>
  <c r="O28" i="71"/>
  <c r="N28" i="71"/>
  <c r="Q27" i="71"/>
  <c r="P27" i="71"/>
  <c r="O27" i="71"/>
  <c r="N27" i="71"/>
  <c r="Q26" i="71"/>
  <c r="F27" i="71" s="1"/>
  <c r="F28" i="71" s="1"/>
  <c r="P26" i="71"/>
  <c r="E27" i="71" s="1"/>
  <c r="O26" i="71"/>
  <c r="N26" i="71"/>
  <c r="D26" i="71"/>
  <c r="O25" i="71"/>
  <c r="C25" i="71" s="1"/>
  <c r="N25" i="71"/>
  <c r="B27" i="71"/>
  <c r="B28" i="71" s="1"/>
  <c r="B31" i="71"/>
  <c r="B32" i="71" s="1"/>
  <c r="E35" i="71"/>
  <c r="AA34" i="71"/>
  <c r="N65" i="71"/>
  <c r="E31" i="71"/>
  <c r="C27" i="71"/>
  <c r="D27" i="71" s="1"/>
  <c r="AA28" i="71"/>
  <c r="X31" i="71"/>
  <c r="AA33" i="71"/>
  <c r="AB34" i="71"/>
  <c r="AA35" i="71"/>
  <c r="Y23" i="71"/>
  <c r="Z23" i="71" s="1"/>
  <c r="X23" i="71"/>
  <c r="C40" i="71"/>
  <c r="C41" i="71" s="1"/>
  <c r="C44" i="71"/>
  <c r="D44" i="71" s="1"/>
  <c r="C48" i="71"/>
  <c r="P25" i="71"/>
  <c r="E56" i="71"/>
  <c r="E57" i="71" s="1"/>
  <c r="U57" i="71" s="1"/>
  <c r="U65" i="71"/>
  <c r="Q25" i="71"/>
  <c r="D55" i="71"/>
  <c r="D65" i="71"/>
  <c r="C68" i="71"/>
  <c r="D69" i="71"/>
  <c r="D73" i="71"/>
  <c r="C76" i="71"/>
  <c r="E76" i="71"/>
  <c r="E75" i="71" s="1"/>
  <c r="D77" i="71"/>
  <c r="C80" i="71"/>
  <c r="D80" i="71" s="1"/>
  <c r="F25" i="71"/>
  <c r="F24" i="71" s="1"/>
  <c r="F23" i="71" s="1"/>
  <c r="AB25" i="71"/>
  <c r="AA22" i="71"/>
  <c r="C79" i="71"/>
  <c r="D79" i="71" s="1"/>
  <c r="D76" i="71"/>
  <c r="C75" i="71"/>
  <c r="D75" i="71" s="1"/>
  <c r="D68" i="71"/>
  <c r="C67" i="71"/>
  <c r="D67" i="71" s="1"/>
  <c r="C57" i="71"/>
  <c r="T57" i="71" s="1"/>
  <c r="D56" i="71"/>
  <c r="C49" i="71"/>
  <c r="T49" i="71" s="1"/>
  <c r="D48" i="71"/>
  <c r="D40"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H25" i="40"/>
  <c r="J25" i="40"/>
  <c r="F103" i="39"/>
  <c r="H29" i="39"/>
  <c r="G103" i="39"/>
  <c r="J29" i="39"/>
  <c r="G66" i="36"/>
  <c r="J18" i="36"/>
  <c r="W18" i="36" s="1"/>
  <c r="H18" i="35"/>
  <c r="AB18" i="35" s="1"/>
  <c r="S18" i="35"/>
  <c r="J18" i="35"/>
  <c r="F77" i="37"/>
  <c r="G77" i="37" s="1"/>
  <c r="H21" i="37"/>
  <c r="F21" i="37"/>
  <c r="AA21" i="37" s="1"/>
  <c r="F84" i="34"/>
  <c r="H21" i="34"/>
  <c r="AB21" i="34" s="1"/>
  <c r="H21" i="33"/>
  <c r="U21" i="33" s="1"/>
  <c r="F21" i="33"/>
  <c r="AA21" i="33" s="1"/>
  <c r="E83" i="21"/>
  <c r="F83" i="21" s="1"/>
  <c r="G83" i="21" s="1"/>
  <c r="S21" i="21"/>
  <c r="H1" i="69"/>
  <c r="AC25" i="40"/>
  <c r="W25" i="40"/>
  <c r="AB25" i="40"/>
  <c r="U25" i="40"/>
  <c r="AB29" i="39"/>
  <c r="U29" i="39"/>
  <c r="AC29" i="39"/>
  <c r="W29" i="39"/>
  <c r="AC18" i="36"/>
  <c r="AB21" i="37"/>
  <c r="U21" i="37"/>
  <c r="S21" i="37"/>
  <c r="AB21" i="33"/>
  <c r="S21" i="33"/>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3"/>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8" i="1" s="1"/>
  <c r="G8" i="1"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G15" i="3" s="1"/>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F97" i="39" s="1"/>
  <c r="G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B86" i="37"/>
  <c r="B84" i="37"/>
  <c r="B82" i="37"/>
  <c r="D79" i="37"/>
  <c r="E79" i="37" s="1"/>
  <c r="D75" i="37"/>
  <c r="E75" i="37" s="1"/>
  <c r="F75" i="37" s="1"/>
  <c r="D73" i="37"/>
  <c r="E73" i="37" s="1"/>
  <c r="F73" i="37" s="1"/>
  <c r="G73" i="37" s="1"/>
  <c r="D71" i="37"/>
  <c r="H15" i="37"/>
  <c r="B68" i="37"/>
  <c r="H14" i="37" s="1"/>
  <c r="AB14" i="37"/>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F9" i="35" s="1"/>
  <c r="P39" i="35"/>
  <c r="P38" i="35"/>
  <c r="V37" i="35"/>
  <c r="T37" i="35"/>
  <c r="R37" i="35"/>
  <c r="P37" i="35"/>
  <c r="Q36" i="35"/>
  <c r="Z36" i="35" s="1"/>
  <c r="J36" i="35"/>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H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H44" i="21" s="1"/>
  <c r="U44" i="21" s="1"/>
  <c r="B98" i="21"/>
  <c r="H31" i="21" s="1"/>
  <c r="U31" i="21" s="1"/>
  <c r="B96" i="21"/>
  <c r="B94" i="2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H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P5" i="3"/>
  <c r="Q5" i="3"/>
  <c r="R5" i="3"/>
  <c r="S5" i="3"/>
  <c r="T5" i="3"/>
  <c r="U5" i="3"/>
  <c r="V5" i="3"/>
  <c r="W5" i="3"/>
  <c r="X5" i="3"/>
  <c r="Y5" i="3"/>
  <c r="Z5" i="3"/>
  <c r="AA5" i="3"/>
  <c r="AB5" i="3"/>
  <c r="H585" i="3"/>
  <c r="G585" i="3" s="1"/>
  <c r="H586" i="3"/>
  <c r="G586" i="3" s="1"/>
  <c r="H587" i="3"/>
  <c r="G587" i="3" s="1"/>
  <c r="F5" i="3"/>
  <c r="F34" i="21"/>
  <c r="H34" i="21"/>
  <c r="AB34" i="21" s="1"/>
  <c r="F43" i="21"/>
  <c r="H38" i="21"/>
  <c r="U38" i="21" s="1"/>
  <c r="H43" i="21"/>
  <c r="AB43" i="21" s="1"/>
  <c r="F38" i="21"/>
  <c r="S38" i="21" s="1"/>
  <c r="F36" i="21"/>
  <c r="S36" i="21" s="1"/>
  <c r="F39" i="21"/>
  <c r="AA39" i="21" s="1"/>
  <c r="J40" i="21"/>
  <c r="H35" i="21"/>
  <c r="AB35" i="21" s="1"/>
  <c r="J8" i="21"/>
  <c r="H8" i="21"/>
  <c r="U8" i="21" s="1"/>
  <c r="H10" i="2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U31" i="36"/>
  <c r="J33" i="36"/>
  <c r="W33" i="36" s="1"/>
  <c r="H22" i="35"/>
  <c r="AB22" i="35" s="1"/>
  <c r="AC27" i="35"/>
  <c r="W28" i="35"/>
  <c r="S34" i="35"/>
  <c r="W22" i="35"/>
  <c r="S31" i="35"/>
  <c r="F36" i="34"/>
  <c r="AA36" i="34" s="1"/>
  <c r="J35" i="34"/>
  <c r="W9" i="34"/>
  <c r="U34" i="34"/>
  <c r="H39" i="33"/>
  <c r="AB39" i="33"/>
  <c r="U33" i="33"/>
  <c r="S40" i="33"/>
  <c r="W39" i="33"/>
  <c r="S27" i="35"/>
  <c r="F11" i="40"/>
  <c r="H11" i="40"/>
  <c r="AB11" i="40" s="1"/>
  <c r="W8" i="40"/>
  <c r="AC40" i="40"/>
  <c r="AA9" i="40"/>
  <c r="AC9" i="40"/>
  <c r="S34" i="40"/>
  <c r="S40" i="40"/>
  <c r="W31" i="40"/>
  <c r="U34" i="40"/>
  <c r="U40"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AA27" i="39" s="1"/>
  <c r="F11" i="21"/>
  <c r="S11" i="21" s="1"/>
  <c r="S40" i="21"/>
  <c r="U34" i="21"/>
  <c r="C25" i="39"/>
  <c r="C27" i="39"/>
  <c r="C21" i="39"/>
  <c r="H11" i="39"/>
  <c r="S40" i="39"/>
  <c r="C15" i="39"/>
  <c r="H32" i="33"/>
  <c r="AB32" i="33" s="1"/>
  <c r="H11" i="21"/>
  <c r="J11" i="21"/>
  <c r="W11" i="21" s="1"/>
  <c r="H37" i="40"/>
  <c r="U37" i="40" s="1"/>
  <c r="H36" i="40"/>
  <c r="AB36" i="40" s="1"/>
  <c r="F35" i="40"/>
  <c r="H23" i="40"/>
  <c r="AB23" i="40" s="1"/>
  <c r="H17" i="40"/>
  <c r="U17" i="40" s="1"/>
  <c r="J15" i="40"/>
  <c r="W15" i="40" s="1"/>
  <c r="J11" i="40"/>
  <c r="AB8" i="39"/>
  <c r="AC12" i="34"/>
  <c r="AB12" i="35"/>
  <c r="S44" i="39"/>
  <c r="F37" i="39"/>
  <c r="J34" i="36"/>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J15" i="34"/>
  <c r="H15" i="34"/>
  <c r="S9" i="34"/>
  <c r="W8" i="34"/>
  <c r="J28" i="34"/>
  <c r="W28" i="34" s="1"/>
  <c r="F41" i="33"/>
  <c r="S38" i="33"/>
  <c r="F32" i="33"/>
  <c r="AA32" i="33" s="1"/>
  <c r="J19" i="33"/>
  <c r="AC19" i="33" s="1"/>
  <c r="J15" i="33"/>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U34" i="37"/>
  <c r="S34" i="37"/>
  <c r="AA34" i="37"/>
  <c r="J43" i="34"/>
  <c r="AB42" i="34"/>
  <c r="J40" i="34"/>
  <c r="H38" i="34"/>
  <c r="AB38" i="34"/>
  <c r="J36" i="34"/>
  <c r="W36" i="34"/>
  <c r="H37" i="34"/>
  <c r="U37" i="34"/>
  <c r="H25" i="34"/>
  <c r="AB25" i="34"/>
  <c r="J25" i="34"/>
  <c r="AC25" i="34"/>
  <c r="F23" i="34"/>
  <c r="AA23" i="34" s="1"/>
  <c r="J19" i="34"/>
  <c r="AC19" i="34" s="1"/>
  <c r="F17" i="34"/>
  <c r="J17" i="34"/>
  <c r="W17" i="34" s="1"/>
  <c r="AB17" i="34"/>
  <c r="F113" i="33"/>
  <c r="G113" i="33" s="1"/>
  <c r="H113" i="33" s="1"/>
  <c r="I113" i="33" s="1"/>
  <c r="J113" i="33" s="1"/>
  <c r="K113" i="33" s="1"/>
  <c r="L113" i="33" s="1"/>
  <c r="M113" i="33" s="1"/>
  <c r="H37" i="33"/>
  <c r="H15" i="33"/>
  <c r="AB15" i="33" s="1"/>
  <c r="H11" i="33"/>
  <c r="F28" i="40"/>
  <c r="AA28" i="40" s="1"/>
  <c r="S42" i="34"/>
  <c r="AC38" i="34"/>
  <c r="AA38" i="34"/>
  <c r="J37" i="34"/>
  <c r="AC37" i="34"/>
  <c r="J11" i="33"/>
  <c r="W11" i="33"/>
  <c r="U23" i="40"/>
  <c r="J42" i="21"/>
  <c r="H42" i="21"/>
  <c r="U42" i="21" s="1"/>
  <c r="J44" i="34"/>
  <c r="AC44" i="34" s="1"/>
  <c r="F44" i="34"/>
  <c r="AA44" i="34" s="1"/>
  <c r="J10" i="35"/>
  <c r="W10" i="35" s="1"/>
  <c r="J14" i="21"/>
  <c r="W14" i="21" s="1"/>
  <c r="F14" i="21"/>
  <c r="S14" i="21" s="1"/>
  <c r="H14" i="21"/>
  <c r="U14" i="21" s="1"/>
  <c r="H28" i="21"/>
  <c r="AB28" i="21" s="1"/>
  <c r="F28" i="21"/>
  <c r="AA28" i="21" s="1"/>
  <c r="J28" i="21"/>
  <c r="H30" i="21"/>
  <c r="F30" i="21"/>
  <c r="J30" i="21"/>
  <c r="AC30" i="21" s="1"/>
  <c r="J44" i="21"/>
  <c r="H46" i="21"/>
  <c r="U46" i="21" s="1"/>
  <c r="J46" i="2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H14" i="36"/>
  <c r="U14" i="36" s="1"/>
  <c r="F28" i="36"/>
  <c r="H27" i="21"/>
  <c r="AB27" i="21" s="1"/>
  <c r="F27" i="21"/>
  <c r="AA27" i="21" s="1"/>
  <c r="H29" i="21"/>
  <c r="U29" i="21" s="1"/>
  <c r="J31" i="21"/>
  <c r="AC31" i="21" s="1"/>
  <c r="F31" i="21"/>
  <c r="F45" i="21"/>
  <c r="AA45" i="21" s="1"/>
  <c r="F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H13" i="36"/>
  <c r="AB13" i="36" s="1"/>
  <c r="J13" i="36"/>
  <c r="AC13" i="36" s="1"/>
  <c r="F13" i="36"/>
  <c r="G89" i="37"/>
  <c r="H89" i="37" s="1"/>
  <c r="I89" i="37" s="1"/>
  <c r="J89" i="37" s="1"/>
  <c r="K89" i="37" s="1"/>
  <c r="L89" i="37" s="1"/>
  <c r="M89" i="37" s="1"/>
  <c r="J29" i="37"/>
  <c r="W29" i="37"/>
  <c r="F29" i="37"/>
  <c r="S29" i="37"/>
  <c r="H36" i="37"/>
  <c r="J37" i="37"/>
  <c r="AC37" i="37" s="1"/>
  <c r="H37" i="37"/>
  <c r="U37" i="37" s="1"/>
  <c r="H30" i="33"/>
  <c r="F30" i="33"/>
  <c r="H44" i="33"/>
  <c r="U44" i="33" s="1"/>
  <c r="F29" i="34"/>
  <c r="S29" i="34" s="1"/>
  <c r="H29" i="34"/>
  <c r="AB29" i="34" s="1"/>
  <c r="J31" i="34"/>
  <c r="H31" i="34"/>
  <c r="F31" i="34"/>
  <c r="S31" i="34" s="1"/>
  <c r="H45" i="34"/>
  <c r="U45" i="34" s="1"/>
  <c r="J45" i="34"/>
  <c r="W45" i="34" s="1"/>
  <c r="F45" i="34"/>
  <c r="H47" i="34"/>
  <c r="U47" i="34" s="1"/>
  <c r="F47" i="34"/>
  <c r="J47" i="34"/>
  <c r="AC47" i="34" s="1"/>
  <c r="F13" i="35"/>
  <c r="J13" i="35"/>
  <c r="AC13" i="35" s="1"/>
  <c r="H13" i="35"/>
  <c r="J25" i="35"/>
  <c r="W25" i="35" s="1"/>
  <c r="F25" i="35"/>
  <c r="S25" i="35" s="1"/>
  <c r="H25" i="35"/>
  <c r="AB25" i="35" s="1"/>
  <c r="J35" i="35"/>
  <c r="AC35" i="35" s="1"/>
  <c r="F35" i="35"/>
  <c r="AA35" i="35" s="1"/>
  <c r="H35" i="35"/>
  <c r="AB35" i="35" s="1"/>
  <c r="J25" i="36"/>
  <c r="W25" i="36" s="1"/>
  <c r="F25" i="36"/>
  <c r="H25" i="36"/>
  <c r="AB25" i="36" s="1"/>
  <c r="H13" i="37"/>
  <c r="F13" i="37"/>
  <c r="S13" i="37" s="1"/>
  <c r="J13" i="37"/>
  <c r="W13" i="37" s="1"/>
  <c r="F28" i="37"/>
  <c r="AA28" i="37" s="1"/>
  <c r="J28" i="37"/>
  <c r="AC28" i="37" s="1"/>
  <c r="H28" i="37"/>
  <c r="U28" i="37" s="1"/>
  <c r="H38" i="37"/>
  <c r="J38" i="37"/>
  <c r="AC38" i="37" s="1"/>
  <c r="F38" i="37"/>
  <c r="F43" i="39"/>
  <c r="AA43" i="39" s="1"/>
  <c r="H43" i="39"/>
  <c r="U43" i="39" s="1"/>
  <c r="H14" i="39"/>
  <c r="AB14" i="39" s="1"/>
  <c r="F12" i="40"/>
  <c r="S12" i="40" s="1"/>
  <c r="H12" i="40"/>
  <c r="AB12" i="40" s="1"/>
  <c r="H30" i="40"/>
  <c r="AB30" i="40" s="1"/>
  <c r="F33" i="40"/>
  <c r="AA33" i="40" s="1"/>
  <c r="H33" i="40"/>
  <c r="U33" i="40" s="1"/>
  <c r="J35" i="40"/>
  <c r="J37" i="40"/>
  <c r="AC37" i="40" s="1"/>
  <c r="F13" i="40"/>
  <c r="F14" i="37"/>
  <c r="S14" i="37" s="1"/>
  <c r="F27" i="37"/>
  <c r="AA27" i="37" s="1"/>
  <c r="F13" i="39"/>
  <c r="J13" i="39"/>
  <c r="W13" i="39"/>
  <c r="H13" i="39"/>
  <c r="H14" i="40"/>
  <c r="AB14" i="40" s="1"/>
  <c r="J14" i="40"/>
  <c r="W14" i="40" s="1"/>
  <c r="F14" i="40"/>
  <c r="J14" i="37"/>
  <c r="J36" i="37"/>
  <c r="AC36" i="37" s="1"/>
  <c r="AB11" i="35"/>
  <c r="J10" i="36"/>
  <c r="AC10" i="36" s="1"/>
  <c r="AA14" i="37"/>
  <c r="W13" i="36"/>
  <c r="AB46" i="34"/>
  <c r="AA14" i="34"/>
  <c r="AB45" i="33"/>
  <c r="U31" i="33"/>
  <c r="U13" i="33"/>
  <c r="BA586" i="3"/>
  <c r="F17" i="21"/>
  <c r="AA17" i="21" s="1"/>
  <c r="H17" i="21"/>
  <c r="AB17" i="21" s="1"/>
  <c r="F15" i="21"/>
  <c r="J41" i="39"/>
  <c r="W41" i="39" s="1"/>
  <c r="W44" i="39"/>
  <c r="W35" i="39"/>
  <c r="S35" i="39"/>
  <c r="G544" i="3"/>
  <c r="G531" i="3"/>
  <c r="G504" i="3"/>
  <c r="G584" i="3"/>
  <c r="G580" i="3"/>
  <c r="G572" i="3"/>
  <c r="G568" i="3"/>
  <c r="G564" i="3"/>
  <c r="G554" i="3"/>
  <c r="BL584" i="3"/>
  <c r="BL576" i="3"/>
  <c r="BL572" i="3"/>
  <c r="BL568" i="3"/>
  <c r="BL560" i="3"/>
  <c r="BL554" i="3"/>
  <c r="BL546" i="3"/>
  <c r="BL542" i="3"/>
  <c r="BL522" i="3"/>
  <c r="BL582" i="3"/>
  <c r="BL578" i="3"/>
  <c r="BL570" i="3"/>
  <c r="BL566" i="3"/>
  <c r="BL562" i="3"/>
  <c r="BL556" i="3"/>
  <c r="BL552" i="3"/>
  <c r="BL544" i="3"/>
  <c r="BL540" i="3"/>
  <c r="BL518" i="3"/>
  <c r="BL496" i="3"/>
  <c r="BA584" i="3"/>
  <c r="BA582" i="3"/>
  <c r="AZ582" i="3"/>
  <c r="BA580" i="3"/>
  <c r="BA578" i="3"/>
  <c r="AZ578" i="3" s="1"/>
  <c r="BA576" i="3"/>
  <c r="AZ576" i="3" s="1"/>
  <c r="BA574" i="3"/>
  <c r="BA572" i="3"/>
  <c r="AZ572" i="3"/>
  <c r="BA570" i="3"/>
  <c r="BA568" i="3"/>
  <c r="AZ568" i="3" s="1"/>
  <c r="BA566" i="3"/>
  <c r="AZ566" i="3" s="1"/>
  <c r="BA564" i="3"/>
  <c r="BA562" i="3"/>
  <c r="BA560" i="3"/>
  <c r="BA558" i="3"/>
  <c r="BA556" i="3"/>
  <c r="AZ556" i="3" s="1"/>
  <c r="BA554" i="3"/>
  <c r="AZ554" i="3" s="1"/>
  <c r="BA552" i="3"/>
  <c r="AZ552" i="3" s="1"/>
  <c r="BA548" i="3"/>
  <c r="BA546" i="3"/>
  <c r="BA544" i="3"/>
  <c r="BA542" i="3"/>
  <c r="AZ542" i="3" s="1"/>
  <c r="BA538" i="3"/>
  <c r="BA534" i="3"/>
  <c r="BA530" i="3"/>
  <c r="BA520" i="3"/>
  <c r="BA510" i="3"/>
  <c r="BA504" i="3"/>
  <c r="BA498" i="3"/>
  <c r="BA587" i="3"/>
  <c r="BA583" i="3"/>
  <c r="BA581" i="3"/>
  <c r="BA579" i="3"/>
  <c r="BA577" i="3"/>
  <c r="BA575" i="3"/>
  <c r="BA573" i="3"/>
  <c r="BA571" i="3"/>
  <c r="BA569" i="3"/>
  <c r="BA567" i="3"/>
  <c r="BA565" i="3"/>
  <c r="BA563" i="3"/>
  <c r="BA561" i="3"/>
  <c r="BA559" i="3"/>
  <c r="BA555" i="3"/>
  <c r="BA553" i="3"/>
  <c r="BA547" i="3"/>
  <c r="BA545" i="3"/>
  <c r="BA543" i="3"/>
  <c r="BA537" i="3"/>
  <c r="BA529" i="3"/>
  <c r="BA519" i="3"/>
  <c r="BA511" i="3"/>
  <c r="BA501"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AZ563" i="3" s="1"/>
  <c r="BQ561" i="3"/>
  <c r="BL561" i="3" s="1"/>
  <c r="BQ559" i="3"/>
  <c r="BL559" i="3" s="1"/>
  <c r="AZ559" i="3" s="1"/>
  <c r="G559" i="3"/>
  <c r="G555" i="3"/>
  <c r="G553" i="3"/>
  <c r="G547" i="3"/>
  <c r="G545" i="3"/>
  <c r="G543" i="3"/>
  <c r="G539" i="3"/>
  <c r="BQ555" i="3"/>
  <c r="BL555" i="3" s="1"/>
  <c r="AZ555" i="3"/>
  <c r="BQ553" i="3"/>
  <c r="BL553" i="3"/>
  <c r="AZ553" i="3" s="1"/>
  <c r="BQ551" i="3"/>
  <c r="BL551" i="3" s="1"/>
  <c r="BQ549" i="3"/>
  <c r="BQ547" i="3"/>
  <c r="BL547" i="3"/>
  <c r="AZ547" i="3" s="1"/>
  <c r="BQ545" i="3"/>
  <c r="BL545" i="3" s="1"/>
  <c r="AZ545" i="3"/>
  <c r="BQ543" i="3"/>
  <c r="BL543" i="3"/>
  <c r="AZ543" i="3" s="1"/>
  <c r="BQ541" i="3"/>
  <c r="BQ539" i="3"/>
  <c r="BL539" i="3" s="1"/>
  <c r="BQ537" i="3"/>
  <c r="BQ535" i="3"/>
  <c r="BL535" i="3"/>
  <c r="BQ533" i="3"/>
  <c r="BQ531" i="3"/>
  <c r="BL531" i="3" s="1"/>
  <c r="BQ529" i="3"/>
  <c r="BQ527" i="3"/>
  <c r="BL527" i="3"/>
  <c r="BQ525" i="3"/>
  <c r="BQ523" i="3"/>
  <c r="BL523" i="3" s="1"/>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J43" i="33"/>
  <c r="AC43" i="33" s="1"/>
  <c r="U43" i="33"/>
  <c r="S28" i="31"/>
  <c r="S27" i="31"/>
  <c r="S26" i="31"/>
  <c r="U14" i="40"/>
  <c r="AC33" i="36"/>
  <c r="AA12" i="35"/>
  <c r="AB28" i="37"/>
  <c r="W26" i="37"/>
  <c r="AC8" i="37"/>
  <c r="U26" i="37"/>
  <c r="W47" i="34"/>
  <c r="W37" i="34"/>
  <c r="AB37" i="34"/>
  <c r="AC36" i="34"/>
  <c r="AC31" i="33"/>
  <c r="U19" i="21"/>
  <c r="AB38" i="21"/>
  <c r="F43" i="33"/>
  <c r="W15" i="34"/>
  <c r="AC15" i="34"/>
  <c r="W16" i="35"/>
  <c r="G107" i="37"/>
  <c r="H107" i="37" s="1"/>
  <c r="I107" i="37" s="1"/>
  <c r="J107" i="37" s="1"/>
  <c r="K107" i="37" s="1"/>
  <c r="L107" i="37" s="1"/>
  <c r="M107" i="37" s="1"/>
  <c r="H37" i="21"/>
  <c r="U37" i="21"/>
  <c r="S42" i="21"/>
  <c r="H19" i="34"/>
  <c r="AB19" i="34" s="1"/>
  <c r="F36" i="35"/>
  <c r="S36" i="35" s="1"/>
  <c r="J9" i="37"/>
  <c r="W9" i="37" s="1"/>
  <c r="H9" i="37"/>
  <c r="F9" i="37"/>
  <c r="S9" i="37" s="1"/>
  <c r="J12" i="37"/>
  <c r="W12" i="37" s="1"/>
  <c r="H12" i="37"/>
  <c r="F12" i="37"/>
  <c r="E71" i="37"/>
  <c r="F71" i="37" s="1"/>
  <c r="G71" i="37" s="1"/>
  <c r="F15" i="37"/>
  <c r="AA15" i="37"/>
  <c r="F31" i="37"/>
  <c r="F12" i="39"/>
  <c r="S12" i="39" s="1"/>
  <c r="J42" i="39"/>
  <c r="H21" i="40"/>
  <c r="AC12" i="37"/>
  <c r="H31" i="37"/>
  <c r="U31" i="37" s="1"/>
  <c r="J15" i="37"/>
  <c r="W15" i="37"/>
  <c r="AT6" i="3"/>
  <c r="AA25" i="21"/>
  <c r="C12" i="43"/>
  <c r="H19" i="40"/>
  <c r="U19" i="40" s="1"/>
  <c r="F19" i="40"/>
  <c r="S19" i="40" s="1"/>
  <c r="AB33" i="40"/>
  <c r="W23" i="39"/>
  <c r="U45" i="39"/>
  <c r="G101" i="39"/>
  <c r="H37" i="39"/>
  <c r="AB37" i="39" s="1"/>
  <c r="H25" i="39"/>
  <c r="AB25" i="39" s="1"/>
  <c r="J25" i="39"/>
  <c r="F25" i="39"/>
  <c r="F15" i="39"/>
  <c r="AA15" i="39" s="1"/>
  <c r="H15" i="39"/>
  <c r="J15" i="39"/>
  <c r="H41" i="39"/>
  <c r="U41" i="39" s="1"/>
  <c r="W27" i="39"/>
  <c r="AB34" i="39"/>
  <c r="U40" i="39"/>
  <c r="S42" i="39"/>
  <c r="AA41" i="39"/>
  <c r="W9" i="39"/>
  <c r="W8" i="39"/>
  <c r="J19" i="40"/>
  <c r="AC19" i="40"/>
  <c r="J50" i="40"/>
  <c r="B54" i="72"/>
  <c r="H103" i="9"/>
  <c r="D8" i="53" s="1"/>
  <c r="B16" i="53"/>
  <c r="B33" i="72" s="1"/>
  <c r="C7" i="37"/>
  <c r="C52" i="37" s="1"/>
  <c r="D52" i="37" s="1"/>
  <c r="C7" i="34"/>
  <c r="C7" i="36"/>
  <c r="C46" i="36" s="1"/>
  <c r="D46" i="36" s="1"/>
  <c r="A118" i="9"/>
  <c r="A4" i="52"/>
  <c r="B41" i="72" s="1"/>
  <c r="J11" i="39"/>
  <c r="W11" i="39" s="1"/>
  <c r="F11" i="39"/>
  <c r="AA11" i="39" s="1"/>
  <c r="A12" i="52"/>
  <c r="B56" i="72" s="1"/>
  <c r="S11" i="39"/>
  <c r="G4" i="4"/>
  <c r="I4" i="4"/>
  <c r="A2" i="9"/>
  <c r="F59" i="43"/>
  <c r="H62" i="43" s="1"/>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AZ124" i="3" s="1"/>
  <c r="G125" i="3"/>
  <c r="BA127" i="3"/>
  <c r="BL128" i="3"/>
  <c r="G129" i="3"/>
  <c r="BA131" i="3"/>
  <c r="BL132" i="3"/>
  <c r="AZ132" i="3" s="1"/>
  <c r="G133" i="3"/>
  <c r="BA135" i="3"/>
  <c r="BL136" i="3"/>
  <c r="G137" i="3"/>
  <c r="BA139" i="3"/>
  <c r="AZ139" i="3"/>
  <c r="BL140" i="3"/>
  <c r="AZ140" i="3"/>
  <c r="G141" i="3"/>
  <c r="BA143" i="3"/>
  <c r="AZ143" i="3" s="1"/>
  <c r="BL144" i="3"/>
  <c r="AZ144" i="3" s="1"/>
  <c r="G145" i="3"/>
  <c r="BA147" i="3"/>
  <c r="BL148" i="3"/>
  <c r="AZ148" i="3" s="1"/>
  <c r="G149" i="3"/>
  <c r="BA151" i="3"/>
  <c r="AZ151" i="3" s="1"/>
  <c r="BL152" i="3"/>
  <c r="G153" i="3"/>
  <c r="BA155" i="3"/>
  <c r="AZ155" i="3" s="1"/>
  <c r="BL156" i="3"/>
  <c r="AZ156" i="3" s="1"/>
  <c r="G157" i="3"/>
  <c r="BA159" i="3"/>
  <c r="BL160" i="3"/>
  <c r="G161" i="3"/>
  <c r="BA163" i="3"/>
  <c r="AZ163" i="3" s="1"/>
  <c r="BL164" i="3"/>
  <c r="AZ164" i="3" s="1"/>
  <c r="G165" i="3"/>
  <c r="BA167" i="3"/>
  <c r="AZ167" i="3"/>
  <c r="BL168" i="3"/>
  <c r="G169" i="3"/>
  <c r="BA171" i="3"/>
  <c r="AZ171" i="3"/>
  <c r="BL172" i="3"/>
  <c r="G173" i="3"/>
  <c r="BA175" i="3"/>
  <c r="AZ175" i="3" s="1"/>
  <c r="BL176" i="3"/>
  <c r="AZ176" i="3" s="1"/>
  <c r="G177" i="3"/>
  <c r="BA179" i="3"/>
  <c r="AZ179" i="3" s="1"/>
  <c r="BL180" i="3"/>
  <c r="AZ180" i="3" s="1"/>
  <c r="G181" i="3"/>
  <c r="BA183" i="3"/>
  <c r="AZ183" i="3" s="1"/>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83" i="3"/>
  <c r="AZ136" i="3"/>
  <c r="AZ160" i="3"/>
  <c r="AZ168" i="3"/>
  <c r="AZ184" i="3"/>
  <c r="AZ192" i="3"/>
  <c r="AZ200" i="3"/>
  <c r="AZ85" i="3"/>
  <c r="AZ89" i="3"/>
  <c r="AZ93" i="3"/>
  <c r="AZ97" i="3"/>
  <c r="AZ105" i="3"/>
  <c r="AZ109" i="3"/>
  <c r="AZ120" i="3"/>
  <c r="AZ128" i="3"/>
  <c r="G530" i="3"/>
  <c r="G506" i="3"/>
  <c r="G16" i="3"/>
  <c r="BA304" i="3"/>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BA390" i="3"/>
  <c r="BL390" i="3"/>
  <c r="G391" i="3"/>
  <c r="G394" i="3"/>
  <c r="AZ138" i="3"/>
  <c r="AZ142" i="3"/>
  <c r="AZ154" i="3"/>
  <c r="AZ162" i="3"/>
  <c r="AZ166" i="3"/>
  <c r="AZ174" i="3"/>
  <c r="AZ178" i="3"/>
  <c r="AZ182" i="3"/>
  <c r="AZ190" i="3"/>
  <c r="AZ194" i="3"/>
  <c r="AZ198" i="3"/>
  <c r="BA16" i="3"/>
  <c r="BL303" i="3"/>
  <c r="AZ303" i="3" s="1"/>
  <c r="G304" i="3"/>
  <c r="BA306" i="3"/>
  <c r="BL307" i="3"/>
  <c r="AZ307" i="3" s="1"/>
  <c r="G308" i="3"/>
  <c r="BA310" i="3"/>
  <c r="AZ310" i="3" s="1"/>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AZ343" i="3" s="1"/>
  <c r="G344" i="3"/>
  <c r="G348" i="3"/>
  <c r="G355" i="3"/>
  <c r="AZ209" i="3"/>
  <c r="AZ214" i="3"/>
  <c r="AZ218" i="3"/>
  <c r="AZ319" i="3"/>
  <c r="G342" i="3"/>
  <c r="BL345" i="3"/>
  <c r="AZ345" i="3" s="1"/>
  <c r="G346" i="3"/>
  <c r="BL349" i="3"/>
  <c r="BL352" i="3"/>
  <c r="G353" i="3"/>
  <c r="BA357" i="3"/>
  <c r="AZ357" i="3" s="1"/>
  <c r="BL358" i="3"/>
  <c r="AZ358" i="3" s="1"/>
  <c r="G359" i="3"/>
  <c r="BA361" i="3"/>
  <c r="AZ361" i="3" s="1"/>
  <c r="BL362" i="3"/>
  <c r="AZ362" i="3" s="1"/>
  <c r="G363" i="3"/>
  <c r="BA365" i="3"/>
  <c r="AZ365" i="3" s="1"/>
  <c r="BL366" i="3"/>
  <c r="G367" i="3"/>
  <c r="BA369" i="3"/>
  <c r="BL370" i="3"/>
  <c r="G371" i="3"/>
  <c r="BA373" i="3"/>
  <c r="AZ373" i="3" s="1"/>
  <c r="BL374" i="3"/>
  <c r="AZ374" i="3" s="1"/>
  <c r="G375" i="3"/>
  <c r="BA377" i="3"/>
  <c r="AZ229" i="3"/>
  <c r="AZ233" i="3"/>
  <c r="AZ241" i="3"/>
  <c r="AZ249" i="3"/>
  <c r="AZ253" i="3"/>
  <c r="AZ265" i="3"/>
  <c r="AZ269" i="3"/>
  <c r="AZ273" i="3"/>
  <c r="AZ370" i="3"/>
  <c r="BA379" i="3"/>
  <c r="AZ379" i="3"/>
  <c r="BL380" i="3"/>
  <c r="G381" i="3"/>
  <c r="BA383" i="3"/>
  <c r="AZ383" i="3"/>
  <c r="BL384" i="3"/>
  <c r="G385" i="3"/>
  <c r="BA387" i="3"/>
  <c r="AZ387" i="3"/>
  <c r="BL388" i="3"/>
  <c r="G389" i="3"/>
  <c r="BA391" i="3"/>
  <c r="AZ391" i="3"/>
  <c r="BL392" i="3"/>
  <c r="G393" i="3"/>
  <c r="AZ263" i="3"/>
  <c r="AZ275" i="3"/>
  <c r="AZ283" i="3"/>
  <c r="AZ295" i="3"/>
  <c r="AZ299" i="3"/>
  <c r="BJ5" i="3"/>
  <c r="AZ309" i="3"/>
  <c r="AZ325" i="3"/>
  <c r="AZ341" i="3"/>
  <c r="G548" i="3"/>
  <c r="G520" i="3"/>
  <c r="BA17" i="3"/>
  <c r="AZ350" i="3"/>
  <c r="AZ352" i="3"/>
  <c r="AZ364" i="3"/>
  <c r="AZ388" i="3"/>
  <c r="AZ392" i="3"/>
  <c r="G509" i="3"/>
  <c r="AZ491" i="3"/>
  <c r="AZ376" i="3"/>
  <c r="U36" i="40"/>
  <c r="F36" i="43"/>
  <c r="F81" i="43"/>
  <c r="H113" i="43"/>
  <c r="F48" i="43"/>
  <c r="H52" i="43" s="1"/>
  <c r="F70" i="43"/>
  <c r="H73" i="43" s="1"/>
  <c r="M11" i="43"/>
  <c r="D17" i="43"/>
  <c r="F39" i="43"/>
  <c r="I17" i="43"/>
  <c r="F35" i="43"/>
  <c r="J17" i="43"/>
  <c r="F6" i="1"/>
  <c r="U17" i="39"/>
  <c r="S14" i="35"/>
  <c r="U43" i="21"/>
  <c r="U35" i="21"/>
  <c r="AC35" i="21"/>
  <c r="G9" i="1"/>
  <c r="G10" i="1"/>
  <c r="AC11" i="39"/>
  <c r="W37" i="37"/>
  <c r="S15" i="37"/>
  <c r="U12" i="40"/>
  <c r="AA12" i="40"/>
  <c r="J37" i="33"/>
  <c r="AC17" i="34"/>
  <c r="J34" i="33"/>
  <c r="W34" i="33"/>
  <c r="F33" i="34"/>
  <c r="S33" i="34"/>
  <c r="H20" i="36"/>
  <c r="U20" i="36"/>
  <c r="J20" i="36"/>
  <c r="W20" i="36"/>
  <c r="J27" i="36"/>
  <c r="AC33" i="40"/>
  <c r="H35" i="40"/>
  <c r="AB35" i="40" s="1"/>
  <c r="AC29" i="35"/>
  <c r="W29" i="35"/>
  <c r="H35" i="37"/>
  <c r="AC14" i="35"/>
  <c r="H20" i="35"/>
  <c r="U20" i="35" s="1"/>
  <c r="F20" i="35"/>
  <c r="AA20" i="35" s="1"/>
  <c r="AB29" i="36"/>
  <c r="U29" i="36"/>
  <c r="H32" i="37"/>
  <c r="AB32" i="37" s="1"/>
  <c r="F96" i="37"/>
  <c r="G96" i="37"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J39" i="39"/>
  <c r="AZ353" i="3"/>
  <c r="AZ386" i="3"/>
  <c r="C40" i="11"/>
  <c r="AZ227" i="3"/>
  <c r="AZ235" i="3"/>
  <c r="AZ251" i="3"/>
  <c r="AZ256" i="3"/>
  <c r="AZ268" i="3"/>
  <c r="AZ271" i="3"/>
  <c r="AZ280" i="3"/>
  <c r="AZ288" i="3"/>
  <c r="AZ296" i="3"/>
  <c r="AZ117" i="3"/>
  <c r="AZ133" i="3"/>
  <c r="AZ42" i="3"/>
  <c r="AZ53" i="3"/>
  <c r="AZ58" i="3"/>
  <c r="AZ69" i="3"/>
  <c r="AZ72" i="3"/>
  <c r="AZ110" i="3"/>
  <c r="H75" i="43"/>
  <c r="H50" i="43"/>
  <c r="I20" i="43"/>
  <c r="F23" i="39"/>
  <c r="AA23" i="39" s="1"/>
  <c r="H27" i="36"/>
  <c r="U27" i="36" s="1"/>
  <c r="F27" i="36"/>
  <c r="AA27" i="36" s="1"/>
  <c r="H33" i="34"/>
  <c r="U33" i="34" s="1"/>
  <c r="F32" i="37"/>
  <c r="AA32" i="37" s="1"/>
  <c r="H96" i="37"/>
  <c r="I96" i="37" s="1"/>
  <c r="J96" i="37" s="1"/>
  <c r="K96" i="37" s="1"/>
  <c r="L96" i="37" s="1"/>
  <c r="M96" i="37" s="1"/>
  <c r="F20" i="36"/>
  <c r="J33" i="34"/>
  <c r="AC33" i="34" s="1"/>
  <c r="H23" i="39"/>
  <c r="U23" i="39" s="1"/>
  <c r="D48" i="9"/>
  <c r="M52" i="9" s="1"/>
  <c r="H82" i="43"/>
  <c r="K9" i="1"/>
  <c r="AE9" i="1"/>
  <c r="D93" i="9"/>
  <c r="AB34" i="36"/>
  <c r="U34" i="36"/>
  <c r="AB33" i="36"/>
  <c r="U33" i="36"/>
  <c r="AC12" i="39"/>
  <c r="W12" i="39"/>
  <c r="AC39" i="40"/>
  <c r="W39" i="40"/>
  <c r="AZ412" i="3"/>
  <c r="AZ433" i="3"/>
  <c r="AZ465" i="3"/>
  <c r="W12" i="33"/>
  <c r="AC12" i="33"/>
  <c r="AA32" i="36"/>
  <c r="S32" i="36"/>
  <c r="AZ437" i="3"/>
  <c r="AZ457" i="3"/>
  <c r="AZ473" i="3"/>
  <c r="AA39" i="34"/>
  <c r="W28" i="37"/>
  <c r="S19" i="39"/>
  <c r="F12" i="33"/>
  <c r="AA12" i="33" s="1"/>
  <c r="H12" i="39"/>
  <c r="AB12" i="39"/>
  <c r="F39" i="40"/>
  <c r="AZ367" i="3"/>
  <c r="AZ254" i="3"/>
  <c r="AZ281" i="3"/>
  <c r="AZ286" i="3"/>
  <c r="AZ297" i="3"/>
  <c r="AZ149" i="3"/>
  <c r="AZ173" i="3"/>
  <c r="AZ189" i="3"/>
  <c r="S12" i="1"/>
  <c r="AR12" i="1" s="1"/>
  <c r="R12" i="1"/>
  <c r="B12" i="1"/>
  <c r="E12" i="1" s="1"/>
  <c r="S10" i="1"/>
  <c r="AQ10" i="1" s="1"/>
  <c r="R10" i="1"/>
  <c r="B10" i="1"/>
  <c r="E10" i="1" s="1"/>
  <c r="AZ88" i="3"/>
  <c r="AZ107" i="3"/>
  <c r="AZ111" i="3"/>
  <c r="K12" i="1"/>
  <c r="M12" i="1" s="1"/>
  <c r="O12" i="1" s="1"/>
  <c r="S13" i="1"/>
  <c r="AR13" i="1" s="1"/>
  <c r="R13" i="1"/>
  <c r="S11" i="1"/>
  <c r="AQ11" i="1" s="1"/>
  <c r="R11" i="1"/>
  <c r="S9" i="1"/>
  <c r="AR9" i="1" s="1"/>
  <c r="R9" i="1"/>
  <c r="J51" i="67"/>
  <c r="C42" i="1"/>
  <c r="C24" i="12" s="1"/>
  <c r="H100" i="43"/>
  <c r="AC34" i="33"/>
  <c r="AA34" i="33"/>
  <c r="B41" i="1"/>
  <c r="F31" i="12" s="1"/>
  <c r="S22" i="31"/>
  <c r="R22" i="31" s="1"/>
  <c r="J100" i="43"/>
  <c r="AB37" i="40"/>
  <c r="U35" i="40"/>
  <c r="AC36" i="40"/>
  <c r="AA32" i="40"/>
  <c r="S17" i="40"/>
  <c r="S23" i="40"/>
  <c r="AC17" i="40"/>
  <c r="AC15" i="40"/>
  <c r="S30" i="40"/>
  <c r="AA19" i="40"/>
  <c r="S28" i="40"/>
  <c r="AB19" i="40"/>
  <c r="U37" i="39"/>
  <c r="S43" i="39"/>
  <c r="U35" i="39"/>
  <c r="F32" i="39"/>
  <c r="F107" i="39"/>
  <c r="G107" i="39" s="1"/>
  <c r="H107" i="39" s="1"/>
  <c r="U25" i="39"/>
  <c r="AB27" i="39"/>
  <c r="U31" i="39"/>
  <c r="J21" i="39"/>
  <c r="W21" i="39" s="1"/>
  <c r="F21" i="39"/>
  <c r="H21" i="39"/>
  <c r="W19" i="39"/>
  <c r="U19" i="39"/>
  <c r="S17" i="39"/>
  <c r="S15" i="39"/>
  <c r="AA12" i="39"/>
  <c r="S9" i="39"/>
  <c r="U14" i="39"/>
  <c r="AC13" i="39"/>
  <c r="U12" i="39"/>
  <c r="U13" i="36"/>
  <c r="AB27" i="36"/>
  <c r="U26" i="36"/>
  <c r="S33" i="36"/>
  <c r="AA26" i="36"/>
  <c r="AA34" i="36"/>
  <c r="S29" i="36"/>
  <c r="AC26" i="36"/>
  <c r="AA22" i="36"/>
  <c r="AB14" i="36"/>
  <c r="U22" i="36"/>
  <c r="S16" i="36"/>
  <c r="AB20" i="36"/>
  <c r="U16" i="36"/>
  <c r="S14" i="36"/>
  <c r="U10" i="36"/>
  <c r="W10" i="36"/>
  <c r="W24" i="35"/>
  <c r="U29" i="35"/>
  <c r="U28" i="35"/>
  <c r="AB27" i="35"/>
  <c r="U32" i="35"/>
  <c r="AA33" i="35"/>
  <c r="AC30" i="35"/>
  <c r="S32" i="35"/>
  <c r="AA36" i="35"/>
  <c r="W32" i="35"/>
  <c r="S28" i="35"/>
  <c r="AB16" i="35"/>
  <c r="U22" i="35"/>
  <c r="S20" i="35"/>
  <c r="AC20" i="35"/>
  <c r="S22" i="35"/>
  <c r="U14" i="35"/>
  <c r="AC10" i="35"/>
  <c r="AA10" i="35"/>
  <c r="AB10" i="35"/>
  <c r="AA11" i="35"/>
  <c r="S8" i="35"/>
  <c r="AC12" i="35"/>
  <c r="W13" i="35"/>
  <c r="F26" i="35"/>
  <c r="AA26" i="35" s="1"/>
  <c r="J26" i="35"/>
  <c r="AC26" i="35" s="1"/>
  <c r="H26" i="35"/>
  <c r="S25" i="37"/>
  <c r="S26" i="37"/>
  <c r="AC9" i="37"/>
  <c r="AC29" i="37"/>
  <c r="U29" i="37"/>
  <c r="S32" i="37"/>
  <c r="AB31" i="37"/>
  <c r="W30" i="37"/>
  <c r="S36" i="37"/>
  <c r="U32" i="37"/>
  <c r="W38" i="37"/>
  <c r="AC35" i="37"/>
  <c r="S30" i="37"/>
  <c r="S37" i="37"/>
  <c r="AC15" i="37"/>
  <c r="J17" i="37"/>
  <c r="W17" i="37" s="1"/>
  <c r="F17" i="37"/>
  <c r="AA17" i="37" s="1"/>
  <c r="AB17" i="37"/>
  <c r="F19" i="37"/>
  <c r="S19" i="37" s="1"/>
  <c r="F79" i="37"/>
  <c r="F23" i="37"/>
  <c r="U23" i="37"/>
  <c r="AC13" i="37"/>
  <c r="AA13" i="37"/>
  <c r="AA9" i="37"/>
  <c r="H10" i="37"/>
  <c r="H60" i="37"/>
  <c r="I60" i="37" s="1"/>
  <c r="F11" i="37"/>
  <c r="S11" i="37" s="1"/>
  <c r="S27" i="34"/>
  <c r="W25" i="34"/>
  <c r="AB8" i="34"/>
  <c r="AA33" i="34"/>
  <c r="U44" i="34"/>
  <c r="U43" i="34"/>
  <c r="AC39" i="34"/>
  <c r="W41" i="34"/>
  <c r="AC42" i="34"/>
  <c r="AB35" i="34"/>
  <c r="U39" i="34"/>
  <c r="S43" i="34"/>
  <c r="AB41" i="34"/>
  <c r="W34" i="34"/>
  <c r="AA25" i="34"/>
  <c r="U28" i="34"/>
  <c r="AA29" i="34"/>
  <c r="S23" i="34"/>
  <c r="S10" i="34"/>
  <c r="H67" i="34"/>
  <c r="I67" i="34" s="1"/>
  <c r="H10" i="34"/>
  <c r="F11" i="34"/>
  <c r="F70" i="34"/>
  <c r="W42" i="33"/>
  <c r="AA35" i="33"/>
  <c r="AA29" i="33"/>
  <c r="AB29" i="33"/>
  <c r="W38" i="33"/>
  <c r="H41" i="33"/>
  <c r="U41" i="33" s="1"/>
  <c r="F121" i="33"/>
  <c r="G121" i="33"/>
  <c r="H121" i="33" s="1"/>
  <c r="I121" i="33" s="1"/>
  <c r="J121" i="33" s="1"/>
  <c r="K121" i="33" s="1"/>
  <c r="L121" i="33" s="1"/>
  <c r="M121" i="33" s="1"/>
  <c r="S42" i="33"/>
  <c r="F36" i="33"/>
  <c r="G111" i="33"/>
  <c r="G108" i="33"/>
  <c r="H108" i="33"/>
  <c r="I108" i="33" s="1"/>
  <c r="J108" i="33" s="1"/>
  <c r="K108" i="33" s="1"/>
  <c r="L108" i="33" s="1"/>
  <c r="M108" i="33" s="1"/>
  <c r="J35" i="33"/>
  <c r="AC35" i="33" s="1"/>
  <c r="S37" i="33"/>
  <c r="AA37" i="33"/>
  <c r="F101" i="33"/>
  <c r="G101" i="33" s="1"/>
  <c r="H101" i="33"/>
  <c r="I101" i="33" s="1"/>
  <c r="J101" i="33" s="1"/>
  <c r="K101" i="33" s="1"/>
  <c r="L101" i="33" s="1"/>
  <c r="M101" i="33" s="1"/>
  <c r="J32" i="33"/>
  <c r="W32" i="33" s="1"/>
  <c r="W43" i="33"/>
  <c r="F91" i="33"/>
  <c r="H27" i="33"/>
  <c r="F87" i="33"/>
  <c r="H25" i="33"/>
  <c r="F25" i="33"/>
  <c r="AA25" i="33" s="1"/>
  <c r="J23" i="33"/>
  <c r="F85" i="33"/>
  <c r="G85" i="33" s="1"/>
  <c r="H23" i="33"/>
  <c r="U23" i="33" s="1"/>
  <c r="F81" i="33"/>
  <c r="F19" i="33"/>
  <c r="S19" i="33" s="1"/>
  <c r="W19" i="33"/>
  <c r="J17" i="33"/>
  <c r="AC17" i="33" s="1"/>
  <c r="F79" i="33"/>
  <c r="S15" i="33"/>
  <c r="U9" i="33"/>
  <c r="J10" i="33"/>
  <c r="W10" i="33" s="1"/>
  <c r="H10" i="33"/>
  <c r="AB10" i="33" s="1"/>
  <c r="AA10" i="33"/>
  <c r="AC11" i="33"/>
  <c r="W36" i="21"/>
  <c r="W41" i="21"/>
  <c r="AB39" i="21"/>
  <c r="S39" i="21"/>
  <c r="AA38" i="21"/>
  <c r="J15" i="21"/>
  <c r="W15" i="21" s="1"/>
  <c r="F23" i="21"/>
  <c r="E85" i="21"/>
  <c r="AC11" i="21"/>
  <c r="AB8" i="21"/>
  <c r="S8" i="21"/>
  <c r="M3" i="43"/>
  <c r="M1" i="43"/>
  <c r="N8" i="43"/>
  <c r="D120" i="9"/>
  <c r="D121" i="9" s="1"/>
  <c r="D7" i="52" s="1"/>
  <c r="C18" i="9"/>
  <c r="D18" i="9" s="1"/>
  <c r="F34" i="67"/>
  <c r="F62" i="67"/>
  <c r="M20" i="67"/>
  <c r="F34" i="15"/>
  <c r="F62" i="15" s="1"/>
  <c r="BA13" i="3"/>
  <c r="BL17" i="3"/>
  <c r="BL13" i="3"/>
  <c r="J56" i="9"/>
  <c r="J57" i="9" s="1"/>
  <c r="J59" i="9" s="1"/>
  <c r="J61" i="9" s="1"/>
  <c r="A24" i="51"/>
  <c r="B18" i="72" s="1"/>
  <c r="G1" i="68"/>
  <c r="K1" i="12"/>
  <c r="E19" i="69"/>
  <c r="E19" i="68"/>
  <c r="E19" i="11"/>
  <c r="E1" i="73"/>
  <c r="G22" i="69"/>
  <c r="G22" i="68"/>
  <c r="G26" i="12"/>
  <c r="G22" i="11"/>
  <c r="C100" i="43"/>
  <c r="E11" i="43"/>
  <c r="E10" i="43"/>
  <c r="E9" i="43"/>
  <c r="E8" i="43"/>
  <c r="C7" i="43" s="1"/>
  <c r="E81" i="43"/>
  <c r="B79" i="43" s="1"/>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59" i="34"/>
  <c r="D59" i="34" s="1"/>
  <c r="E59" i="34" s="1"/>
  <c r="F59" i="34" s="1"/>
  <c r="G59" i="34" s="1"/>
  <c r="H59" i="34" s="1"/>
  <c r="A4" i="51"/>
  <c r="B6" i="72" s="1"/>
  <c r="C4" i="12"/>
  <c r="H66" i="43"/>
  <c r="H65" i="43"/>
  <c r="H64" i="43"/>
  <c r="H63" i="43"/>
  <c r="H55" i="43"/>
  <c r="H56" i="43"/>
  <c r="H72" i="43"/>
  <c r="L20" i="6"/>
  <c r="B6" i="1"/>
  <c r="E6" i="1"/>
  <c r="K11" i="1"/>
  <c r="M11" i="1" s="1"/>
  <c r="O11" i="1" s="1"/>
  <c r="B9" i="1"/>
  <c r="E9" i="1" s="1"/>
  <c r="G1" i="15"/>
  <c r="G1" i="69"/>
  <c r="G1" i="67"/>
  <c r="W23" i="40"/>
  <c r="U32" i="40"/>
  <c r="AB31" i="40"/>
  <c r="S37" i="40"/>
  <c r="AB28" i="40"/>
  <c r="W28" i="40"/>
  <c r="W34" i="40"/>
  <c r="W19" i="40"/>
  <c r="S36" i="40"/>
  <c r="W37" i="40"/>
  <c r="AC14" i="40"/>
  <c r="S33" i="40"/>
  <c r="AA15" i="40"/>
  <c r="U11" i="40"/>
  <c r="S31" i="40"/>
  <c r="U15" i="40"/>
  <c r="AB17" i="40"/>
  <c r="U8" i="40"/>
  <c r="AC41" i="39"/>
  <c r="U42" i="39"/>
  <c r="AB23" i="39"/>
  <c r="AB41" i="39"/>
  <c r="W25" i="39"/>
  <c r="AC25" i="39"/>
  <c r="U13" i="39"/>
  <c r="AB13" i="39"/>
  <c r="AA13" i="39"/>
  <c r="S13" i="39"/>
  <c r="AB11" i="39"/>
  <c r="U11" i="39"/>
  <c r="S27" i="39"/>
  <c r="W17" i="39"/>
  <c r="AC17" i="39"/>
  <c r="W31" i="39"/>
  <c r="AC31" i="39"/>
  <c r="S23" i="39"/>
  <c r="AA45" i="39"/>
  <c r="AB39" i="39"/>
  <c r="W34" i="39"/>
  <c r="S8" i="39"/>
  <c r="AC25" i="36"/>
  <c r="U32" i="36"/>
  <c r="W29" i="36"/>
  <c r="AC20" i="36"/>
  <c r="U25" i="36"/>
  <c r="AB28" i="36"/>
  <c r="W9" i="36"/>
  <c r="W22" i="36"/>
  <c r="W23" i="36"/>
  <c r="AB20" i="35"/>
  <c r="AC25" i="35"/>
  <c r="U25" i="35"/>
  <c r="S24" i="35"/>
  <c r="W33" i="35"/>
  <c r="AA30" i="35"/>
  <c r="U24" i="35"/>
  <c r="S35" i="35"/>
  <c r="W35" i="35"/>
  <c r="AA16" i="35"/>
  <c r="AA35" i="37"/>
  <c r="W36" i="37"/>
  <c r="S27" i="37"/>
  <c r="S28" i="37"/>
  <c r="W32" i="37"/>
  <c r="AB37" i="37"/>
  <c r="AC34" i="37"/>
  <c r="AA11" i="37"/>
  <c r="U19" i="37"/>
  <c r="AA29" i="37"/>
  <c r="AA8"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W43" i="34"/>
  <c r="W23" i="34"/>
  <c r="AC23" i="34"/>
  <c r="AC35" i="34"/>
  <c r="W35" i="34"/>
  <c r="U12" i="34"/>
  <c r="AB12" i="34"/>
  <c r="AB28" i="33"/>
  <c r="U39" i="33"/>
  <c r="U38" i="33"/>
  <c r="AB34" i="33"/>
  <c r="AB44" i="33"/>
  <c r="S30" i="33"/>
  <c r="AA30" i="33"/>
  <c r="AC30" i="33"/>
  <c r="W30" i="33"/>
  <c r="S31" i="33"/>
  <c r="AA31" i="33"/>
  <c r="W13" i="33"/>
  <c r="AC13" i="33"/>
  <c r="U15" i="33"/>
  <c r="S11" i="33"/>
  <c r="AC28" i="33"/>
  <c r="S28" i="33"/>
  <c r="W9" i="33"/>
  <c r="AB42" i="21"/>
  <c r="AA11" i="21"/>
  <c r="S45" i="21"/>
  <c r="J101" i="21"/>
  <c r="K101" i="21" s="1"/>
  <c r="L101" i="21" s="1"/>
  <c r="M101" i="21" s="1"/>
  <c r="F33" i="21"/>
  <c r="S33" i="21" s="1"/>
  <c r="J33" i="21"/>
  <c r="H33" i="21"/>
  <c r="F37" i="21"/>
  <c r="AA37" i="21" s="1"/>
  <c r="AA26" i="21"/>
  <c r="AB14" i="21"/>
  <c r="AB46" i="21"/>
  <c r="S35" i="21"/>
  <c r="AB37" i="21"/>
  <c r="J37" i="21"/>
  <c r="W37" i="21" s="1"/>
  <c r="H15" i="21"/>
  <c r="U15" i="21" s="1"/>
  <c r="J17" i="21"/>
  <c r="AC19" i="21"/>
  <c r="AC14" i="21"/>
  <c r="W30" i="21"/>
  <c r="S46" i="21"/>
  <c r="H45" i="21"/>
  <c r="U45" i="21"/>
  <c r="H32" i="21"/>
  <c r="AB32" i="21" s="1"/>
  <c r="H9" i="21"/>
  <c r="AB9" i="21" s="1"/>
  <c r="J9" i="21"/>
  <c r="W9" i="21" s="1"/>
  <c r="J32" i="21"/>
  <c r="W32" i="21" s="1"/>
  <c r="F32" i="21"/>
  <c r="AA32" i="21" s="1"/>
  <c r="U17" i="21"/>
  <c r="S19" i="21"/>
  <c r="S9" i="21"/>
  <c r="AA9" i="21"/>
  <c r="K141" i="21"/>
  <c r="K144" i="21"/>
  <c r="K143" i="21"/>
  <c r="AB25" i="21"/>
  <c r="AC45" i="21"/>
  <c r="F10" i="21"/>
  <c r="K145" i="21"/>
  <c r="W25" i="21"/>
  <c r="W31" i="21"/>
  <c r="S27"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E7" i="70"/>
  <c r="AA39" i="40"/>
  <c r="S39" i="40"/>
  <c r="S12" i="33"/>
  <c r="J32" i="39"/>
  <c r="AC32" i="39" s="1"/>
  <c r="I107" i="39"/>
  <c r="J107" i="39" s="1"/>
  <c r="K107" i="39" s="1"/>
  <c r="L107" i="39" s="1"/>
  <c r="M107" i="39" s="1"/>
  <c r="H32" i="39"/>
  <c r="AB32" i="39" s="1"/>
  <c r="AA32" i="39"/>
  <c r="S32" i="39"/>
  <c r="AB21" i="39"/>
  <c r="U21" i="39"/>
  <c r="AA21" i="39"/>
  <c r="S21" i="39"/>
  <c r="AC21" i="39"/>
  <c r="S26" i="35"/>
  <c r="W26" i="35"/>
  <c r="AB26" i="35"/>
  <c r="U26" i="35"/>
  <c r="AC17" i="37"/>
  <c r="J19" i="37"/>
  <c r="G75" i="37"/>
  <c r="AA19" i="37"/>
  <c r="J23" i="37"/>
  <c r="W23" i="37" s="1"/>
  <c r="G79" i="37"/>
  <c r="J10" i="37"/>
  <c r="AC10" i="37" s="1"/>
  <c r="G63" i="37"/>
  <c r="H63" i="37" s="1"/>
  <c r="H11" i="37"/>
  <c r="U11" i="37" s="1"/>
  <c r="AB10" i="37"/>
  <c r="U10" i="37"/>
  <c r="G70" i="34"/>
  <c r="H11" i="34"/>
  <c r="U11" i="34" s="1"/>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F23" i="33"/>
  <c r="AA23" i="33" s="1"/>
  <c r="AC23" i="33"/>
  <c r="W23" i="33"/>
  <c r="H19" i="33"/>
  <c r="U19" i="33" s="1"/>
  <c r="G81" i="33"/>
  <c r="G79" i="33"/>
  <c r="H17" i="33"/>
  <c r="U17" i="33" s="1"/>
  <c r="F17" i="33"/>
  <c r="S17" i="33" s="1"/>
  <c r="W17" i="33"/>
  <c r="U10" i="33"/>
  <c r="AC10" i="33"/>
  <c r="S37" i="21"/>
  <c r="AB15" i="21"/>
  <c r="J23" i="21"/>
  <c r="F85" i="21"/>
  <c r="G85" i="21" s="1"/>
  <c r="H23" i="21"/>
  <c r="U23" i="21" s="1"/>
  <c r="D6" i="52"/>
  <c r="AP7" i="1"/>
  <c r="AB45" i="21"/>
  <c r="AC33" i="21"/>
  <c r="W33" i="21"/>
  <c r="AC32" i="21"/>
  <c r="U9" i="21"/>
  <c r="S32" i="21"/>
  <c r="AC9" i="21"/>
  <c r="U32" i="21"/>
  <c r="AA10" i="21"/>
  <c r="S10" i="21"/>
  <c r="E6" i="70"/>
  <c r="A18" i="62"/>
  <c r="B64" i="72" s="1"/>
  <c r="U32" i="39"/>
  <c r="W32" i="39"/>
  <c r="W19" i="37"/>
  <c r="AC19" i="37"/>
  <c r="AB11" i="37"/>
  <c r="I63" i="37"/>
  <c r="J63" i="37" s="1"/>
  <c r="K63" i="37" s="1"/>
  <c r="L63" i="37" s="1"/>
  <c r="M63" i="37" s="1"/>
  <c r="J11" i="37"/>
  <c r="W10" i="37"/>
  <c r="AB11" i="34"/>
  <c r="H70" i="34"/>
  <c r="I70" i="34" s="1"/>
  <c r="J70" i="34" s="1"/>
  <c r="K70" i="34" s="1"/>
  <c r="L70" i="34" s="1"/>
  <c r="M70" i="34" s="1"/>
  <c r="J11" i="34"/>
  <c r="W11" i="34" s="1"/>
  <c r="U36" i="33"/>
  <c r="AB36" i="33"/>
  <c r="W27" i="33"/>
  <c r="AC27" i="33"/>
  <c r="W25" i="33"/>
  <c r="AC25" i="33"/>
  <c r="AB19" i="33"/>
  <c r="AB17" i="33"/>
  <c r="AC23" i="21"/>
  <c r="W23" i="21"/>
  <c r="AC11" i="37"/>
  <c r="W11" i="37"/>
  <c r="AC11" i="34"/>
  <c r="AE7" i="1"/>
  <c r="AE8" i="1"/>
  <c r="AE6" i="1"/>
  <c r="AG6" i="1"/>
  <c r="H109" i="9"/>
  <c r="M49" i="9"/>
  <c r="L68" i="9" s="1"/>
  <c r="M68" i="9" s="1"/>
  <c r="H110" i="9"/>
  <c r="D18" i="53" s="1"/>
  <c r="B35" i="72" s="1"/>
  <c r="D124" i="9"/>
  <c r="H14" i="74" s="1"/>
  <c r="B7" i="74" s="1"/>
  <c r="D16" i="53"/>
  <c r="B34" i="72"/>
  <c r="D17" i="53"/>
  <c r="B36" i="7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G20" i="43"/>
  <c r="C20" i="43" s="1"/>
  <c r="I59" i="34"/>
  <c r="J59" i="34" s="1"/>
  <c r="B8" i="76"/>
  <c r="AO6" i="1"/>
  <c r="D2" i="21"/>
  <c r="F13" i="15"/>
  <c r="D3" i="73"/>
  <c r="D2" i="35"/>
  <c r="M6" i="67"/>
  <c r="E10" i="76"/>
  <c r="L47" i="67"/>
  <c r="B7" i="76"/>
  <c r="AO13" i="1"/>
  <c r="D2" i="34"/>
  <c r="D34" i="9"/>
  <c r="F16" i="67"/>
  <c r="F41" i="67"/>
  <c r="D2" i="37"/>
  <c r="F8" i="67"/>
  <c r="F37" i="15"/>
  <c r="M28" i="15"/>
  <c r="M22" i="67"/>
  <c r="AO8" i="1"/>
  <c r="F38" i="67"/>
  <c r="F36" i="67"/>
  <c r="J15" i="15"/>
  <c r="F3" i="73"/>
  <c r="D5" i="73"/>
  <c r="F6" i="73"/>
  <c r="M27" i="67"/>
  <c r="D7" i="73"/>
  <c r="M6" i="15"/>
  <c r="F4" i="73"/>
  <c r="M28" i="67"/>
  <c r="M26" i="15"/>
  <c r="AO9" i="1"/>
  <c r="M23" i="15"/>
  <c r="M23" i="67"/>
  <c r="AO12" i="1"/>
  <c r="F20" i="31"/>
  <c r="B9" i="76"/>
  <c r="B11" i="76"/>
  <c r="B12" i="76"/>
  <c r="F7" i="73"/>
  <c r="E13" i="76"/>
  <c r="B13" i="76"/>
  <c r="C76" i="15"/>
  <c r="M24" i="67"/>
  <c r="F42" i="15"/>
  <c r="F36" i="15"/>
  <c r="D35" i="9"/>
  <c r="D2" i="33"/>
  <c r="E8" i="76"/>
  <c r="B10" i="76"/>
  <c r="AO10" i="1"/>
  <c r="F5" i="73"/>
  <c r="E2" i="68"/>
  <c r="C76" i="67"/>
  <c r="E9" i="76"/>
  <c r="E12" i="76"/>
  <c r="F8" i="15"/>
  <c r="E2" i="69"/>
  <c r="D4" i="73"/>
  <c r="E7" i="76"/>
  <c r="AO7" i="1"/>
  <c r="E11" i="76"/>
  <c r="D2" i="36"/>
  <c r="F16" i="15"/>
  <c r="AO11" i="1"/>
  <c r="AA17" i="33" l="1"/>
  <c r="AZ560" i="3"/>
  <c r="AC11" i="35"/>
  <c r="W11" i="35"/>
  <c r="W30" i="34"/>
  <c r="AC30" i="34"/>
  <c r="AA45" i="33"/>
  <c r="S45" i="33"/>
  <c r="AC29" i="33"/>
  <c r="W29" i="33"/>
  <c r="AA38" i="40"/>
  <c r="S38" i="40"/>
  <c r="E41" i="43"/>
  <c r="C41" i="43" s="1"/>
  <c r="D125" i="9"/>
  <c r="D11" i="52" s="1"/>
  <c r="D10" i="52"/>
  <c r="W36" i="33"/>
  <c r="AC23" i="37"/>
  <c r="AA19" i="33"/>
  <c r="AC15" i="21"/>
  <c r="S27" i="36"/>
  <c r="G17" i="43"/>
  <c r="C16" i="43" s="1"/>
  <c r="AZ390" i="3"/>
  <c r="AZ369" i="3"/>
  <c r="AZ351" i="3"/>
  <c r="AZ313" i="3"/>
  <c r="AZ336" i="3"/>
  <c r="AZ322" i="3"/>
  <c r="AZ311" i="3"/>
  <c r="AZ304" i="3"/>
  <c r="AA41" i="34"/>
  <c r="AA14" i="40"/>
  <c r="S14" i="40"/>
  <c r="W32" i="36"/>
  <c r="AC32" i="36"/>
  <c r="W45" i="33"/>
  <c r="AC45" i="33"/>
  <c r="S13" i="33"/>
  <c r="AA13" i="33"/>
  <c r="BL586" i="3"/>
  <c r="AZ586" i="3" s="1"/>
  <c r="E20" i="6"/>
  <c r="K7" i="1" s="1"/>
  <c r="M7" i="1" s="1"/>
  <c r="F9" i="36"/>
  <c r="H9" i="36"/>
  <c r="F23" i="36"/>
  <c r="H23" i="36"/>
  <c r="J38" i="40"/>
  <c r="H39" i="40"/>
  <c r="G574" i="3"/>
  <c r="G558" i="3"/>
  <c r="G542" i="3"/>
  <c r="BA541" i="3"/>
  <c r="G541" i="3"/>
  <c r="BA540" i="3"/>
  <c r="AZ540" i="3" s="1"/>
  <c r="G540" i="3"/>
  <c r="BL538" i="3"/>
  <c r="G538" i="3"/>
  <c r="G537" i="3"/>
  <c r="BA536" i="3"/>
  <c r="G536" i="3"/>
  <c r="G535" i="3"/>
  <c r="G534" i="3"/>
  <c r="BA533" i="3"/>
  <c r="G533" i="3"/>
  <c r="BA532" i="3"/>
  <c r="G532" i="3"/>
  <c r="BL530" i="3"/>
  <c r="G529" i="3"/>
  <c r="G528" i="3"/>
  <c r="G527"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BL421" i="3"/>
  <c r="G423" i="3"/>
  <c r="BL423" i="3"/>
  <c r="BA424" i="3"/>
  <c r="AZ424" i="3" s="1"/>
  <c r="AZ434" i="3"/>
  <c r="BL440" i="3"/>
  <c r="AZ450" i="3"/>
  <c r="AZ458" i="3"/>
  <c r="AZ394" i="3"/>
  <c r="AZ389" i="3"/>
  <c r="AZ380" i="3"/>
  <c r="AZ360" i="3"/>
  <c r="U33" i="37"/>
  <c r="AZ561" i="3"/>
  <c r="AZ581" i="3"/>
  <c r="AZ530" i="3"/>
  <c r="AZ544" i="3"/>
  <c r="AZ562" i="3"/>
  <c r="AZ570" i="3"/>
  <c r="S44" i="34"/>
  <c r="AA29" i="35"/>
  <c r="W33" i="37"/>
  <c r="BA551" i="3"/>
  <c r="AZ551" i="3" s="1"/>
  <c r="BL550" i="3"/>
  <c r="BA550" i="3"/>
  <c r="AZ550" i="3" s="1"/>
  <c r="BL549" i="3"/>
  <c r="BA549" i="3"/>
  <c r="BA525" i="3"/>
  <c r="BA521" i="3"/>
  <c r="BL519" i="3"/>
  <c r="BL515" i="3"/>
  <c r="BA515" i="3"/>
  <c r="BA512" i="3"/>
  <c r="BL511" i="3"/>
  <c r="BL508" i="3"/>
  <c r="BA508" i="3"/>
  <c r="BL507" i="3"/>
  <c r="BA505" i="3"/>
  <c r="BL504" i="3"/>
  <c r="BL503" i="3"/>
  <c r="BL502" i="3"/>
  <c r="BA502" i="3"/>
  <c r="BA497" i="3"/>
  <c r="BA496" i="3"/>
  <c r="AZ496" i="3" s="1"/>
  <c r="BF5" i="3"/>
  <c r="BB5" i="3"/>
  <c r="BS5" i="3"/>
  <c r="BL493" i="3"/>
  <c r="BG5" i="3"/>
  <c r="G17" i="3"/>
  <c r="BL14" i="3"/>
  <c r="BA398" i="3"/>
  <c r="AZ398" i="3" s="1"/>
  <c r="AZ411" i="3"/>
  <c r="AZ420" i="3"/>
  <c r="AZ423" i="3"/>
  <c r="BL425" i="3"/>
  <c r="BA426" i="3"/>
  <c r="AZ426" i="3" s="1"/>
  <c r="BL428" i="3"/>
  <c r="AZ428" i="3" s="1"/>
  <c r="BA429" i="3"/>
  <c r="AZ429" i="3" s="1"/>
  <c r="G432" i="3"/>
  <c r="BL432" i="3"/>
  <c r="AZ432" i="3" s="1"/>
  <c r="BL435" i="3"/>
  <c r="AZ435" i="3" s="1"/>
  <c r="BA436" i="3"/>
  <c r="AZ436" i="3" s="1"/>
  <c r="AZ438" i="3"/>
  <c r="BL438" i="3"/>
  <c r="BA439" i="3"/>
  <c r="AZ439" i="3" s="1"/>
  <c r="BL441" i="3"/>
  <c r="AZ441" i="3" s="1"/>
  <c r="G443" i="3"/>
  <c r="G445" i="3"/>
  <c r="BL445" i="3"/>
  <c r="AZ445" i="3" s="1"/>
  <c r="G447" i="3"/>
  <c r="BL447" i="3"/>
  <c r="BA448" i="3"/>
  <c r="AZ448" i="3" s="1"/>
  <c r="BA451" i="3"/>
  <c r="AZ451" i="3" s="1"/>
  <c r="G454" i="3"/>
  <c r="G456" i="3"/>
  <c r="BL456" i="3"/>
  <c r="AZ456" i="3" s="1"/>
  <c r="BA459" i="3"/>
  <c r="AZ459" i="3" s="1"/>
  <c r="BL459" i="3"/>
  <c r="G461" i="3"/>
  <c r="BL461" i="3"/>
  <c r="G463" i="3"/>
  <c r="BL463" i="3"/>
  <c r="G465" i="3"/>
  <c r="G466" i="3"/>
  <c r="BL466" i="3"/>
  <c r="G468" i="3"/>
  <c r="BL468" i="3"/>
  <c r="G470" i="3"/>
  <c r="BL470" i="3"/>
  <c r="G472" i="3"/>
  <c r="BL472" i="3"/>
  <c r="G475" i="3"/>
  <c r="BL475" i="3"/>
  <c r="AZ475" i="3" s="1"/>
  <c r="BA476" i="3"/>
  <c r="AZ476" i="3" s="1"/>
  <c r="BA477" i="3"/>
  <c r="AZ477" i="3" s="1"/>
  <c r="BL477" i="3"/>
  <c r="BA478" i="3"/>
  <c r="AZ478" i="3" s="1"/>
  <c r="G481" i="3"/>
  <c r="G483" i="3"/>
  <c r="BL483" i="3"/>
  <c r="AZ483" i="3" s="1"/>
  <c r="BA484" i="3"/>
  <c r="AZ484" i="3" s="1"/>
  <c r="G487" i="3"/>
  <c r="G489" i="3"/>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G217" i="3"/>
  <c r="BL217" i="3"/>
  <c r="G220" i="3"/>
  <c r="BL220" i="3"/>
  <c r="BA221" i="3"/>
  <c r="AZ221" i="3" s="1"/>
  <c r="BA222" i="3"/>
  <c r="AZ222" i="3" s="1"/>
  <c r="BA223" i="3"/>
  <c r="AZ223" i="3" s="1"/>
  <c r="BA224" i="3"/>
  <c r="AZ224" i="3" s="1"/>
  <c r="G227" i="3"/>
  <c r="G228" i="3"/>
  <c r="BL228" i="3"/>
  <c r="BA230" i="3"/>
  <c r="AZ230" i="3" s="1"/>
  <c r="BL232" i="3"/>
  <c r="AZ232" i="3" s="1"/>
  <c r="BL234" i="3"/>
  <c r="AZ234" i="3" s="1"/>
  <c r="BA236" i="3"/>
  <c r="AZ236" i="3" s="1"/>
  <c r="BA237" i="3"/>
  <c r="AZ237" i="3" s="1"/>
  <c r="BA238" i="3"/>
  <c r="AZ238" i="3" s="1"/>
  <c r="BL240" i="3"/>
  <c r="AZ240"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G264" i="3"/>
  <c r="BL264" i="3"/>
  <c r="BL266" i="3"/>
  <c r="AZ266" i="3" s="1"/>
  <c r="G268" i="3"/>
  <c r="G269" i="3"/>
  <c r="G270" i="3"/>
  <c r="BL270" i="3"/>
  <c r="G273" i="3"/>
  <c r="G274" i="3"/>
  <c r="BL274" i="3"/>
  <c r="BA276" i="3"/>
  <c r="AZ276" i="3" s="1"/>
  <c r="BA278" i="3"/>
  <c r="AZ278" i="3" s="1"/>
  <c r="BA279" i="3"/>
  <c r="AZ279" i="3" s="1"/>
  <c r="AZ298" i="3"/>
  <c r="AZ210" i="3"/>
  <c r="AZ220" i="3"/>
  <c r="AZ228" i="3"/>
  <c r="AZ255" i="3"/>
  <c r="AZ274" i="3"/>
  <c r="G282" i="3"/>
  <c r="BL282" i="3"/>
  <c r="G285" i="3"/>
  <c r="BL285" i="3"/>
  <c r="AZ285" i="3" s="1"/>
  <c r="BL287" i="3"/>
  <c r="AZ287" i="3" s="1"/>
  <c r="BA289" i="3"/>
  <c r="AZ289" i="3" s="1"/>
  <c r="BL291" i="3"/>
  <c r="AZ291" i="3" s="1"/>
  <c r="BA292" i="3"/>
  <c r="AZ292" i="3" s="1"/>
  <c r="G295" i="3"/>
  <c r="G296" i="3"/>
  <c r="G297" i="3"/>
  <c r="G298" i="3"/>
  <c r="BL298" i="3"/>
  <c r="BA300" i="3"/>
  <c r="AZ300" i="3" s="1"/>
  <c r="BA302" i="3"/>
  <c r="AZ302" i="3" s="1"/>
  <c r="BA113" i="3"/>
  <c r="AZ113" i="3" s="1"/>
  <c r="BA114" i="3"/>
  <c r="AZ114" i="3" s="1"/>
  <c r="BL115" i="3"/>
  <c r="AZ115" i="3" s="1"/>
  <c r="G119" i="3"/>
  <c r="BA121" i="3"/>
  <c r="AZ121" i="3" s="1"/>
  <c r="G124" i="3"/>
  <c r="BA126" i="3"/>
  <c r="AZ126" i="3" s="1"/>
  <c r="BL127" i="3"/>
  <c r="AZ127" i="3" s="1"/>
  <c r="BA129" i="3"/>
  <c r="AZ129" i="3" s="1"/>
  <c r="BA130" i="3"/>
  <c r="AZ130" i="3" s="1"/>
  <c r="BL131" i="3"/>
  <c r="AZ131" i="3" s="1"/>
  <c r="G135" i="3"/>
  <c r="BK5" i="3"/>
  <c r="BN5" i="3"/>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22" i="3"/>
  <c r="BL24" i="3"/>
  <c r="G31" i="3"/>
  <c r="G33" i="3"/>
  <c r="G36" i="3"/>
  <c r="BA37" i="3"/>
  <c r="AZ37" i="3" s="1"/>
  <c r="BL37" i="3"/>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AZ70"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C29" i="39"/>
  <c r="B66" i="43"/>
  <c r="E25" i="71"/>
  <c r="AA25" i="71"/>
  <c r="AA31" i="71"/>
  <c r="AA30" i="71"/>
  <c r="F63" i="71"/>
  <c r="Q64" i="71"/>
  <c r="O65" i="71"/>
  <c r="C64" i="71"/>
  <c r="M56" i="9"/>
  <c r="K56" i="9"/>
  <c r="AA23" i="71"/>
  <c r="BL92" i="3"/>
  <c r="BL94" i="3"/>
  <c r="AZ94" i="3" s="1"/>
  <c r="G96" i="3"/>
  <c r="BL96" i="3"/>
  <c r="G99" i="3"/>
  <c r="BL99" i="3"/>
  <c r="AZ99" i="3" s="1"/>
  <c r="BA100" i="3"/>
  <c r="AZ100" i="3" s="1"/>
  <c r="BA101" i="3"/>
  <c r="AZ101" i="3" s="1"/>
  <c r="BA102" i="3"/>
  <c r="AZ102" i="3" s="1"/>
  <c r="G105" i="3"/>
  <c r="G106" i="3"/>
  <c r="BL106" i="3"/>
  <c r="AZ106" i="3" s="1"/>
  <c r="G109" i="3"/>
  <c r="G110" i="3"/>
  <c r="G111" i="3"/>
  <c r="G112" i="3"/>
  <c r="BL112" i="3"/>
  <c r="K100" i="43"/>
  <c r="U21" i="21"/>
  <c r="W21" i="34"/>
  <c r="U18" i="35"/>
  <c r="U21" i="34"/>
  <c r="AA24" i="71"/>
  <c r="C72" i="71"/>
  <c r="E68" i="71"/>
  <c r="E67" i="71" s="1"/>
  <c r="Q65" i="71"/>
  <c r="T65" i="71"/>
  <c r="AB22" i="71"/>
  <c r="AB23" i="71"/>
  <c r="C28" i="71"/>
  <c r="Y25" i="71"/>
  <c r="Z25" i="71" s="1"/>
  <c r="Y34" i="71"/>
  <c r="Z34" i="71" s="1"/>
  <c r="C31" i="71"/>
  <c r="AB26" i="71"/>
  <c r="E32" i="71"/>
  <c r="E33" i="71" s="1"/>
  <c r="U33" i="71" s="1"/>
  <c r="X30" i="71"/>
  <c r="X26" i="71"/>
  <c r="B25" i="71"/>
  <c r="B24" i="71" s="1"/>
  <c r="B23" i="71" s="1"/>
  <c r="X25" i="71"/>
  <c r="Y26" i="71"/>
  <c r="Z26" i="71" s="1"/>
  <c r="Y22" i="71"/>
  <c r="Z22" i="71" s="1"/>
  <c r="Y24" i="71"/>
  <c r="Z24" i="71" s="1"/>
  <c r="F29" i="71"/>
  <c r="V29" i="71" s="1"/>
  <c r="AA27" i="71"/>
  <c r="Y33" i="71"/>
  <c r="Z33" i="71" s="1"/>
  <c r="D35" i="71"/>
  <c r="C36" i="71"/>
  <c r="Y35" i="71"/>
  <c r="Z35" i="71" s="1"/>
  <c r="X36" i="71"/>
  <c r="X33" i="71"/>
  <c r="X35" i="71"/>
  <c r="P65" i="71"/>
  <c r="E64" i="71"/>
  <c r="U73" i="71"/>
  <c r="E72" i="71"/>
  <c r="E71" i="71" s="1"/>
  <c r="D85" i="71"/>
  <c r="C84" i="71"/>
  <c r="AE12" i="43"/>
  <c r="AE10" i="43"/>
  <c r="P61" i="67"/>
  <c r="P74" i="67"/>
  <c r="E21" i="71"/>
  <c r="AA3" i="71"/>
  <c r="X21" i="71"/>
  <c r="E36" i="71"/>
  <c r="E37" i="71" s="1"/>
  <c r="U37" i="71" s="1"/>
  <c r="B33" i="71"/>
  <c r="S33" i="71" s="1"/>
  <c r="B29" i="71"/>
  <c r="S29" i="71" s="1"/>
  <c r="X22" i="71"/>
  <c r="E28" i="71"/>
  <c r="E29" i="71" s="1"/>
  <c r="U29" i="71" s="1"/>
  <c r="X27" i="71"/>
  <c r="AB27" i="71"/>
  <c r="Y28" i="71"/>
  <c r="Z28" i="71" s="1"/>
  <c r="X28" i="71"/>
  <c r="AB29" i="71"/>
  <c r="AB31" i="71"/>
  <c r="Y32" i="71"/>
  <c r="Z32" i="71" s="1"/>
  <c r="AB33" i="71"/>
  <c r="B37" i="71"/>
  <c r="S37" i="71" s="1"/>
  <c r="Y21" i="71"/>
  <c r="Z21" i="71" s="1"/>
  <c r="AQ12" i="1"/>
  <c r="BL35" i="3"/>
  <c r="F7" i="1"/>
  <c r="G7" i="1" s="1"/>
  <c r="C48" i="68"/>
  <c r="D68" i="9"/>
  <c r="M18" i="67"/>
  <c r="C30" i="68"/>
  <c r="F28" i="15"/>
  <c r="C28" i="15" s="1"/>
  <c r="C40" i="69"/>
  <c r="C21" i="69"/>
  <c r="D22" i="67"/>
  <c r="AQ9" i="1"/>
  <c r="E32" i="6"/>
  <c r="BA15" i="3"/>
  <c r="BA14" i="3"/>
  <c r="BL28" i="3"/>
  <c r="BL27" i="3"/>
  <c r="BA33" i="3"/>
  <c r="AZ13" i="3"/>
  <c r="BL19" i="3"/>
  <c r="G20" i="3"/>
  <c r="G22" i="3"/>
  <c r="BL23" i="3"/>
  <c r="BL29" i="3"/>
  <c r="BL33" i="3"/>
  <c r="G34" i="3"/>
  <c r="G26" i="3"/>
  <c r="G18" i="3"/>
  <c r="BA32" i="3"/>
  <c r="BA34" i="3"/>
  <c r="AZ34" i="3" s="1"/>
  <c r="BA35" i="3"/>
  <c r="AZ35" i="3" s="1"/>
  <c r="BC5" i="3"/>
  <c r="BA30" i="3"/>
  <c r="T13" i="1"/>
  <c r="T11" i="1"/>
  <c r="AQ13" i="1"/>
  <c r="BL21" i="3"/>
  <c r="T9" i="1"/>
  <c r="G14" i="3"/>
  <c r="BL36" i="3"/>
  <c r="AZ36" i="3" s="1"/>
  <c r="E2" i="70"/>
  <c r="BL18" i="3"/>
  <c r="BL20" i="3"/>
  <c r="BL22" i="3"/>
  <c r="BL26" i="3"/>
  <c r="BL31" i="3"/>
  <c r="G19" i="3"/>
  <c r="G21" i="3"/>
  <c r="G23" i="3"/>
  <c r="G24" i="3"/>
  <c r="G25" i="3"/>
  <c r="G27" i="3"/>
  <c r="G28" i="3"/>
  <c r="G29" i="3"/>
  <c r="G30" i="3"/>
  <c r="G32" i="3"/>
  <c r="G35" i="3"/>
  <c r="AR10" i="1"/>
  <c r="BA23" i="3"/>
  <c r="BA24" i="3"/>
  <c r="AZ24" i="3" s="1"/>
  <c r="BA25" i="3"/>
  <c r="BA26" i="3"/>
  <c r="BA27" i="3"/>
  <c r="BA28" i="3"/>
  <c r="BA29" i="3"/>
  <c r="AZ29" i="3" s="1"/>
  <c r="BA31" i="3"/>
  <c r="BL16" i="3"/>
  <c r="AZ16" i="3" s="1"/>
  <c r="AZ17" i="3"/>
  <c r="BL15" i="3"/>
  <c r="AZ15" i="3" s="1"/>
  <c r="BA18" i="3"/>
  <c r="BA19" i="3"/>
  <c r="BA20" i="3"/>
  <c r="BA21" i="3"/>
  <c r="BL25" i="3"/>
  <c r="BL30" i="3"/>
  <c r="BL32" i="3"/>
  <c r="AZ32" i="3" s="1"/>
  <c r="T10" i="1"/>
  <c r="T12" i="1"/>
  <c r="AR11" i="1"/>
  <c r="E68" i="39"/>
  <c r="F68" i="39" s="1"/>
  <c r="F70" i="39" s="1"/>
  <c r="AA9" i="35"/>
  <c r="S9" i="35"/>
  <c r="AZ549" i="3"/>
  <c r="AZ515" i="3"/>
  <c r="AZ508" i="3"/>
  <c r="AZ502" i="3"/>
  <c r="S15" i="21"/>
  <c r="AA15" i="21"/>
  <c r="AB13" i="37"/>
  <c r="U13" i="37"/>
  <c r="S13" i="35"/>
  <c r="AA13" i="35"/>
  <c r="AC42" i="21"/>
  <c r="W42" i="21"/>
  <c r="AB11" i="33"/>
  <c r="U11" i="33"/>
  <c r="AB37" i="33"/>
  <c r="U37" i="33"/>
  <c r="AB15" i="34"/>
  <c r="U15" i="34"/>
  <c r="U23" i="34"/>
  <c r="AB23" i="34"/>
  <c r="AC8" i="21"/>
  <c r="W8" i="21"/>
  <c r="S43" i="21"/>
  <c r="AA43" i="21"/>
  <c r="AB34" i="35"/>
  <c r="U34" i="35"/>
  <c r="H40" i="37"/>
  <c r="J40" i="37"/>
  <c r="F40" i="37"/>
  <c r="AB38" i="40"/>
  <c r="U38" i="40"/>
  <c r="AC12" i="40"/>
  <c r="W12" i="40"/>
  <c r="U41" i="21"/>
  <c r="AB41" i="21"/>
  <c r="BL541" i="3"/>
  <c r="AZ541" i="3" s="1"/>
  <c r="BA539" i="3"/>
  <c r="AZ539" i="3" s="1"/>
  <c r="BL537" i="3"/>
  <c r="AZ537" i="3" s="1"/>
  <c r="BA535" i="3"/>
  <c r="AZ535" i="3" s="1"/>
  <c r="BL533" i="3"/>
  <c r="AZ533" i="3" s="1"/>
  <c r="BA531" i="3"/>
  <c r="AZ531" i="3" s="1"/>
  <c r="BL529" i="3"/>
  <c r="AZ529" i="3" s="1"/>
  <c r="BL528" i="3"/>
  <c r="BA528" i="3"/>
  <c r="AZ528" i="3" s="1"/>
  <c r="BA526" i="3"/>
  <c r="BA522" i="3"/>
  <c r="AZ522" i="3" s="1"/>
  <c r="BL521" i="3"/>
  <c r="AZ521" i="3" s="1"/>
  <c r="BL517" i="3"/>
  <c r="BA517" i="3"/>
  <c r="BL513" i="3"/>
  <c r="BA513" i="3"/>
  <c r="BL509" i="3"/>
  <c r="AZ509" i="3" s="1"/>
  <c r="BL506" i="3"/>
  <c r="BA506" i="3"/>
  <c r="AZ506" i="3" s="1"/>
  <c r="BL500" i="3"/>
  <c r="BA500" i="3"/>
  <c r="AZ500" i="3" s="1"/>
  <c r="BL498" i="3"/>
  <c r="BT5" i="3"/>
  <c r="BO5" i="3"/>
  <c r="BL494" i="3"/>
  <c r="BI5" i="3"/>
  <c r="D12" i="52"/>
  <c r="D127" i="9"/>
  <c r="D13" i="52" s="1"/>
  <c r="L67" i="9"/>
  <c r="M67" i="9" s="1"/>
  <c r="L63" i="9"/>
  <c r="M63" i="9" s="1"/>
  <c r="M69" i="9" s="1"/>
  <c r="N69" i="9" s="1"/>
  <c r="L64" i="9"/>
  <c r="M64" i="9" s="1"/>
  <c r="L66" i="9"/>
  <c r="M66" i="9" s="1"/>
  <c r="L65" i="9"/>
  <c r="M65" i="9" s="1"/>
  <c r="AB23" i="21"/>
  <c r="S23" i="33"/>
  <c r="AC10" i="34"/>
  <c r="AA33" i="21"/>
  <c r="O7" i="1"/>
  <c r="AC37" i="21"/>
  <c r="S17" i="37"/>
  <c r="S17" i="21"/>
  <c r="AB44" i="21"/>
  <c r="U27" i="21"/>
  <c r="AB31" i="21"/>
  <c r="U28" i="21"/>
  <c r="AB45" i="34"/>
  <c r="AB43" i="39"/>
  <c r="S8" i="40"/>
  <c r="P11" i="1"/>
  <c r="U29" i="34"/>
  <c r="AA14" i="21"/>
  <c r="AA36" i="21"/>
  <c r="S32" i="33"/>
  <c r="S11" i="34"/>
  <c r="AA11" i="34"/>
  <c r="AA25" i="35"/>
  <c r="F48" i="9"/>
  <c r="O52" i="9" s="1"/>
  <c r="F53" i="9"/>
  <c r="F30" i="11"/>
  <c r="F28" i="67"/>
  <c r="C28" i="67" s="1"/>
  <c r="F52" i="9"/>
  <c r="F32" i="67"/>
  <c r="F60" i="67" s="1"/>
  <c r="F30" i="69"/>
  <c r="F32" i="15"/>
  <c r="F60" i="15" s="1"/>
  <c r="M18" i="15"/>
  <c r="F54" i="9"/>
  <c r="P12" i="1"/>
  <c r="M9" i="1"/>
  <c r="S39" i="39"/>
  <c r="AA39" i="39"/>
  <c r="AB25" i="37"/>
  <c r="W37" i="33"/>
  <c r="AC37" i="33"/>
  <c r="W44" i="34"/>
  <c r="H83" i="43"/>
  <c r="H86" i="43"/>
  <c r="H87" i="43"/>
  <c r="H85" i="43"/>
  <c r="H84" i="43"/>
  <c r="AC5" i="3"/>
  <c r="BM5" i="3"/>
  <c r="AZ377" i="3"/>
  <c r="AZ326" i="3"/>
  <c r="AZ306" i="3"/>
  <c r="AZ347" i="3"/>
  <c r="G494" i="3"/>
  <c r="AZ116" i="3"/>
  <c r="AZ378" i="3"/>
  <c r="U15" i="39"/>
  <c r="AB15" i="39"/>
  <c r="AA25" i="39"/>
  <c r="S25" i="39"/>
  <c r="W37" i="39"/>
  <c r="AB44" i="39"/>
  <c r="AC43" i="39"/>
  <c r="AB21" i="40"/>
  <c r="U21" i="40"/>
  <c r="AB12" i="37"/>
  <c r="U12" i="37"/>
  <c r="U26" i="21"/>
  <c r="U35" i="35"/>
  <c r="AA39" i="33"/>
  <c r="S39" i="33"/>
  <c r="AZ565" i="3"/>
  <c r="AZ569" i="3"/>
  <c r="AZ573" i="3"/>
  <c r="AZ577" i="3"/>
  <c r="AZ583" i="3"/>
  <c r="AZ558" i="3"/>
  <c r="H13" i="40"/>
  <c r="AC35" i="40"/>
  <c r="W35" i="40"/>
  <c r="S13" i="36"/>
  <c r="AA13" i="36"/>
  <c r="AA28" i="36"/>
  <c r="S28" i="36"/>
  <c r="AC14" i="36"/>
  <c r="W14" i="36"/>
  <c r="W46" i="21"/>
  <c r="AC46" i="21"/>
  <c r="F44" i="21"/>
  <c r="AA17" i="34"/>
  <c r="S17" i="34"/>
  <c r="AA33" i="37"/>
  <c r="S33" i="37"/>
  <c r="S12" i="36"/>
  <c r="AB33" i="35"/>
  <c r="U33" i="35"/>
  <c r="AA37" i="39"/>
  <c r="S37" i="39"/>
  <c r="W32" i="40"/>
  <c r="W11" i="40"/>
  <c r="AC11" i="40"/>
  <c r="AA35" i="40"/>
  <c r="S35" i="40"/>
  <c r="U11" i="21"/>
  <c r="AB11" i="21"/>
  <c r="S39" i="37"/>
  <c r="AA39" i="37"/>
  <c r="AB36" i="39"/>
  <c r="U36" i="39"/>
  <c r="BA585" i="3"/>
  <c r="AZ585" i="3" s="1"/>
  <c r="AC43" i="21"/>
  <c r="W43" i="21"/>
  <c r="AB40" i="21"/>
  <c r="U40" i="21"/>
  <c r="AC39" i="21"/>
  <c r="W39" i="21"/>
  <c r="W38" i="21"/>
  <c r="AC38" i="21"/>
  <c r="H13" i="21"/>
  <c r="J13" i="21"/>
  <c r="F13" i="21"/>
  <c r="AA8" i="33"/>
  <c r="S8" i="33"/>
  <c r="AC8" i="33"/>
  <c r="W8" i="33"/>
  <c r="AA33" i="33"/>
  <c r="S33" i="33"/>
  <c r="AC33" i="33"/>
  <c r="W33" i="33"/>
  <c r="AA34" i="34"/>
  <c r="S34" i="34"/>
  <c r="J27" i="34"/>
  <c r="H27" i="34"/>
  <c r="H23" i="35"/>
  <c r="J23" i="35"/>
  <c r="F23" i="35"/>
  <c r="AB36" i="35"/>
  <c r="U36" i="35"/>
  <c r="J11" i="36"/>
  <c r="H11" i="36"/>
  <c r="F11" i="36"/>
  <c r="S31" i="36"/>
  <c r="AA31" i="36"/>
  <c r="AB15" i="37"/>
  <c r="U15" i="37"/>
  <c r="AC17" i="21"/>
  <c r="W17" i="21"/>
  <c r="AB33" i="21"/>
  <c r="U33" i="21"/>
  <c r="S23" i="21"/>
  <c r="AA23" i="21"/>
  <c r="S23" i="37"/>
  <c r="AA23" i="37"/>
  <c r="AZ14" i="3"/>
  <c r="AA20" i="36"/>
  <c r="S20" i="36"/>
  <c r="AC39" i="39"/>
  <c r="W39" i="39"/>
  <c r="U35" i="37"/>
  <c r="AB35" i="37"/>
  <c r="W27" i="36"/>
  <c r="AC27" i="36"/>
  <c r="AZ327" i="3"/>
  <c r="W15" i="39"/>
  <c r="AC15" i="39"/>
  <c r="AC42" i="39"/>
  <c r="W42" i="39"/>
  <c r="S31" i="37"/>
  <c r="AA31" i="37"/>
  <c r="S12" i="37"/>
  <c r="AA12" i="37"/>
  <c r="AB9" i="37"/>
  <c r="U9" i="37"/>
  <c r="AA43" i="33"/>
  <c r="S43" i="33"/>
  <c r="AB42" i="33"/>
  <c r="U42" i="33"/>
  <c r="AZ493" i="3"/>
  <c r="AZ511" i="3"/>
  <c r="AZ519" i="3"/>
  <c r="AZ498" i="3"/>
  <c r="AZ504" i="3"/>
  <c r="AZ520" i="3"/>
  <c r="AZ538" i="3"/>
  <c r="AC14" i="37"/>
  <c r="W14" i="37"/>
  <c r="AA13" i="40"/>
  <c r="S13" i="40"/>
  <c r="S38" i="37"/>
  <c r="AA38" i="37"/>
  <c r="AB38" i="37"/>
  <c r="U38" i="37"/>
  <c r="S25" i="36"/>
  <c r="AA25" i="36"/>
  <c r="U13" i="35"/>
  <c r="AB13" i="35"/>
  <c r="S47" i="34"/>
  <c r="AA47" i="34"/>
  <c r="S45" i="34"/>
  <c r="AA45" i="34"/>
  <c r="AB31" i="34"/>
  <c r="U31" i="34"/>
  <c r="AB30" i="33"/>
  <c r="U30" i="33"/>
  <c r="AB36" i="37"/>
  <c r="U36" i="37"/>
  <c r="AA27" i="33"/>
  <c r="S27" i="33"/>
  <c r="S31" i="21"/>
  <c r="AA31" i="21"/>
  <c r="AC44" i="21"/>
  <c r="W44" i="21"/>
  <c r="S30" i="21"/>
  <c r="AA30" i="21"/>
  <c r="W28" i="21"/>
  <c r="AC28" i="21"/>
  <c r="AC15" i="33"/>
  <c r="W15" i="33"/>
  <c r="AA41" i="33"/>
  <c r="S41" i="33"/>
  <c r="AA15" i="34"/>
  <c r="S15" i="34"/>
  <c r="AA11" i="40"/>
  <c r="S11" i="40"/>
  <c r="AB10" i="21"/>
  <c r="U10" i="21"/>
  <c r="W40" i="21"/>
  <c r="AC40" i="21"/>
  <c r="AA34" i="21"/>
  <c r="S34" i="21"/>
  <c r="J29" i="21"/>
  <c r="F29" i="21"/>
  <c r="AC36" i="35"/>
  <c r="W36" i="35"/>
  <c r="J9" i="35"/>
  <c r="H9" i="35"/>
  <c r="H27" i="37"/>
  <c r="J27" i="37"/>
  <c r="AB38" i="39"/>
  <c r="U38" i="39"/>
  <c r="AB9" i="40"/>
  <c r="U9" i="40"/>
  <c r="W13" i="40"/>
  <c r="AC13" i="40"/>
  <c r="H27" i="40"/>
  <c r="J27" i="40"/>
  <c r="F27" i="40"/>
  <c r="BL536" i="3"/>
  <c r="AZ536" i="3" s="1"/>
  <c r="BL534" i="3"/>
  <c r="AZ534" i="3" s="1"/>
  <c r="BL532" i="3"/>
  <c r="AZ532" i="3" s="1"/>
  <c r="BA527" i="3"/>
  <c r="AZ527" i="3" s="1"/>
  <c r="BL526" i="3"/>
  <c r="BL525" i="3"/>
  <c r="AZ525" i="3" s="1"/>
  <c r="BL524" i="3"/>
  <c r="BA524" i="3"/>
  <c r="AZ524" i="3" s="1"/>
  <c r="BA523" i="3"/>
  <c r="AZ523" i="3" s="1"/>
  <c r="G521" i="3"/>
  <c r="BA518" i="3"/>
  <c r="AZ518" i="3" s="1"/>
  <c r="BL516" i="3"/>
  <c r="BA516" i="3"/>
  <c r="BL514" i="3"/>
  <c r="BA514" i="3"/>
  <c r="BL512" i="3"/>
  <c r="AZ512" i="3" s="1"/>
  <c r="BL510" i="3"/>
  <c r="AZ510" i="3" s="1"/>
  <c r="BA507" i="3"/>
  <c r="AZ507" i="3" s="1"/>
  <c r="BL505" i="3"/>
  <c r="AZ505" i="3" s="1"/>
  <c r="BA503" i="3"/>
  <c r="AZ503" i="3" s="1"/>
  <c r="BL501" i="3"/>
  <c r="AZ501" i="3" s="1"/>
  <c r="BL499" i="3"/>
  <c r="BA499" i="3"/>
  <c r="BL497" i="3"/>
  <c r="AZ497" i="3" s="1"/>
  <c r="BR5" i="3"/>
  <c r="BL495" i="3"/>
  <c r="BA495" i="3"/>
  <c r="BQ5" i="3"/>
  <c r="F28" i="6" s="1"/>
  <c r="BH5" i="3"/>
  <c r="BD5" i="3"/>
  <c r="BA494" i="3"/>
  <c r="AZ494" i="3" s="1"/>
  <c r="BP5" i="3"/>
  <c r="G29" i="6" s="1"/>
  <c r="BE5" i="3"/>
  <c r="C31" i="12"/>
  <c r="K5" i="4"/>
  <c r="B47" i="48" s="1"/>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AZ399" i="3"/>
  <c r="AZ404" i="3"/>
  <c r="AZ414" i="3"/>
  <c r="AZ421" i="3"/>
  <c r="AZ430" i="3"/>
  <c r="AZ440" i="3"/>
  <c r="AZ449" i="3"/>
  <c r="AZ409" i="3"/>
  <c r="AZ425" i="3"/>
  <c r="AZ447" i="3"/>
  <c r="AZ461" i="3"/>
  <c r="AZ463" i="3"/>
  <c r="AZ466" i="3"/>
  <c r="AZ468" i="3"/>
  <c r="AZ470" i="3"/>
  <c r="AZ472" i="3"/>
  <c r="AZ316" i="3"/>
  <c r="AZ332" i="3"/>
  <c r="AZ217" i="3"/>
  <c r="AZ231" i="3"/>
  <c r="AZ239" i="3"/>
  <c r="AZ244" i="3"/>
  <c r="AZ264" i="3"/>
  <c r="AZ270" i="3"/>
  <c r="AZ277" i="3"/>
  <c r="AZ282" i="3"/>
  <c r="AZ290" i="3"/>
  <c r="AZ301" i="3"/>
  <c r="AZ122" i="3"/>
  <c r="AZ125" i="3"/>
  <c r="AZ22" i="3"/>
  <c r="AZ54" i="3"/>
  <c r="AZ57" i="3"/>
  <c r="AZ65" i="3"/>
  <c r="AZ112" i="3"/>
  <c r="AZ76" i="3"/>
  <c r="AZ90" i="3"/>
  <c r="AZ92" i="3"/>
  <c r="AZ96" i="3"/>
  <c r="AZ103" i="3"/>
  <c r="M100" i="43"/>
  <c r="I100" i="43"/>
  <c r="E100" i="43"/>
  <c r="D100" i="43"/>
  <c r="C40" i="68"/>
  <c r="C21" i="68"/>
  <c r="C24" i="71"/>
  <c r="T25" i="71"/>
  <c r="D25" i="71"/>
  <c r="U25" i="71" s="1"/>
  <c r="D51" i="71"/>
  <c r="C52" i="71"/>
  <c r="D59" i="71"/>
  <c r="C60" i="71"/>
  <c r="AA5" i="71"/>
  <c r="AB5" i="71"/>
  <c r="X5" i="71"/>
  <c r="Y5" i="71"/>
  <c r="Z5" i="71" s="1"/>
  <c r="S21" i="34"/>
  <c r="T41" i="71"/>
  <c r="D41" i="71"/>
  <c r="Q63" i="71"/>
  <c r="Q62" i="71"/>
  <c r="E20" i="71"/>
  <c r="E19" i="71" s="1"/>
  <c r="E18" i="71" s="1"/>
  <c r="E17" i="71" s="1"/>
  <c r="V21" i="71"/>
  <c r="AB24" i="71"/>
  <c r="S25" i="71"/>
  <c r="X24" i="71"/>
  <c r="AB30" i="71"/>
  <c r="Y30" i="71"/>
  <c r="Z30" i="71" s="1"/>
  <c r="X29" i="71"/>
  <c r="X34" i="71"/>
  <c r="AA26" i="71"/>
  <c r="Y6" i="71"/>
  <c r="Z6" i="71" s="1"/>
  <c r="Y7" i="71"/>
  <c r="Z7" i="71" s="1"/>
  <c r="AA6" i="71"/>
  <c r="AA7" i="71"/>
  <c r="B64" i="71"/>
  <c r="AF10" i="43"/>
  <c r="AC12" i="43"/>
  <c r="AC10" i="43"/>
  <c r="AG12" i="43"/>
  <c r="AG10" i="43"/>
  <c r="Y18" i="71"/>
  <c r="Z18" i="71" s="1"/>
  <c r="Y19" i="71"/>
  <c r="Z19" i="71" s="1"/>
  <c r="Y20" i="71"/>
  <c r="Z20" i="71" s="1"/>
  <c r="C21" i="71"/>
  <c r="AB18" i="71"/>
  <c r="AB20" i="71"/>
  <c r="AB21" i="71"/>
  <c r="AA18" i="71"/>
  <c r="X15" i="71"/>
  <c r="AA15" i="71"/>
  <c r="Y11" i="71"/>
  <c r="Z11" i="71" s="1"/>
  <c r="AA14" i="71"/>
  <c r="X6" i="71"/>
  <c r="X7" i="71"/>
  <c r="AB7" i="71"/>
  <c r="AB6" i="71"/>
  <c r="Z12" i="43"/>
  <c r="Z10" i="43"/>
  <c r="AD12" i="43"/>
  <c r="AD10" i="43"/>
  <c r="AH12" i="43"/>
  <c r="AH10" i="43"/>
  <c r="AA19" i="71"/>
  <c r="AA20" i="71"/>
  <c r="AA21" i="71"/>
  <c r="X18" i="71"/>
  <c r="X19" i="71"/>
  <c r="B21" i="71"/>
  <c r="Y15" i="71"/>
  <c r="Z15" i="71" s="1"/>
  <c r="X14" i="71"/>
  <c r="AB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C5" i="43"/>
  <c r="T11" i="43" s="1"/>
  <c r="V11" i="43" s="1"/>
  <c r="D5" i="43"/>
  <c r="C35" i="43" s="1"/>
  <c r="E35" i="43" s="1"/>
  <c r="T14" i="43"/>
  <c r="V14" i="43" s="1"/>
  <c r="G68" i="39"/>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C36" i="43"/>
  <c r="E36" i="43" s="1"/>
  <c r="C37" i="43"/>
  <c r="E37" i="43" s="1"/>
  <c r="X13" i="71"/>
  <c r="AB13" i="71"/>
  <c r="Y3" i="71"/>
  <c r="Z3" i="71" s="1"/>
  <c r="F13" i="71"/>
  <c r="F12" i="71" s="1"/>
  <c r="F11" i="71" s="1"/>
  <c r="F10" i="71" s="1"/>
  <c r="F9" i="71" s="1"/>
  <c r="F8" i="71" s="1"/>
  <c r="F7" i="71" s="1"/>
  <c r="F6" i="71" s="1"/>
  <c r="F5" i="71" s="1"/>
  <c r="AF3" i="71"/>
  <c r="P22" i="43" s="1"/>
  <c r="C33" i="43"/>
  <c r="B10" i="70"/>
  <c r="Q71" i="15"/>
  <c r="B6" i="70"/>
  <c r="K1" i="73"/>
  <c r="B20" i="31"/>
  <c r="B21" i="31" s="1"/>
  <c r="I1" i="73"/>
  <c r="B39" i="1" s="1"/>
  <c r="F51" i="67"/>
  <c r="B12" i="70"/>
  <c r="F51" i="15"/>
  <c r="B7" i="70"/>
  <c r="F69" i="67"/>
  <c r="F66" i="67"/>
  <c r="B11" i="70"/>
  <c r="B8" i="70"/>
  <c r="Q71" i="67"/>
  <c r="F64" i="15"/>
  <c r="F65" i="15"/>
  <c r="B9" i="70"/>
  <c r="N59" i="67"/>
  <c r="L59" i="67"/>
  <c r="B13" i="70"/>
  <c r="F64" i="67"/>
  <c r="F13" i="67"/>
  <c r="F26" i="15"/>
  <c r="F40" i="67"/>
  <c r="F40" i="15"/>
  <c r="M26" i="67"/>
  <c r="M22" i="15"/>
  <c r="F38" i="15"/>
  <c r="F6" i="15"/>
  <c r="J15" i="67"/>
  <c r="M27" i="15"/>
  <c r="G1" i="73"/>
  <c r="L48" i="15"/>
  <c r="M9" i="15"/>
  <c r="L47" i="15"/>
  <c r="M24" i="15"/>
  <c r="F37" i="67"/>
  <c r="F26" i="67"/>
  <c r="M8" i="67"/>
  <c r="F42" i="67"/>
  <c r="F41" i="15"/>
  <c r="F9" i="15"/>
  <c r="L48" i="67"/>
  <c r="M9" i="67"/>
  <c r="D6" i="73"/>
  <c r="F9" i="67"/>
  <c r="F6" i="67"/>
  <c r="M8" i="15"/>
  <c r="N59" i="15" l="1"/>
  <c r="L59" i="15"/>
  <c r="L58" i="15"/>
  <c r="Q60" i="15" s="1"/>
  <c r="F66" i="15"/>
  <c r="J57" i="15"/>
  <c r="J55" i="15" s="1"/>
  <c r="J58" i="15" s="1"/>
  <c r="Q50" i="15" s="1"/>
  <c r="I54" i="15"/>
  <c r="C27" i="67"/>
  <c r="J57" i="67"/>
  <c r="J55" i="67" s="1"/>
  <c r="J58" i="67" s="1"/>
  <c r="Q50" i="67" s="1"/>
  <c r="I54" i="67"/>
  <c r="L56" i="67"/>
  <c r="L58" i="67"/>
  <c r="Q73" i="67" s="1"/>
  <c r="F68" i="15"/>
  <c r="F65" i="67"/>
  <c r="F68" i="67"/>
  <c r="F69" i="15"/>
  <c r="C27" i="15"/>
  <c r="F70" i="67"/>
  <c r="D28" i="71"/>
  <c r="C29" i="71"/>
  <c r="C71" i="71"/>
  <c r="D71" i="71" s="1"/>
  <c r="D72" i="71"/>
  <c r="E24" i="71"/>
  <c r="E23" i="71" s="1"/>
  <c r="V25" i="71"/>
  <c r="U39" i="40"/>
  <c r="AB39" i="40"/>
  <c r="AB23" i="36"/>
  <c r="U23" i="36"/>
  <c r="AB9" i="36"/>
  <c r="U9" i="36"/>
  <c r="C38" i="43"/>
  <c r="C34" i="43"/>
  <c r="C39" i="43"/>
  <c r="J7" i="34"/>
  <c r="AZ514" i="3"/>
  <c r="AZ516" i="3"/>
  <c r="AZ513" i="3"/>
  <c r="AZ517" i="3"/>
  <c r="AZ30" i="3"/>
  <c r="AZ23" i="3"/>
  <c r="C83" i="71"/>
  <c r="D83" i="71" s="1"/>
  <c r="D84" i="71"/>
  <c r="E63" i="71"/>
  <c r="P64" i="71"/>
  <c r="C37" i="71"/>
  <c r="D36" i="71"/>
  <c r="C32" i="71"/>
  <c r="D31" i="71"/>
  <c r="O64" i="71"/>
  <c r="D64" i="71"/>
  <c r="C63" i="71"/>
  <c r="AZ402" i="3"/>
  <c r="AC38" i="40"/>
  <c r="W38" i="40"/>
  <c r="AA23" i="36"/>
  <c r="S23" i="36"/>
  <c r="AA9" i="36"/>
  <c r="S9" i="36"/>
  <c r="J7" i="37"/>
  <c r="H7" i="36"/>
  <c r="F7" i="34"/>
  <c r="AZ26" i="3"/>
  <c r="AZ33" i="3"/>
  <c r="BL5" i="3"/>
  <c r="F29" i="6"/>
  <c r="AZ20" i="3"/>
  <c r="AZ28" i="3"/>
  <c r="E21" i="6"/>
  <c r="K8" i="1" s="1"/>
  <c r="G27" i="6"/>
  <c r="AZ27" i="3"/>
  <c r="AZ19" i="3"/>
  <c r="AZ25" i="3"/>
  <c r="AZ21" i="3"/>
  <c r="AZ18" i="3"/>
  <c r="AZ31" i="3"/>
  <c r="G28" i="6"/>
  <c r="E28" i="6" s="1"/>
  <c r="E14" i="6"/>
  <c r="E64" i="39" s="1"/>
  <c r="E5" i="6"/>
  <c r="E8" i="6"/>
  <c r="G36" i="43"/>
  <c r="I36" i="43" s="1"/>
  <c r="E70" i="39"/>
  <c r="B20" i="71"/>
  <c r="B19" i="71" s="1"/>
  <c r="B18" i="71" s="1"/>
  <c r="B17" i="71" s="1"/>
  <c r="S21" i="71"/>
  <c r="C20" i="71"/>
  <c r="D21" i="71"/>
  <c r="U21" i="71" s="1"/>
  <c r="T21" i="71"/>
  <c r="S14" i="39"/>
  <c r="AA14" i="39"/>
  <c r="AB39" i="37"/>
  <c r="U39" i="37"/>
  <c r="AA24" i="36"/>
  <c r="S24" i="36"/>
  <c r="W24" i="36"/>
  <c r="AC24" i="36"/>
  <c r="W12" i="36"/>
  <c r="AC12" i="36"/>
  <c r="W13" i="34"/>
  <c r="AC13" i="34"/>
  <c r="U46" i="33"/>
  <c r="AB46" i="33"/>
  <c r="AC46" i="33"/>
  <c r="W46" i="33"/>
  <c r="AC44" i="33"/>
  <c r="W44" i="33"/>
  <c r="S14" i="33"/>
  <c r="AA14" i="33"/>
  <c r="U26" i="33"/>
  <c r="AB26" i="33"/>
  <c r="W26" i="33"/>
  <c r="AC26" i="33"/>
  <c r="W12" i="21"/>
  <c r="AC12" i="21"/>
  <c r="F30" i="6"/>
  <c r="S27" i="40"/>
  <c r="AA27" i="40"/>
  <c r="U27" i="40"/>
  <c r="AB27" i="40"/>
  <c r="U27" i="37"/>
  <c r="AB27" i="37"/>
  <c r="W9" i="35"/>
  <c r="AC9" i="35"/>
  <c r="AC29" i="21"/>
  <c r="W29" i="21"/>
  <c r="BA5" i="3"/>
  <c r="AA11" i="36"/>
  <c r="S11" i="36"/>
  <c r="W11" i="36"/>
  <c r="AC11" i="36"/>
  <c r="AC23" i="35"/>
  <c r="W23" i="35"/>
  <c r="U27" i="34"/>
  <c r="AB27" i="34"/>
  <c r="S13" i="21"/>
  <c r="AA13" i="21"/>
  <c r="U13" i="21"/>
  <c r="AB13" i="21"/>
  <c r="U13" i="40"/>
  <c r="AB13" i="40"/>
  <c r="O9" i="1"/>
  <c r="P9" i="1" s="1"/>
  <c r="F48" i="69"/>
  <c r="C48" i="69"/>
  <c r="C30" i="69"/>
  <c r="C48" i="11"/>
  <c r="C30" i="11"/>
  <c r="AZ526" i="3"/>
  <c r="AA40" i="37"/>
  <c r="S40" i="37"/>
  <c r="U40" i="37"/>
  <c r="AB40" i="37"/>
  <c r="E12" i="6"/>
  <c r="E13" i="6"/>
  <c r="E15" i="6"/>
  <c r="T13" i="43"/>
  <c r="V13" i="43" s="1"/>
  <c r="T10" i="43"/>
  <c r="V10" i="43" s="1"/>
  <c r="T9" i="43"/>
  <c r="V9" i="43" s="1"/>
  <c r="T12" i="43"/>
  <c r="V12" i="43" s="1"/>
  <c r="B63" i="71"/>
  <c r="N64" i="71"/>
  <c r="E16" i="71"/>
  <c r="E15" i="71" s="1"/>
  <c r="E14" i="71" s="1"/>
  <c r="E13" i="71" s="1"/>
  <c r="V17" i="71"/>
  <c r="C61" i="71"/>
  <c r="D60" i="71"/>
  <c r="D52" i="71"/>
  <c r="C53" i="71"/>
  <c r="C23" i="71"/>
  <c r="D23" i="71" s="1"/>
  <c r="D24" i="71"/>
  <c r="AC14" i="39"/>
  <c r="W14" i="39"/>
  <c r="W39" i="37"/>
  <c r="AC39" i="37"/>
  <c r="AB24" i="36"/>
  <c r="U24" i="36"/>
  <c r="AB12" i="36"/>
  <c r="U12" i="36"/>
  <c r="S13" i="34"/>
  <c r="AA13" i="34"/>
  <c r="AB13" i="34"/>
  <c r="U13" i="34"/>
  <c r="S46" i="33"/>
  <c r="AA46" i="33"/>
  <c r="S44" i="33"/>
  <c r="AA44" i="33"/>
  <c r="AC14" i="33"/>
  <c r="W14" i="33"/>
  <c r="U14" i="33"/>
  <c r="AB14" i="33"/>
  <c r="AA26" i="33"/>
  <c r="S26" i="33"/>
  <c r="AB12" i="21"/>
  <c r="U12" i="21"/>
  <c r="AA12" i="21"/>
  <c r="S12" i="21"/>
  <c r="AZ495" i="3"/>
  <c r="AZ499" i="3"/>
  <c r="W27" i="40"/>
  <c r="AC27" i="40"/>
  <c r="AC27" i="37"/>
  <c r="W27" i="37"/>
  <c r="U9" i="35"/>
  <c r="AB9" i="35"/>
  <c r="AA29" i="21"/>
  <c r="S29" i="21"/>
  <c r="U11" i="36"/>
  <c r="AB11" i="36"/>
  <c r="S23" i="35"/>
  <c r="AA23" i="35"/>
  <c r="U23" i="35"/>
  <c r="AB23" i="35"/>
  <c r="AC27" i="34"/>
  <c r="W27" i="34"/>
  <c r="AC13" i="21"/>
  <c r="W13" i="21"/>
  <c r="AA44" i="21"/>
  <c r="S44" i="21"/>
  <c r="E29" i="6"/>
  <c r="P7" i="1"/>
  <c r="AC40" i="37"/>
  <c r="W40" i="37"/>
  <c r="E10" i="6"/>
  <c r="E11" i="6"/>
  <c r="T8" i="43"/>
  <c r="V8" i="43" s="1"/>
  <c r="T16" i="43"/>
  <c r="V16" i="43" s="1"/>
  <c r="T15" i="43"/>
  <c r="V15" i="43" s="1"/>
  <c r="F59" i="67"/>
  <c r="G35" i="43"/>
  <c r="I35" i="43" s="1"/>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Q60" i="67"/>
  <c r="M28" i="43"/>
  <c r="N28" i="43"/>
  <c r="O28" i="43"/>
  <c r="P28" i="43"/>
  <c r="M11" i="67"/>
  <c r="J10" i="67" s="1"/>
  <c r="F11" i="15"/>
  <c r="M11" i="15"/>
  <c r="F11" i="67"/>
  <c r="Q61" i="67"/>
  <c r="Q74" i="67"/>
  <c r="Q74" i="15"/>
  <c r="Q61" i="15"/>
  <c r="B2" i="70"/>
  <c r="B3" i="70" s="1"/>
  <c r="F43" i="15"/>
  <c r="F7" i="67"/>
  <c r="M29" i="15"/>
  <c r="F43" i="67"/>
  <c r="M29" i="67"/>
  <c r="F7" i="15"/>
  <c r="Q73" i="15" l="1"/>
  <c r="D63" i="71"/>
  <c r="O63" i="71"/>
  <c r="O62" i="71"/>
  <c r="D32" i="71"/>
  <c r="C33" i="71"/>
  <c r="D37" i="71"/>
  <c r="T37" i="71"/>
  <c r="P62" i="71"/>
  <c r="P63" i="71"/>
  <c r="T29" i="71"/>
  <c r="D29" i="71"/>
  <c r="F50" i="15"/>
  <c r="C49" i="15" s="1"/>
  <c r="C6" i="15"/>
  <c r="C32" i="15" s="1"/>
  <c r="M7" i="15"/>
  <c r="J6" i="15" s="1"/>
  <c r="J18" i="15" s="1"/>
  <c r="C6" i="67"/>
  <c r="C32" i="67" s="1"/>
  <c r="F50" i="67"/>
  <c r="C49" i="67" s="1"/>
  <c r="M7" i="67"/>
  <c r="J6" i="67" s="1"/>
  <c r="J18" i="67" s="1"/>
  <c r="F71" i="15"/>
  <c r="F71" i="67"/>
  <c r="M8" i="1"/>
  <c r="K15" i="1"/>
  <c r="L19" i="6"/>
  <c r="L27" i="6" s="1"/>
  <c r="AZ5" i="3"/>
  <c r="E3" i="6" s="1"/>
  <c r="G30" i="6"/>
  <c r="G31" i="6" s="1"/>
  <c r="E59" i="40"/>
  <c r="D19" i="12"/>
  <c r="C19" i="12" s="1"/>
  <c r="D9" i="68"/>
  <c r="C9" i="68" s="1"/>
  <c r="D9" i="69"/>
  <c r="C9" i="69" s="1"/>
  <c r="D9" i="11"/>
  <c r="C9" i="11" s="1"/>
  <c r="E51" i="40"/>
  <c r="E56" i="39"/>
  <c r="U7" i="37"/>
  <c r="E61" i="39"/>
  <c r="E56" i="40"/>
  <c r="T53" i="71"/>
  <c r="D53" i="71"/>
  <c r="E58" i="40"/>
  <c r="E63" i="39"/>
  <c r="E30" i="6"/>
  <c r="K14" i="1"/>
  <c r="C19" i="71"/>
  <c r="D20" i="71"/>
  <c r="B16" i="71"/>
  <c r="B15" i="71" s="1"/>
  <c r="B14" i="71" s="1"/>
  <c r="B13" i="71" s="1"/>
  <c r="S17" i="71"/>
  <c r="E16" i="6"/>
  <c r="T61" i="71"/>
  <c r="D61" i="71"/>
  <c r="E12" i="71"/>
  <c r="E11" i="71" s="1"/>
  <c r="E10" i="71" s="1"/>
  <c r="E9" i="71" s="1"/>
  <c r="V13" i="71"/>
  <c r="N62" i="71"/>
  <c r="N63" i="71"/>
  <c r="E60" i="40"/>
  <c r="E65" i="39"/>
  <c r="E57" i="40"/>
  <c r="E62"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F25" i="12"/>
  <c r="F22" i="69"/>
  <c r="F41" i="69" s="1"/>
  <c r="F24" i="67"/>
  <c r="C24" i="67" s="1"/>
  <c r="F22" i="11"/>
  <c r="F22" i="68"/>
  <c r="F24" i="15"/>
  <c r="C24" i="15" s="1"/>
  <c r="C16" i="15"/>
  <c r="C16" i="67"/>
  <c r="T33" i="71" l="1"/>
  <c r="D33" i="71"/>
  <c r="J5" i="67"/>
  <c r="J10" i="15"/>
  <c r="J5" i="15" s="1"/>
  <c r="J24" i="15" s="1"/>
  <c r="C5" i="15"/>
  <c r="C38" i="15" s="1"/>
  <c r="C5" i="67"/>
  <c r="C38" i="67" s="1"/>
  <c r="C48" i="15"/>
  <c r="C60" i="15" s="1"/>
  <c r="C48" i="67"/>
  <c r="C60" i="67" s="1"/>
  <c r="O8" i="1"/>
  <c r="P8" i="1" s="1"/>
  <c r="M14" i="1"/>
  <c r="D3" i="21"/>
  <c r="D19" i="11"/>
  <c r="C19" i="11" s="1"/>
  <c r="C17" i="4"/>
  <c r="B4" i="52" s="1"/>
  <c r="B43" i="72" s="1"/>
  <c r="L18" i="9"/>
  <c r="D3" i="37"/>
  <c r="D3" i="34"/>
  <c r="D37" i="11"/>
  <c r="M18" i="9"/>
  <c r="B118" i="9" s="1"/>
  <c r="B1" i="74" s="1"/>
  <c r="D3" i="33"/>
  <c r="E6" i="6"/>
  <c r="D14" i="12"/>
  <c r="E8" i="71"/>
  <c r="E7" i="71" s="1"/>
  <c r="E6" i="71" s="1"/>
  <c r="E5" i="71" s="1"/>
  <c r="V9" i="71"/>
  <c r="B12" i="71"/>
  <c r="B11" i="71" s="1"/>
  <c r="B10" i="71" s="1"/>
  <c r="B9" i="71" s="1"/>
  <c r="S13" i="71"/>
  <c r="D19" i="71"/>
  <c r="C18" i="71"/>
  <c r="E66" i="39"/>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J24" i="67" l="1"/>
  <c r="J26" i="67"/>
  <c r="J29" i="67" s="1"/>
  <c r="J26" i="15"/>
  <c r="J29" i="15" s="1"/>
  <c r="C66" i="67"/>
  <c r="C66" i="15"/>
  <c r="C17" i="71"/>
  <c r="D18" i="71"/>
  <c r="D17" i="12"/>
  <c r="C17" i="12" s="1"/>
  <c r="C8" i="74"/>
  <c r="C7" i="74"/>
  <c r="C20" i="11"/>
  <c r="B2" i="34"/>
  <c r="B3" i="34" s="1"/>
  <c r="B8" i="71"/>
  <c r="B7" i="71" s="1"/>
  <c r="B6" i="71" s="1"/>
  <c r="B5" i="71" s="1"/>
  <c r="S9" i="71"/>
  <c r="D10" i="68"/>
  <c r="D10" i="69"/>
  <c r="D10" i="11"/>
  <c r="C10" i="11" s="1"/>
  <c r="D20" i="12"/>
  <c r="C20" i="12" s="1"/>
  <c r="O14"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S8" i="1" l="1"/>
  <c r="P14" i="1"/>
  <c r="C10" i="69"/>
  <c r="C8" i="69" s="1"/>
  <c r="C5" i="69" s="1"/>
  <c r="D19" i="69"/>
  <c r="C10" i="68"/>
  <c r="B29" i="1" s="1"/>
  <c r="C8" i="68" s="1"/>
  <c r="C5" i="68" s="1"/>
  <c r="D19" i="68"/>
  <c r="C16" i="71"/>
  <c r="T17" i="71"/>
  <c r="D17" i="71"/>
  <c r="U17" i="71" s="1"/>
  <c r="K70" i="39"/>
  <c r="L68" i="39"/>
  <c r="I63" i="40"/>
  <c r="H65" i="40"/>
  <c r="I58" i="21"/>
  <c r="J58" i="21" s="1"/>
  <c r="K58" i="21" s="1"/>
  <c r="L58" i="21" s="1"/>
  <c r="M58" i="21" s="1"/>
  <c r="N58" i="21" s="1"/>
  <c r="O58" i="21" s="1"/>
  <c r="H7" i="21" s="1"/>
  <c r="J48" i="35"/>
  <c r="C14" i="67"/>
  <c r="C17" i="15"/>
  <c r="C17" i="67"/>
  <c r="F7" i="21" l="1"/>
  <c r="S7" i="21" s="1"/>
  <c r="C18" i="12"/>
  <c r="C18" i="67"/>
  <c r="C15" i="67"/>
  <c r="AR8" i="1"/>
  <c r="AQ8" i="1"/>
  <c r="T8" i="1"/>
  <c r="C19" i="69"/>
  <c r="C24" i="69" s="1"/>
  <c r="D37" i="69"/>
  <c r="C37" i="69" s="1"/>
  <c r="J7" i="21"/>
  <c r="AC7" i="21" s="1"/>
  <c r="V48" i="21" s="1"/>
  <c r="I48" i="21" s="1"/>
  <c r="C15" i="71"/>
  <c r="D16" i="71"/>
  <c r="C19" i="68"/>
  <c r="D37" i="68"/>
  <c r="C23" i="69"/>
  <c r="L70" i="39"/>
  <c r="M68" i="39"/>
  <c r="U7" i="21"/>
  <c r="AB7" i="21"/>
  <c r="T48" i="21" s="1"/>
  <c r="G48" i="21" s="1"/>
  <c r="AA7" i="21"/>
  <c r="R48" i="21" s="1"/>
  <c r="J63" i="40"/>
  <c r="I65" i="40"/>
  <c r="K48" i="35"/>
  <c r="L48" i="35" s="1"/>
  <c r="M48" i="35" s="1"/>
  <c r="N48" i="35" s="1"/>
  <c r="O48" i="35" s="1"/>
  <c r="H7" i="35" s="1"/>
  <c r="C14" i="15"/>
  <c r="W7" i="21" l="1"/>
  <c r="C20" i="69"/>
  <c r="C25" i="69" s="1"/>
  <c r="C22" i="69" s="1"/>
  <c r="C19" i="67"/>
  <c r="C20" i="67" s="1"/>
  <c r="C26" i="67" s="1"/>
  <c r="C15" i="15"/>
  <c r="C18" i="15"/>
  <c r="C20" i="68"/>
  <c r="C14" i="71"/>
  <c r="D15" i="71"/>
  <c r="J7" i="35"/>
  <c r="AC7" i="35" s="1"/>
  <c r="V38" i="35" s="1"/>
  <c r="I38" i="35" s="1"/>
  <c r="M70" i="39"/>
  <c r="N68" i="39"/>
  <c r="J65" i="40"/>
  <c r="K63" i="40"/>
  <c r="I52" i="21"/>
  <c r="J52" i="21" s="1"/>
  <c r="U7" i="35"/>
  <c r="AB7" i="35"/>
  <c r="T38" i="35" s="1"/>
  <c r="G38" i="35" s="1"/>
  <c r="R49" i="21"/>
  <c r="E48" i="21"/>
  <c r="G52" i="21"/>
  <c r="H52" i="21" s="1"/>
  <c r="G53" i="21"/>
  <c r="H53" i="21" s="1"/>
  <c r="F7" i="35"/>
  <c r="W7" i="35" l="1"/>
  <c r="C19" i="15"/>
  <c r="C20" i="15" s="1"/>
  <c r="C26" i="15" s="1"/>
  <c r="C23" i="67"/>
  <c r="C29" i="67" s="1"/>
  <c r="J59" i="67"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C23" i="15" l="1"/>
  <c r="C29" i="15" s="1"/>
  <c r="J59" i="15" s="1"/>
  <c r="J19" i="67"/>
  <c r="C33" i="67"/>
  <c r="C13" i="67"/>
  <c r="C57" i="67"/>
  <c r="C36" i="67"/>
  <c r="J14" i="67"/>
  <c r="Q49" i="67"/>
  <c r="C12" i="71"/>
  <c r="T13" i="71"/>
  <c r="D13" i="71"/>
  <c r="U13" i="71" s="1"/>
  <c r="H7" i="39"/>
  <c r="J7" i="39"/>
  <c r="AA7" i="39"/>
  <c r="R47" i="39" s="1"/>
  <c r="S7" i="39"/>
  <c r="R39" i="35"/>
  <c r="E38" i="35"/>
  <c r="M63" i="40"/>
  <c r="L65" i="40"/>
  <c r="J19" i="15" l="1"/>
  <c r="J14" i="15"/>
  <c r="J13" i="15" s="1"/>
  <c r="J23" i="15" s="1"/>
  <c r="C13" i="15"/>
  <c r="C56" i="15" s="1"/>
  <c r="C65" i="15" s="1"/>
  <c r="C33" i="15"/>
  <c r="C36" i="15"/>
  <c r="Q49" i="15"/>
  <c r="C57" i="15"/>
  <c r="C61" i="15" s="1"/>
  <c r="C56" i="67"/>
  <c r="C65" i="67" s="1"/>
  <c r="Q70" i="67"/>
  <c r="C75" i="67"/>
  <c r="C37" i="67"/>
  <c r="J22" i="15"/>
  <c r="J13" i="67"/>
  <c r="J23" i="67" s="1"/>
  <c r="J22" i="67"/>
  <c r="C61" i="67"/>
  <c r="C64" i="67"/>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64" i="15" l="1"/>
  <c r="C75" i="15"/>
  <c r="C37" i="15"/>
  <c r="Q70" i="15"/>
  <c r="D11" i="71"/>
  <c r="C10" i="71"/>
  <c r="E52" i="39"/>
  <c r="F52" i="39" s="1"/>
  <c r="E51" i="39"/>
  <c r="F51" i="39" s="1"/>
  <c r="G51" i="39"/>
  <c r="H51" i="39" s="1"/>
  <c r="G52" i="39"/>
  <c r="H52" i="39" s="1"/>
  <c r="I51" i="39"/>
  <c r="J51" i="39" s="1"/>
  <c r="I52" i="39"/>
  <c r="J52" i="39" s="1"/>
  <c r="C48" i="39"/>
  <c r="C47" i="39"/>
  <c r="O63" i="40"/>
  <c r="O65" i="40" s="1"/>
  <c r="N65" i="40"/>
  <c r="D10" i="71" l="1"/>
  <c r="C9"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U7" i="40"/>
  <c r="AB7" i="40"/>
  <c r="T42" i="40" s="1"/>
  <c r="G42" i="40" s="1"/>
  <c r="AA7" i="40"/>
  <c r="R42" i="40" s="1"/>
  <c r="S7" i="40"/>
  <c r="AC7" i="40"/>
  <c r="V42" i="40" s="1"/>
  <c r="I42" i="40" s="1"/>
  <c r="W7" i="40"/>
  <c r="C7" i="71" l="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D5" i="71" l="1"/>
  <c r="M20" i="43"/>
  <c r="E3" i="80"/>
  <c r="I13" i="3" l="1"/>
  <c r="E26" i="80"/>
  <c r="G27" i="1" s="1"/>
  <c r="H27" i="1" s="1"/>
  <c r="H13" i="3" l="1"/>
  <c r="I5" i="3"/>
  <c r="F27" i="6" l="1"/>
  <c r="F31" i="6" s="1"/>
  <c r="I4" i="6"/>
  <c r="G3" i="43" s="1"/>
  <c r="G13" i="3"/>
  <c r="H5" i="3"/>
  <c r="E19" i="6" l="1"/>
  <c r="G5" i="3"/>
  <c r="B3" i="3" s="1"/>
  <c r="E13" i="3" s="1"/>
  <c r="B113" i="43"/>
  <c r="N104" i="46"/>
  <c r="G22" i="43"/>
  <c r="AD11" i="43"/>
  <c r="AD13" i="43" s="1"/>
  <c r="AI11" i="43"/>
  <c r="AI13" i="43" s="1"/>
  <c r="AA11" i="43"/>
  <c r="AA13" i="43" s="1"/>
  <c r="J101" i="43"/>
  <c r="AJ11" i="43"/>
  <c r="AJ13" i="43" s="1"/>
  <c r="AB11" i="43"/>
  <c r="AB13" i="43" s="1"/>
  <c r="AG11" i="43"/>
  <c r="AG13" i="43" s="1"/>
  <c r="Y11" i="43"/>
  <c r="Y13" i="43" s="1"/>
  <c r="K101" i="43"/>
  <c r="N101" i="43"/>
  <c r="H22" i="43"/>
  <c r="M101" i="43"/>
  <c r="E101" i="43"/>
  <c r="C101" i="43"/>
  <c r="L101" i="43"/>
  <c r="AH11" i="43"/>
  <c r="AH13" i="43" s="1"/>
  <c r="Z11" i="43"/>
  <c r="Z13" i="43" s="1"/>
  <c r="AE11" i="43"/>
  <c r="AE13" i="43" s="1"/>
  <c r="G101" i="43"/>
  <c r="H101" i="43"/>
  <c r="AF11" i="43"/>
  <c r="AF13" i="43" s="1"/>
  <c r="Z7" i="43"/>
  <c r="AC11" i="43"/>
  <c r="AC13" i="43" s="1"/>
  <c r="F22" i="43"/>
  <c r="F101" i="43"/>
  <c r="E22" i="43"/>
  <c r="D101" i="43"/>
  <c r="I101" i="43"/>
  <c r="J22" i="43"/>
  <c r="C23" i="43"/>
  <c r="C21" i="43" s="1"/>
  <c r="S7" i="43"/>
  <c r="T7" i="43" s="1"/>
  <c r="V7" i="43" s="1"/>
  <c r="S3" i="43"/>
  <c r="T3" i="43" s="1"/>
  <c r="V3" i="43" s="1"/>
  <c r="S6" i="43"/>
  <c r="T6" i="43" s="1"/>
  <c r="V6" i="43" s="1"/>
  <c r="S4" i="43"/>
  <c r="T4" i="43" s="1"/>
  <c r="V4" i="43" s="1"/>
  <c r="S5" i="43"/>
  <c r="T5" i="43" s="1"/>
  <c r="V5" i="43" s="1"/>
  <c r="S2" i="43"/>
  <c r="T2" i="43" s="1"/>
  <c r="V2" i="43" s="1"/>
  <c r="C26" i="43" s="1"/>
  <c r="B2" i="43" s="1"/>
  <c r="K6" i="1"/>
  <c r="E27" i="6"/>
  <c r="K19" i="6" s="1"/>
  <c r="B6" i="76"/>
  <c r="B2" i="76" l="1"/>
  <c r="S6" i="1"/>
  <c r="M19" i="6"/>
  <c r="K107" i="43"/>
  <c r="K106" i="43"/>
  <c r="K103" i="43"/>
  <c r="K105" i="43"/>
  <c r="K104" i="43"/>
  <c r="K109" i="43"/>
  <c r="K102" i="43"/>
  <c r="K24" i="6"/>
  <c r="M24" i="6" s="1"/>
  <c r="I24" i="6" s="1"/>
  <c r="S24" i="6" s="1"/>
  <c r="E31" i="6"/>
  <c r="K20" i="6"/>
  <c r="K23" i="6"/>
  <c r="M23" i="6" s="1"/>
  <c r="I23" i="6" s="1"/>
  <c r="S23" i="6" s="1"/>
  <c r="K21" i="6"/>
  <c r="M21" i="6" s="1"/>
  <c r="I21" i="6" s="1"/>
  <c r="S21" i="6" s="1"/>
  <c r="K22" i="6"/>
  <c r="M22" i="6" s="1"/>
  <c r="I22" i="6" s="1"/>
  <c r="S22" i="6" s="1"/>
  <c r="K25" i="6"/>
  <c r="M25" i="6" s="1"/>
  <c r="I25" i="6" s="1"/>
  <c r="S25" i="6" s="1"/>
  <c r="K26" i="6"/>
  <c r="M26" i="6" s="1"/>
  <c r="I26" i="6" s="1"/>
  <c r="S26" i="6" s="1"/>
  <c r="B3" i="43"/>
  <c r="C29" i="43"/>
  <c r="I105" i="43"/>
  <c r="I103" i="43"/>
  <c r="I107" i="43"/>
  <c r="I106" i="43"/>
  <c r="I102" i="43"/>
  <c r="I104" i="43"/>
  <c r="I109" i="43"/>
  <c r="D22" i="43"/>
  <c r="H102" i="43"/>
  <c r="H109" i="43"/>
  <c r="H103" i="43"/>
  <c r="H104" i="43"/>
  <c r="H105" i="43"/>
  <c r="H106" i="43"/>
  <c r="H107" i="43"/>
  <c r="C104" i="43"/>
  <c r="C106" i="43"/>
  <c r="C102" i="43"/>
  <c r="C105" i="43"/>
  <c r="C107" i="43"/>
  <c r="C103" i="43"/>
  <c r="C109" i="43"/>
  <c r="M102" i="43"/>
  <c r="M103" i="43"/>
  <c r="M107" i="43"/>
  <c r="M105" i="43"/>
  <c r="M106" i="43"/>
  <c r="M109" i="43"/>
  <c r="M104" i="43"/>
  <c r="N106" i="43"/>
  <c r="N109" i="43"/>
  <c r="N102" i="43"/>
  <c r="N103" i="43"/>
  <c r="N107" i="43"/>
  <c r="N104" i="43"/>
  <c r="N105" i="43"/>
  <c r="J105" i="43"/>
  <c r="J104" i="43"/>
  <c r="J103" i="43"/>
  <c r="J107" i="43"/>
  <c r="J109" i="43"/>
  <c r="J106" i="43"/>
  <c r="J102" i="43"/>
  <c r="D117" i="43"/>
  <c r="E117" i="43" s="1"/>
  <c r="F117" i="43" s="1"/>
  <c r="G117" i="43" s="1"/>
  <c r="H117" i="43" s="1"/>
  <c r="B115" i="43"/>
  <c r="I118" i="43"/>
  <c r="J118" i="43" s="1"/>
  <c r="K118" i="43" s="1"/>
  <c r="L118" i="43" s="1"/>
  <c r="M118" i="43" s="1"/>
  <c r="D115" i="43"/>
  <c r="E115" i="43" s="1"/>
  <c r="F115" i="43" s="1"/>
  <c r="G115" i="43" s="1"/>
  <c r="H115" i="43" s="1"/>
  <c r="G118" i="43"/>
  <c r="H118" i="43" s="1"/>
  <c r="I116" i="43"/>
  <c r="J116" i="43" s="1"/>
  <c r="K116" i="43" s="1"/>
  <c r="L116" i="43" s="1"/>
  <c r="M116" i="43" s="1"/>
  <c r="B116" i="43"/>
  <c r="C116" i="43" s="1"/>
  <c r="B117" i="43"/>
  <c r="C117" i="43" s="1"/>
  <c r="D118" i="43"/>
  <c r="E118" i="43" s="1"/>
  <c r="F118" i="43" s="1"/>
  <c r="I115" i="43"/>
  <c r="J115" i="43" s="1"/>
  <c r="K115" i="43" s="1"/>
  <c r="L115" i="43" s="1"/>
  <c r="M115" i="43" s="1"/>
  <c r="B118" i="43"/>
  <c r="C118" i="43" s="1"/>
  <c r="D116" i="43"/>
  <c r="E116" i="43" s="1"/>
  <c r="F116" i="43" s="1"/>
  <c r="G116" i="43" s="1"/>
  <c r="H116" i="43" s="1"/>
  <c r="I117" i="43"/>
  <c r="J117" i="43" s="1"/>
  <c r="K117" i="43" s="1"/>
  <c r="L117" i="43" s="1"/>
  <c r="M117" i="43" s="1"/>
  <c r="M6" i="1"/>
  <c r="AP6" i="1"/>
  <c r="C36" i="69" s="1"/>
  <c r="H16" i="1"/>
  <c r="G16" i="1"/>
  <c r="Q16" i="1"/>
  <c r="C34" i="69"/>
  <c r="K16" i="1"/>
  <c r="D106" i="43"/>
  <c r="D103" i="43"/>
  <c r="D109" i="43"/>
  <c r="D105" i="43"/>
  <c r="D102" i="43"/>
  <c r="D107" i="43"/>
  <c r="D104" i="43"/>
  <c r="F106" i="43"/>
  <c r="F109" i="43"/>
  <c r="F102" i="43"/>
  <c r="F107" i="43"/>
  <c r="F103" i="43"/>
  <c r="F104" i="43"/>
  <c r="F105" i="43"/>
  <c r="G105" i="43"/>
  <c r="G102" i="43"/>
  <c r="G109" i="43"/>
  <c r="G103" i="43"/>
  <c r="G104" i="43"/>
  <c r="G106" i="43"/>
  <c r="G107" i="43"/>
  <c r="L109" i="43"/>
  <c r="L106" i="43"/>
  <c r="L103" i="43"/>
  <c r="L107" i="43"/>
  <c r="L104" i="43"/>
  <c r="L102" i="43"/>
  <c r="L105" i="43"/>
  <c r="E106" i="43"/>
  <c r="E104" i="43"/>
  <c r="E109" i="43"/>
  <c r="E102" i="43"/>
  <c r="E103" i="43"/>
  <c r="E105" i="43"/>
  <c r="E107" i="43"/>
  <c r="E494" i="3"/>
  <c r="E521" i="3"/>
  <c r="E53" i="3"/>
  <c r="E175" i="3"/>
  <c r="E319" i="3"/>
  <c r="E343" i="3"/>
  <c r="E282" i="3"/>
  <c r="E426" i="3"/>
  <c r="AJ6" i="3"/>
  <c r="E347" i="3"/>
  <c r="AA6" i="3"/>
  <c r="E399" i="3"/>
  <c r="E336" i="3"/>
  <c r="E280" i="3"/>
  <c r="E246" i="3"/>
  <c r="E124" i="3"/>
  <c r="E128" i="3"/>
  <c r="E311" i="3"/>
  <c r="E358" i="3"/>
  <c r="AR6" i="3"/>
  <c r="E561" i="3"/>
  <c r="V6" i="3"/>
  <c r="E418" i="3"/>
  <c r="E439" i="3"/>
  <c r="E380" i="3"/>
  <c r="E321" i="3"/>
  <c r="E231" i="3"/>
  <c r="E298" i="3"/>
  <c r="E216" i="3"/>
  <c r="E130" i="3"/>
  <c r="E61" i="3"/>
  <c r="E135" i="3"/>
  <c r="E290" i="3"/>
  <c r="E161" i="3"/>
  <c r="E207" i="3"/>
  <c r="E252" i="3"/>
  <c r="E271" i="3"/>
  <c r="E204" i="3"/>
  <c r="E145" i="3"/>
  <c r="E164" i="3"/>
  <c r="E107" i="3"/>
  <c r="E369" i="3"/>
  <c r="E573" i="3"/>
  <c r="E560" i="3"/>
  <c r="E437" i="3"/>
  <c r="E458" i="3"/>
  <c r="E472" i="3"/>
  <c r="E474" i="3"/>
  <c r="E481" i="3"/>
  <c r="E422" i="3"/>
  <c r="E408" i="3"/>
  <c r="E440" i="3"/>
  <c r="E451" i="3"/>
  <c r="E490" i="3"/>
  <c r="E376" i="3"/>
  <c r="E556" i="3"/>
  <c r="AH6" i="3"/>
  <c r="AE6" i="3"/>
  <c r="E577" i="3"/>
  <c r="E419" i="3"/>
  <c r="E452" i="3"/>
  <c r="E483" i="3"/>
  <c r="E470" i="3"/>
  <c r="E433" i="3"/>
  <c r="E454" i="3"/>
  <c r="E475" i="3"/>
  <c r="E55" i="3"/>
  <c r="E72" i="3"/>
  <c r="E106" i="3"/>
  <c r="E54" i="3"/>
  <c r="E73" i="3"/>
  <c r="E111" i="3"/>
  <c r="E146" i="3"/>
  <c r="E168" i="3"/>
  <c r="E203" i="3"/>
  <c r="E150" i="3"/>
  <c r="E171" i="3"/>
  <c r="E208" i="3"/>
  <c r="AY6" i="3"/>
  <c r="E125" i="3"/>
  <c r="E217" i="3"/>
  <c r="E366" i="3"/>
  <c r="E268" i="3"/>
  <c r="E305" i="3"/>
  <c r="N6" i="3"/>
  <c r="E329" i="3"/>
  <c r="E545" i="3"/>
  <c r="X6" i="3"/>
  <c r="E461" i="3"/>
  <c r="E352" i="3"/>
  <c r="E227" i="3"/>
  <c r="E205" i="3"/>
  <c r="E293" i="3"/>
  <c r="E270" i="3"/>
  <c r="E390" i="3"/>
  <c r="S6" i="3"/>
  <c r="E570" i="3"/>
  <c r="M6" i="3"/>
  <c r="AB6" i="3"/>
  <c r="E407" i="3"/>
  <c r="E387" i="3"/>
  <c r="E335" i="3"/>
  <c r="E294" i="3"/>
  <c r="E215" i="3"/>
  <c r="E230" i="3"/>
  <c r="E189" i="3"/>
  <c r="E134" i="3"/>
  <c r="E254" i="3"/>
  <c r="E91" i="3"/>
  <c r="E221" i="3"/>
  <c r="E180" i="3"/>
  <c r="E77" i="3"/>
  <c r="E212" i="3"/>
  <c r="E253" i="3"/>
  <c r="E167" i="3"/>
  <c r="E199" i="3"/>
  <c r="E141" i="3"/>
  <c r="E313" i="3"/>
  <c r="Q6" i="3"/>
  <c r="T6" i="3"/>
  <c r="E405" i="3"/>
  <c r="E427" i="3"/>
  <c r="E456" i="3"/>
  <c r="E486" i="3"/>
  <c r="E469" i="3"/>
  <c r="E406" i="3"/>
  <c r="E438" i="3"/>
  <c r="E424" i="3"/>
  <c r="E457" i="3"/>
  <c r="E465" i="3"/>
  <c r="E288" i="3"/>
  <c r="E562" i="3"/>
  <c r="E587" i="3"/>
  <c r="W6" i="3"/>
  <c r="J6" i="3"/>
  <c r="E429" i="3"/>
  <c r="E450" i="3"/>
  <c r="E468" i="3"/>
  <c r="E471" i="3"/>
  <c r="E401" i="3"/>
  <c r="E420" i="3"/>
  <c r="E463" i="3"/>
  <c r="E26" i="3"/>
  <c r="E40" i="3"/>
  <c r="E104" i="3"/>
  <c r="E25" i="3"/>
  <c r="E41" i="3"/>
  <c r="E108" i="3"/>
  <c r="E115" i="3"/>
  <c r="E178" i="3"/>
  <c r="E198" i="3"/>
  <c r="E119" i="3"/>
  <c r="E139" i="3"/>
  <c r="E202" i="3"/>
  <c r="E225" i="3"/>
  <c r="E256" i="3"/>
  <c r="E279" i="3"/>
  <c r="E214" i="3"/>
  <c r="E257" i="3"/>
  <c r="E274" i="3"/>
  <c r="E351" i="3"/>
  <c r="E315" i="3"/>
  <c r="E357" i="3"/>
  <c r="E333" i="3"/>
  <c r="E362" i="3"/>
  <c r="E14" i="3"/>
  <c r="E580" i="3"/>
  <c r="E31" i="3"/>
  <c r="E74" i="3"/>
  <c r="E93" i="3"/>
  <c r="E32" i="3"/>
  <c r="E75" i="3"/>
  <c r="E409" i="3"/>
  <c r="E473" i="3"/>
  <c r="E412" i="3"/>
  <c r="E18" i="3"/>
  <c r="E96" i="3"/>
  <c r="E78" i="3"/>
  <c r="E129" i="3"/>
  <c r="E190" i="3"/>
  <c r="E194" i="3"/>
  <c r="E234" i="3"/>
  <c r="E219" i="3"/>
  <c r="E299" i="3"/>
  <c r="E339" i="3"/>
  <c r="E392" i="3"/>
  <c r="E35" i="3"/>
  <c r="E86" i="3"/>
  <c r="E34" i="3"/>
  <c r="E49" i="3"/>
  <c r="E206" i="3"/>
  <c r="E232" i="3"/>
  <c r="E251" i="3"/>
  <c r="E364" i="3"/>
  <c r="E50" i="3"/>
  <c r="E20" i="3"/>
  <c r="E62" i="3"/>
  <c r="E176" i="3"/>
  <c r="E218" i="3"/>
  <c r="E265" i="3"/>
  <c r="E22" i="3"/>
  <c r="E83" i="3"/>
  <c r="E261" i="3"/>
  <c r="E528" i="3"/>
  <c r="E183" i="3"/>
  <c r="E361" i="3"/>
  <c r="E302" i="3"/>
  <c r="E242" i="3"/>
  <c r="E281" i="3"/>
  <c r="E226" i="3"/>
  <c r="E243" i="3"/>
  <c r="E276" i="3"/>
  <c r="E332" i="3"/>
  <c r="E346" i="3"/>
  <c r="E391" i="3"/>
  <c r="E318" i="3"/>
  <c r="E372" i="3"/>
  <c r="AL6" i="3"/>
  <c r="L6" i="3"/>
  <c r="E42" i="3"/>
  <c r="E60" i="3"/>
  <c r="E94" i="3"/>
  <c r="E43" i="3"/>
  <c r="E488" i="3"/>
  <c r="E428" i="3"/>
  <c r="E482" i="3"/>
  <c r="E455" i="3"/>
  <c r="E79" i="3"/>
  <c r="E38" i="3"/>
  <c r="E100" i="3"/>
  <c r="E170" i="3"/>
  <c r="E174" i="3"/>
  <c r="E220" i="3"/>
  <c r="E275" i="3"/>
  <c r="E235" i="3"/>
  <c r="E324" i="3"/>
  <c r="E325" i="3"/>
  <c r="AQ6" i="3"/>
  <c r="E52" i="3"/>
  <c r="E36" i="3"/>
  <c r="E112" i="3"/>
  <c r="E123" i="3"/>
  <c r="E147" i="3"/>
  <c r="E289" i="3"/>
  <c r="E370" i="3"/>
  <c r="AF6" i="3"/>
  <c r="E102" i="3"/>
  <c r="E80" i="3"/>
  <c r="E113" i="3"/>
  <c r="E158" i="3"/>
  <c r="E287" i="3"/>
  <c r="E326" i="3"/>
  <c r="E101" i="3"/>
  <c r="E237" i="3"/>
  <c r="E304" i="3"/>
  <c r="E565" i="3"/>
  <c r="E213" i="3"/>
  <c r="E17" i="3"/>
  <c r="E239" i="3"/>
  <c r="E579" i="3"/>
  <c r="E431" i="3"/>
  <c r="E247" i="3"/>
  <c r="E201" i="3"/>
  <c r="E397" i="3"/>
  <c r="E568" i="3"/>
  <c r="E16" i="3"/>
  <c r="AK6" i="3"/>
  <c r="E434" i="3"/>
  <c r="E306" i="3"/>
  <c r="E296" i="3"/>
  <c r="E262" i="3"/>
  <c r="E136" i="3"/>
  <c r="E236" i="3"/>
  <c r="E269" i="3"/>
  <c r="E89" i="3"/>
  <c r="E85" i="3"/>
  <c r="E238" i="3"/>
  <c r="E116" i="3"/>
  <c r="E105" i="3"/>
  <c r="E379" i="3"/>
  <c r="E585" i="3"/>
  <c r="U6" i="3"/>
  <c r="E515" i="3"/>
  <c r="E411" i="3"/>
  <c r="E478" i="3"/>
  <c r="E548" i="3"/>
  <c r="E414" i="3"/>
  <c r="E432" i="3"/>
  <c r="E477" i="3"/>
  <c r="E367" i="3"/>
  <c r="E505" i="3"/>
  <c r="E547" i="3"/>
  <c r="E509" i="3"/>
  <c r="E396" i="3"/>
  <c r="E151" i="3"/>
  <c r="E549" i="3"/>
  <c r="E368" i="3"/>
  <c r="E196" i="3"/>
  <c r="E148" i="3"/>
  <c r="E140" i="3"/>
  <c r="E197" i="3"/>
  <c r="E327" i="3"/>
  <c r="Z6" i="3"/>
  <c r="AO6" i="3"/>
  <c r="E485" i="3"/>
  <c r="E400" i="3"/>
  <c r="E345"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69" i="3"/>
  <c r="E278" i="3"/>
  <c r="E563" i="3"/>
  <c r="E172" i="3"/>
  <c r="E445" i="3"/>
  <c r="O6" i="3"/>
  <c r="E574" i="3"/>
  <c r="E359" i="3"/>
  <c r="E285" i="3"/>
  <c r="E97" i="3"/>
  <c r="AI6" i="3"/>
  <c r="E402" i="3"/>
  <c r="E350" i="3"/>
  <c r="E303" i="3"/>
  <c r="E301" i="3"/>
  <c r="E159" i="3"/>
  <c r="E99" i="3"/>
  <c r="E228" i="3"/>
  <c r="E120" i="3"/>
  <c r="E277" i="3"/>
  <c r="E177" i="3"/>
  <c r="E133" i="3"/>
  <c r="E312" i="3"/>
  <c r="AD6" i="3"/>
  <c r="E552" i="3"/>
  <c r="E442" i="3"/>
  <c r="E466" i="3"/>
  <c r="E398" i="3"/>
  <c r="E416" i="3"/>
  <c r="E459" i="3"/>
  <c r="E374" i="3"/>
  <c r="E566" i="3"/>
  <c r="E554" i="3"/>
  <c r="E413" i="3"/>
  <c r="E460" i="3"/>
  <c r="E417" i="3"/>
  <c r="E479" i="3"/>
  <c r="E56" i="3"/>
  <c r="E37" i="3"/>
  <c r="E95" i="3"/>
  <c r="E152" i="3"/>
  <c r="E132" i="3"/>
  <c r="E192" i="3"/>
  <c r="E258" i="3"/>
  <c r="E241" i="3"/>
  <c r="E292" i="3"/>
  <c r="E363" i="3"/>
  <c r="E349" i="3"/>
  <c r="E544" i="3"/>
  <c r="E76" i="3"/>
  <c r="E59" i="3"/>
  <c r="E446" i="3"/>
  <c r="E98" i="3"/>
  <c r="E138" i="3"/>
  <c r="E163" i="3"/>
  <c r="E209" i="3"/>
  <c r="E307" i="3"/>
  <c r="E354" i="3"/>
  <c r="E66" i="3"/>
  <c r="E48" i="3"/>
  <c r="E127" i="3"/>
  <c r="E284" i="3"/>
  <c r="Y6" i="3"/>
  <c r="E19" i="3"/>
  <c r="E179" i="3"/>
  <c r="E323" i="3"/>
  <c r="E520" i="3"/>
  <c r="E542" i="3"/>
  <c r="E529" i="3"/>
  <c r="E586" i="3"/>
  <c r="E517" i="3"/>
  <c r="E500" i="3"/>
  <c r="E538" i="3"/>
  <c r="E525" i="3"/>
  <c r="E510" i="3"/>
  <c r="E497" i="3"/>
  <c r="E328" i="3"/>
  <c r="E383" i="3"/>
  <c r="E165" i="3"/>
  <c r="E571" i="3"/>
  <c r="K6" i="3"/>
  <c r="E344" i="3"/>
  <c r="E506" i="3"/>
  <c r="E149" i="3"/>
  <c r="E524" i="3"/>
  <c r="E559" i="3"/>
  <c r="E508" i="3"/>
  <c r="E499" i="3"/>
  <c r="E540" i="3"/>
  <c r="E353" i="3"/>
  <c r="E550" i="3"/>
  <c r="E518" i="3"/>
  <c r="E503" i="3"/>
  <c r="E534" i="3"/>
  <c r="E523" i="3"/>
  <c r="E308" i="3"/>
  <c r="E360" i="3"/>
  <c r="E15" i="3"/>
  <c r="E137" i="3"/>
  <c r="E583" i="3"/>
  <c r="E322" i="3"/>
  <c r="E153" i="3"/>
  <c r="E533" i="3"/>
  <c r="E569" i="3"/>
  <c r="E229" i="3"/>
  <c r="E314" i="3"/>
  <c r="E536" i="3"/>
  <c r="E453" i="3"/>
  <c r="E244" i="3"/>
  <c r="E156" i="3"/>
  <c r="E122" i="3"/>
  <c r="E223" i="3"/>
  <c r="E173" i="3"/>
  <c r="E576" i="3"/>
  <c r="AG6" i="3"/>
  <c r="E448" i="3"/>
  <c r="P6" i="3"/>
  <c r="E443" i="3"/>
  <c r="E558"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114" i="3"/>
  <c r="E415" i="3"/>
  <c r="E395" i="3"/>
  <c r="E260" i="3"/>
  <c r="E388" i="3"/>
  <c r="E555" i="3"/>
  <c r="E410" i="3"/>
  <c r="E337" i="3"/>
  <c r="E143" i="3"/>
  <c r="AN6" i="3"/>
  <c r="E578" i="3"/>
  <c r="E423" i="3"/>
  <c r="E382" i="3"/>
  <c r="E263" i="3"/>
  <c r="E245" i="3"/>
  <c r="E191" i="3"/>
  <c r="E188" i="3"/>
  <c r="E157" i="3"/>
  <c r="E45" i="3"/>
  <c r="E224" i="3"/>
  <c r="E193" i="3"/>
  <c r="E286" i="3"/>
  <c r="E575" i="3"/>
  <c r="R6" i="3"/>
  <c r="E421" i="3"/>
  <c r="E464" i="3"/>
  <c r="E487" i="3"/>
  <c r="E430" i="3"/>
  <c r="E449" i="3"/>
  <c r="E255" i="3"/>
  <c r="I3" i="6"/>
  <c r="AP6" i="3"/>
  <c r="E582" i="3"/>
  <c r="E435" i="3"/>
  <c r="E491" i="3"/>
  <c r="E436" i="3"/>
  <c r="E39" i="3"/>
  <c r="E90" i="3"/>
  <c r="E57" i="3"/>
  <c r="E131" i="3"/>
  <c r="E187" i="3"/>
  <c r="E155" i="3"/>
  <c r="E240" i="3"/>
  <c r="E297" i="3"/>
  <c r="E259" i="3"/>
  <c r="E348" i="3"/>
  <c r="E378" i="3"/>
  <c r="E375" i="3"/>
  <c r="E58" i="3"/>
  <c r="E110" i="3"/>
  <c r="E462" i="3"/>
  <c r="E47" i="3"/>
  <c r="E65" i="3"/>
  <c r="E195" i="3"/>
  <c r="E248" i="3"/>
  <c r="E266" i="3"/>
  <c r="E386" i="3"/>
  <c r="E584" i="3"/>
  <c r="E24" i="3"/>
  <c r="E87" i="3"/>
  <c r="E250" i="3"/>
  <c r="E341" i="3"/>
  <c r="E51" i="3"/>
  <c r="E154" i="3"/>
  <c r="E222" i="3"/>
  <c r="E82" i="3"/>
  <c r="E385" i="3"/>
  <c r="E541" i="3"/>
  <c r="E373" i="3"/>
  <c r="E519" i="3"/>
  <c r="E511" i="3"/>
  <c r="E495" i="3"/>
  <c r="E527" i="3"/>
  <c r="E514" i="3"/>
  <c r="E501" i="3"/>
  <c r="E493" i="3"/>
  <c r="E320" i="3"/>
  <c r="E330" i="3"/>
  <c r="E543" i="3"/>
  <c r="E564" i="3"/>
  <c r="E393" i="3"/>
  <c r="E365" i="3"/>
  <c r="E185" i="3"/>
  <c r="E356" i="3"/>
  <c r="E539" i="3"/>
  <c r="E537" i="3"/>
  <c r="E389" i="3"/>
  <c r="E504" i="3"/>
  <c r="E535" i="3"/>
  <c r="E181" i="3"/>
  <c r="E526" i="3"/>
  <c r="E516" i="3"/>
  <c r="E502" i="3"/>
  <c r="E532" i="3"/>
  <c r="E512" i="3"/>
  <c r="E394" i="3"/>
  <c r="E338" i="3"/>
  <c r="E169" i="3"/>
  <c r="E567" i="3"/>
  <c r="E340" i="3"/>
  <c r="E530" i="3"/>
  <c r="E117" i="3"/>
  <c r="E553" i="3"/>
  <c r="E522" i="3"/>
  <c r="E496" i="3"/>
  <c r="E342" i="3"/>
  <c r="E507" i="3"/>
  <c r="E498" i="3"/>
  <c r="E551" i="3"/>
  <c r="I6" i="3"/>
  <c r="H6" i="3" s="1"/>
  <c r="M20" i="6" l="1"/>
  <c r="I20" i="6" s="1"/>
  <c r="S20" i="6" s="1"/>
  <c r="S7" i="1"/>
  <c r="AC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155" i="3"/>
  <c r="AY131" i="3"/>
  <c r="AY268" i="3"/>
  <c r="AY318" i="3"/>
  <c r="AY106" i="3"/>
  <c r="AY395"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331" i="3"/>
  <c r="AY466" i="3"/>
  <c r="AY405" i="3"/>
  <c r="AY512" i="3"/>
  <c r="AY86" i="3"/>
  <c r="AY27" i="3"/>
  <c r="AY159" i="3"/>
  <c r="AY273" i="3"/>
  <c r="AY213" i="3"/>
  <c r="AY323" i="3"/>
  <c r="AY459" i="3"/>
  <c r="AY504" i="3"/>
  <c r="AY34" i="3"/>
  <c r="AY95" i="3"/>
  <c r="AY111" i="3"/>
  <c r="AY382" i="3"/>
  <c r="AY529" i="3"/>
  <c r="AY327" i="3"/>
  <c r="AY544" i="3"/>
  <c r="AY33" i="3"/>
  <c r="AY125" i="3"/>
  <c r="AY219" i="3"/>
  <c r="AY73" i="3"/>
  <c r="AY259" i="3"/>
  <c r="AY316" i="3"/>
  <c r="AY411" i="3"/>
  <c r="AY571" i="3"/>
  <c r="AY494" i="3"/>
  <c r="AY158" i="3"/>
  <c r="AY234" i="3"/>
  <c r="AY471" i="3"/>
  <c r="AY439" i="3"/>
  <c r="AY542" i="3"/>
  <c r="AY192" i="3"/>
  <c r="AY378" i="3"/>
  <c r="AY456" i="3"/>
  <c r="AY55" i="3"/>
  <c r="AY128" i="3"/>
  <c r="AY338" i="3"/>
  <c r="BD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3" i="3"/>
  <c r="AY59" i="3"/>
  <c r="AY58" i="3"/>
  <c r="AY371" i="3"/>
  <c r="AY428" i="3"/>
  <c r="AY24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221" i="3"/>
  <c r="AY550" i="3"/>
  <c r="AY87" i="3"/>
  <c r="AY144" i="3"/>
  <c r="AY152" i="3"/>
  <c r="AY253" i="3"/>
  <c r="AY303" i="3"/>
  <c r="AY460" i="3"/>
  <c r="AY300" i="3"/>
  <c r="AY217" i="3"/>
  <c r="AY463" i="3"/>
  <c r="AY401" i="3"/>
  <c r="BE6" i="3"/>
  <c r="AY92" i="3"/>
  <c r="AY76" i="3"/>
  <c r="AY185" i="3"/>
  <c r="AY165" i="3"/>
  <c r="AY278" i="3"/>
  <c r="AY262" i="3"/>
  <c r="AY374" i="3"/>
  <c r="BH6" i="3"/>
  <c r="AY202" i="3"/>
  <c r="AY145" i="3"/>
  <c r="AY388" i="3"/>
  <c r="AY333" i="3"/>
  <c r="AY472" i="3"/>
  <c r="AY430" i="3"/>
  <c r="AY585" i="3"/>
  <c r="BG6" i="3"/>
  <c r="AY101" i="3"/>
  <c r="AY48" i="3"/>
  <c r="AY287" i="3"/>
  <c r="AY364" i="3"/>
  <c r="AY344" i="3"/>
  <c r="AY458" i="3"/>
  <c r="AY506" i="3"/>
  <c r="AY524" i="3"/>
  <c r="AY578" i="3"/>
  <c r="AY63" i="3"/>
  <c r="AY135" i="3"/>
  <c r="AY249" i="3"/>
  <c r="AY346" i="3"/>
  <c r="AY558" i="3"/>
  <c r="BL6" i="3"/>
  <c r="AY184" i="3"/>
  <c r="AY241" i="3"/>
  <c r="AY391" i="3"/>
  <c r="AY448" i="3"/>
  <c r="AY586" i="3"/>
  <c r="F28" i="12"/>
  <c r="F27" i="69"/>
  <c r="F27" i="68"/>
  <c r="F27" i="11"/>
  <c r="O6" i="1"/>
  <c r="M16" i="1"/>
  <c r="L16" i="1" s="1"/>
  <c r="C115" i="43"/>
  <c r="D113" i="43" s="1"/>
  <c r="K27" i="6"/>
  <c r="AR6" i="1"/>
  <c r="T6" i="1"/>
  <c r="AQ6" i="1"/>
  <c r="S16" i="1"/>
  <c r="E6" i="3"/>
  <c r="C35" i="69"/>
  <c r="C38" i="69"/>
  <c r="F10" i="39"/>
  <c r="J10" i="40"/>
  <c r="F10" i="40"/>
  <c r="H10" i="39"/>
  <c r="J10" i="39"/>
  <c r="H10" i="40"/>
  <c r="C30" i="43"/>
  <c r="E30" i="43" s="1"/>
  <c r="C27" i="43" s="1"/>
  <c r="E29" i="43"/>
  <c r="I19" i="6"/>
  <c r="M27" i="6"/>
  <c r="E6" i="76"/>
  <c r="AR7" i="1" l="1"/>
  <c r="AQ7" i="1"/>
  <c r="T7" i="1"/>
  <c r="T16" i="1" s="1"/>
  <c r="N16" i="1"/>
  <c r="B21" i="1" s="1"/>
  <c r="C28" i="11" s="1"/>
  <c r="C27" i="11" s="1"/>
  <c r="C33" i="69"/>
  <c r="C42" i="69" s="1"/>
  <c r="E2" i="76"/>
  <c r="B3" i="76" s="1"/>
  <c r="P6" i="1"/>
  <c r="O16" i="1"/>
  <c r="I27" i="6"/>
  <c r="S19" i="6"/>
  <c r="S27" i="6" s="1"/>
  <c r="U10" i="40"/>
  <c r="AB10" i="40"/>
  <c r="U10" i="39"/>
  <c r="AB10" i="39"/>
  <c r="AC10" i="40"/>
  <c r="W10" i="40"/>
  <c r="C47" i="11"/>
  <c r="D45" i="11" s="1"/>
  <c r="C29" i="69"/>
  <c r="D27" i="69" s="1"/>
  <c r="C47" i="69"/>
  <c r="D45" i="69" s="1"/>
  <c r="F45" i="69"/>
  <c r="C28" i="69"/>
  <c r="C27" i="69" s="1"/>
  <c r="AC10" i="39"/>
  <c r="W10" i="39"/>
  <c r="S10" i="40"/>
  <c r="AA10" i="40"/>
  <c r="AA10" i="39"/>
  <c r="S10" i="39"/>
  <c r="C47" i="68"/>
  <c r="D45" i="68" s="1"/>
  <c r="F45" i="68"/>
  <c r="D25" i="6"/>
  <c r="D22" i="6"/>
  <c r="D24" i="6"/>
  <c r="D10" i="6"/>
  <c r="D19" i="6"/>
  <c r="C18" i="4"/>
  <c r="D23" i="6"/>
  <c r="D5" i="6"/>
  <c r="D11" i="6"/>
  <c r="D28" i="6"/>
  <c r="H23" i="6"/>
  <c r="D15" i="6"/>
  <c r="D21" i="6"/>
  <c r="D20" i="6"/>
  <c r="D9" i="6"/>
  <c r="L19" i="9"/>
  <c r="H24" i="6"/>
  <c r="M19" i="9"/>
  <c r="C118" i="9" s="1"/>
  <c r="C14" i="74" s="1"/>
  <c r="B2" i="74" s="1"/>
  <c r="D26" i="6"/>
  <c r="D8" i="6"/>
  <c r="D14" i="6"/>
  <c r="D12" i="6"/>
  <c r="D13" i="6"/>
  <c r="E61" i="40"/>
  <c r="F61" i="40" s="1"/>
  <c r="B2" i="40" s="1"/>
  <c r="B3" i="40" s="1"/>
  <c r="D6" i="6"/>
  <c r="D29" i="6"/>
  <c r="H25" i="6"/>
  <c r="H26" i="6"/>
  <c r="H22" i="6"/>
  <c r="H21" i="6"/>
  <c r="H20" i="6"/>
  <c r="H19" i="6"/>
  <c r="H27" i="6" s="1"/>
  <c r="C39" i="69" l="1"/>
  <c r="C43" i="69" s="1"/>
  <c r="R21" i="6"/>
  <c r="R8" i="1" s="1"/>
  <c r="B23" i="1"/>
  <c r="C28" i="68"/>
  <c r="C27" i="68" s="1"/>
  <c r="I33" i="1"/>
  <c r="C24" i="11"/>
  <c r="C44" i="11"/>
  <c r="D41" i="11" s="1"/>
  <c r="C29" i="11"/>
  <c r="D27" i="11" s="1"/>
  <c r="C46" i="69"/>
  <c r="C45" i="69" s="1"/>
  <c r="R20" i="6"/>
  <c r="R7" i="1" s="1"/>
  <c r="C29" i="68"/>
  <c r="D27" i="68" s="1"/>
  <c r="C44" i="68"/>
  <c r="D41" i="68" s="1"/>
  <c r="C24" i="68"/>
  <c r="B24" i="1"/>
  <c r="C29" i="12" s="1"/>
  <c r="D28" i="12" s="1"/>
  <c r="C41" i="69"/>
  <c r="C31" i="69"/>
  <c r="C49" i="69"/>
  <c r="R26" i="6"/>
  <c r="D16" i="6"/>
  <c r="D7" i="74"/>
  <c r="D8" i="74"/>
  <c r="D30" i="6"/>
  <c r="A7" i="51"/>
  <c r="B7" i="72" s="1"/>
  <c r="A10" i="51"/>
  <c r="B9" i="72" s="1"/>
  <c r="C4" i="52"/>
  <c r="B45" i="72" s="1"/>
  <c r="R22" i="6"/>
  <c r="C26" i="68"/>
  <c r="D22" i="68" s="1"/>
  <c r="C23" i="11"/>
  <c r="C23" i="68"/>
  <c r="C25" i="68"/>
  <c r="C26" i="11"/>
  <c r="D22" i="11" s="1"/>
  <c r="C25" i="11"/>
  <c r="C13" i="12"/>
  <c r="P16" i="1"/>
  <c r="C11" i="12" s="1"/>
  <c r="R23" i="6"/>
  <c r="D27" i="6"/>
  <c r="D31" i="6" s="1"/>
  <c r="R19" i="6"/>
  <c r="R24" i="6"/>
  <c r="R25" i="6"/>
  <c r="M21" i="67"/>
  <c r="M21" i="15"/>
  <c r="F35" i="67"/>
  <c r="F35" i="15"/>
  <c r="J53" i="67" l="1"/>
  <c r="F1" i="67" s="1"/>
  <c r="M59" i="67"/>
  <c r="F50" i="68"/>
  <c r="F50" i="11"/>
  <c r="F34" i="11"/>
  <c r="C36" i="11" s="1"/>
  <c r="J20" i="15"/>
  <c r="J17" i="15" s="1"/>
  <c r="J16" i="15" s="1"/>
  <c r="J25" i="15" s="1"/>
  <c r="J20" i="67"/>
  <c r="J17" i="67" s="1"/>
  <c r="J16" i="67" s="1"/>
  <c r="J25" i="67" s="1"/>
  <c r="F63" i="15"/>
  <c r="C62" i="15" s="1"/>
  <c r="C59" i="15" s="1"/>
  <c r="C58" i="15" s="1"/>
  <c r="C67" i="15" s="1"/>
  <c r="C68" i="15" s="1"/>
  <c r="C71" i="15" s="1"/>
  <c r="C34" i="15"/>
  <c r="C31" i="15" s="1"/>
  <c r="C30" i="15" s="1"/>
  <c r="C39" i="15" s="1"/>
  <c r="C40" i="15" s="1"/>
  <c r="C34" i="67"/>
  <c r="C31" i="67" s="1"/>
  <c r="C30" i="67" s="1"/>
  <c r="C39" i="67" s="1"/>
  <c r="C80" i="67" s="1"/>
  <c r="C79" i="67" s="1"/>
  <c r="F63" i="67"/>
  <c r="C62" i="67" s="1"/>
  <c r="C59" i="67" s="1"/>
  <c r="C58" i="67" s="1"/>
  <c r="C67" i="67" s="1"/>
  <c r="C68" i="67" s="1"/>
  <c r="F50" i="69"/>
  <c r="C51" i="69" s="1"/>
  <c r="J53" i="15"/>
  <c r="Q52" i="15" s="1"/>
  <c r="F34" i="68"/>
  <c r="C37" i="68" s="1"/>
  <c r="M59" i="15"/>
  <c r="F11" i="12"/>
  <c r="C14" i="12" s="1"/>
  <c r="C26" i="12"/>
  <c r="D25" i="12" s="1"/>
  <c r="C52" i="69"/>
  <c r="B2" i="69" s="1"/>
  <c r="B3" i="69" s="1"/>
  <c r="L56" i="15"/>
  <c r="I6" i="6"/>
  <c r="I5" i="6"/>
  <c r="C22" i="11"/>
  <c r="C31" i="11" s="1"/>
  <c r="C12" i="12"/>
  <c r="C15" i="12"/>
  <c r="C71" i="67"/>
  <c r="R6" i="1"/>
  <c r="R16" i="1" s="1"/>
  <c r="R27" i="6"/>
  <c r="C22" i="68"/>
  <c r="C31" i="68" s="1"/>
  <c r="L51" i="67"/>
  <c r="L51" i="15"/>
  <c r="C34" i="11" l="1"/>
  <c r="C35" i="11" s="1"/>
  <c r="C37" i="11"/>
  <c r="J60" i="67"/>
  <c r="Q48" i="67" s="1"/>
  <c r="Q52" i="67"/>
  <c r="Q69" i="15"/>
  <c r="Q68" i="15" s="1"/>
  <c r="F1" i="15"/>
  <c r="C80" i="15"/>
  <c r="C79" i="15" s="1"/>
  <c r="J60" i="15"/>
  <c r="Q48" i="15" s="1"/>
  <c r="Q69" i="67"/>
  <c r="Q68" i="67" s="1"/>
  <c r="C46" i="15"/>
  <c r="C23" i="12"/>
  <c r="C40" i="67"/>
  <c r="Q47" i="67" s="1"/>
  <c r="C34" i="68"/>
  <c r="C38" i="68" s="1"/>
  <c r="L57" i="15"/>
  <c r="L60" i="15" s="1"/>
  <c r="Q57" i="15" s="1"/>
  <c r="Q67" i="15"/>
  <c r="Q67" i="67"/>
  <c r="L57" i="67"/>
  <c r="L60" i="67" s="1"/>
  <c r="Q57" i="67" s="1"/>
  <c r="C36" i="68"/>
  <c r="G34" i="1" s="1"/>
  <c r="C57" i="69"/>
  <c r="C56" i="69" s="1"/>
  <c r="Q56" i="15"/>
  <c r="C43" i="15"/>
  <c r="Q47" i="15"/>
  <c r="Q65" i="15"/>
  <c r="C83" i="15"/>
  <c r="C82" i="15" s="1"/>
  <c r="C16" i="12"/>
  <c r="C21" i="12" s="1"/>
  <c r="C38" i="11" l="1"/>
  <c r="C33" i="11" s="1"/>
  <c r="C42" i="11" s="1"/>
  <c r="L46" i="67"/>
  <c r="D2" i="67" s="1"/>
  <c r="B2" i="67" s="1"/>
  <c r="Q66" i="15"/>
  <c r="Q75" i="15" s="1"/>
  <c r="Q66" i="67"/>
  <c r="C83" i="67"/>
  <c r="C82" i="67" s="1"/>
  <c r="C35" i="68"/>
  <c r="G33" i="1" s="1"/>
  <c r="Q65" i="67"/>
  <c r="Q56" i="67"/>
  <c r="Q62" i="67" s="1"/>
  <c r="L46" i="15"/>
  <c r="B2" i="15" s="1"/>
  <c r="B3" i="15" s="1"/>
  <c r="Q53" i="15"/>
  <c r="C45" i="67"/>
  <c r="C46" i="67" s="1"/>
  <c r="C43" i="67"/>
  <c r="C22" i="12"/>
  <c r="C30" i="12" s="1"/>
  <c r="C28" i="12" s="1"/>
  <c r="Q53" i="67"/>
  <c r="Q62" i="15"/>
  <c r="C39" i="11" l="1"/>
  <c r="C43" i="11" s="1"/>
  <c r="C41" i="11" s="1"/>
  <c r="C33" i="68"/>
  <c r="C39" i="68" s="1"/>
  <c r="C43" i="68" s="1"/>
  <c r="Q75" i="67"/>
  <c r="B3" i="67"/>
  <c r="C27" i="12"/>
  <c r="C25" i="12" s="1"/>
  <c r="C32" i="12" s="1"/>
  <c r="B2" i="12" s="1"/>
  <c r="B3" i="12" s="1"/>
  <c r="C46" i="11" l="1"/>
  <c r="C45" i="11" s="1"/>
  <c r="C49" i="11" s="1"/>
  <c r="C51" i="11" s="1"/>
  <c r="C52" i="11" s="1"/>
  <c r="B2" i="11" s="1"/>
  <c r="B3" i="11" s="1"/>
  <c r="C42" i="68"/>
  <c r="C41" i="68" s="1"/>
  <c r="C46" i="68"/>
  <c r="C45" i="68" s="1"/>
  <c r="C49" i="68" l="1"/>
  <c r="C51" i="68" s="1"/>
  <c r="C56" i="11"/>
  <c r="C57" i="11" s="1"/>
  <c r="C52" i="68" l="1"/>
  <c r="B2" i="68" s="1"/>
  <c r="D19" i="9"/>
  <c r="C19" i="9"/>
  <c r="D102" i="9" l="1"/>
  <c r="D21" i="9"/>
  <c r="D22" i="9"/>
  <c r="C102" i="9"/>
  <c r="G19" i="9"/>
  <c r="G21" i="9" s="1"/>
  <c r="C21" i="9"/>
  <c r="B3" i="68"/>
  <c r="C57" i="68"/>
  <c r="C56" i="68" s="1"/>
  <c r="D20" i="9"/>
  <c r="C20" i="9"/>
  <c r="D103" i="9" l="1"/>
  <c r="C103" i="9"/>
  <c r="G20" i="9"/>
  <c r="C32" i="9" s="1"/>
  <c r="C35" i="9" l="1"/>
  <c r="C34" i="9" s="1"/>
  <c r="D118" i="9" s="1"/>
  <c r="D4" i="52" s="1"/>
  <c r="B47" i="72" s="1"/>
  <c r="H118" i="9"/>
  <c r="H4" i="52" s="1"/>
  <c r="F118" i="9" l="1"/>
  <c r="F4" i="52" s="1"/>
  <c r="B51" i="72" s="1"/>
  <c r="D119" i="9"/>
  <c r="D5" i="52" s="1"/>
  <c r="B49" i="72" s="1"/>
  <c r="H119" i="9"/>
  <c r="H5" i="52" s="1"/>
  <c r="C104" i="9"/>
  <c r="H101" i="9"/>
  <c r="I118" i="9"/>
  <c r="F119" i="9" l="1"/>
  <c r="F5" i="52" s="1"/>
  <c r="B53" i="72" s="1"/>
  <c r="G118" i="9"/>
  <c r="G4" i="52" s="1"/>
  <c r="B52" i="72" s="1"/>
  <c r="I4" i="52"/>
  <c r="H102" i="9"/>
  <c r="D7" i="53" s="1"/>
  <c r="B21" i="72" s="1"/>
  <c r="C105" i="9"/>
  <c r="E118" i="9"/>
  <c r="E4" i="52" s="1"/>
  <c r="B48" i="72" s="1"/>
  <c r="D5" i="53"/>
  <c r="M48" i="9"/>
  <c r="H107" i="9"/>
  <c r="D45" i="9"/>
  <c r="E14" i="74"/>
  <c r="F14" i="74"/>
  <c r="B5" i="74"/>
  <c r="D53" i="9" l="1"/>
  <c r="C78" i="9"/>
  <c r="C73" i="9" s="1"/>
  <c r="C85" i="9"/>
  <c r="C72" i="9"/>
  <c r="C79" i="9" s="1"/>
  <c r="D52" i="9"/>
  <c r="C93" i="9"/>
  <c r="C86" i="9" s="1"/>
  <c r="C64" i="9"/>
  <c r="C63" i="9" s="1"/>
  <c r="C67" i="9" s="1"/>
  <c r="D55" i="9"/>
  <c r="M53" i="9" s="1"/>
  <c r="C5" i="74"/>
  <c r="D5" i="74"/>
  <c r="D13" i="53"/>
  <c r="H108" i="9"/>
  <c r="D15" i="53" s="1"/>
  <c r="B31" i="72" s="1"/>
  <c r="D122" i="9"/>
  <c r="B20" i="72"/>
  <c r="D6" i="53"/>
  <c r="B22" i="72" s="1"/>
  <c r="C80" i="9" l="1"/>
  <c r="E80" i="9" s="1"/>
  <c r="E81" i="9" s="1"/>
  <c r="D8" i="52"/>
  <c r="D123" i="9"/>
  <c r="D9" i="52" s="1"/>
  <c r="B6" i="74"/>
  <c r="B30" i="72"/>
  <c r="D14" i="53"/>
  <c r="B32" i="72" s="1"/>
  <c r="C68" i="9"/>
  <c r="D54" i="9" s="1"/>
  <c r="D59" i="9"/>
  <c r="M55" i="9" s="1"/>
  <c r="C95" i="9"/>
  <c r="C6" i="74" l="1"/>
  <c r="D6" i="74"/>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<sst xmlns="http://schemas.openxmlformats.org/spreadsheetml/2006/main" count="7857" uniqueCount="3463">
  <si>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</si>
  <si>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</si>
  <si>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</si>
  <si>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</si>
  <si>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</si>
  <si>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</si>
  <si>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</si>
  <si>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</si>
  <si>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</si>
  <si>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</si>
  <si>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</si>
  <si>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</si>
  <si>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</si>
  <si>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</si>
  <si>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</si>
  <si>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</si>
  <si>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</si>
  <si>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</si>
  <si>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</si>
  <si>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</si>
  <si>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</si>
  <si>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</si>
  <si>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</si>
  <si>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</si>
  <si>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</si>
  <si>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</si>
  <si>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</si>
  <si>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</si>
  <si>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</si>
  <si>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</si>
  <si>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</si>
  <si>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</si>
  <si>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</si>
  <si>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</si>
  <si>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</si>
  <si>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</si>
  <si>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</si>
  <si>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</si>
  <si>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</si>
  <si>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</si>
  <si>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</si>
  <si>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</si>
  <si>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</si>
  <si>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</si>
  <si>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</si>
  <si>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</si>
  <si>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</si>
  <si>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</si>
  <si>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</si>
  <si>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</si>
  <si>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</si>
  <si>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</si>
  <si>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</si>
  <si>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</si>
  <si>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</si>
  <si>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</si>
  <si>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</si>
  <si>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</si>
  <si>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</si>
  <si>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</si>
  <si>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</si>
  <si>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</si>
  <si>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</si>
  <si>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</si>
  <si>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</si>
  <si>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</si>
  <si>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</si>
  <si>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</si>
  <si>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</si>
  <si>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</si>
  <si>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</si>
  <si>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</si>
  <si>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</si>
  <si>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</si>
  <si>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</si>
  <si>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</si>
  <si>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</si>
  <si>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</si>
  <si>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</si>
  <si>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</si>
  <si>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</si>
  <si>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</si>
  <si>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</si>
  <si>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</si>
  <si>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</si>
  <si>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</si>
  <si>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</si>
  <si>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</si>
  <si>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</si>
  <si>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</si>
  <si>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</si>
  <si>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</si>
  <si>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</si>
  <si>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</si>
  <si>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</si>
  <si>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</si>
  <si>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</si>
  <si>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</si>
  <si>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</si>
  <si>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</si>
  <si>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</si>
  <si>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</si>
  <si>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</si>
  <si>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</si>
  <si>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</si>
  <si>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</si>
  <si>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</si>
  <si>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</si>
  <si>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</si>
  <si>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</si>
  <si>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</si>
  <si>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</si>
  <si>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</si>
  <si>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</si>
  <si>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</si>
  <si>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</si>
  <si>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</si>
  <si>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</si>
  <si>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</si>
  <si>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</si>
  <si>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</si>
  <si>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</si>
  <si>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</si>
  <si>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</si>
  <si>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</si>
  <si>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</si>
  <si>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</si>
  <si>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</si>
  <si>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</si>
  <si>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</si>
  <si>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</si>
  <si>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</si>
  <si>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</si>
  <si>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</si>
  <si>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</si>
  <si>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</si>
  <si>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</si>
  <si>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</si>
  <si>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</si>
  <si>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</si>
  <si>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</si>
  <si>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</si>
  <si>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</si>
  <si>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</si>
  <si>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</si>
  <si>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</si>
  <si>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</si>
  <si>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</si>
  <si>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</si>
  <si>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</si>
  <si>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</si>
  <si>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</si>
  <si>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</si>
  <si>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</si>
  <si>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</si>
  <si>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</si>
  <si>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</si>
  <si>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</si>
  <si>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</si>
  <si>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</si>
  <si>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</si>
  <si>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</si>
  <si>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</si>
  <si>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</si>
  <si>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</si>
  <si>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</si>
  <si>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</si>
  <si>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</si>
  <si>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</si>
  <si>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</si>
  <si>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</si>
  <si>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</si>
  <si>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</si>
  <si>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</si>
  <si>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</si>
  <si>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</si>
  <si>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</si>
  <si>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</si>
  <si>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</si>
  <si>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</si>
  <si>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</si>
  <si>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</si>
  <si>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</si>
  <si>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</si>
  <si>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</si>
  <si>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</si>
  <si>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</si>
  <si>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</si>
  <si>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</si>
  <si>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</si>
  <si>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</si>
  <si>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</si>
  <si>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</si>
  <si>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</si>
  <si>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</si>
  <si>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</si>
  <si>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</si>
  <si>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</si>
  <si>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</si>
  <si>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</si>
  <si>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</si>
  <si>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</si>
  <si>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</si>
  <si>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</si>
  <si>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</si>
  <si>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</si>
  <si>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</si>
  <si>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</si>
  <si>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</si>
  <si>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</si>
  <si>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</si>
  <si>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</si>
  <si>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</si>
  <si>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</si>
  <si>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</si>
  <si>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</si>
  <si>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</si>
  <si>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</si>
  <si>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</si>
  <si>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</si>
  <si>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</si>
  <si>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</si>
  <si>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</si>
  <si>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</si>
  <si>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</si>
  <si>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</si>
  <si>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</si>
  <si>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</si>
  <si>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</si>
  <si>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</si>
  <si>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</si>
  <si>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</si>
  <si>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</si>
  <si>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</si>
  <si>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</si>
  <si>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</si>
  <si>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</si>
  <si>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</si>
  <si>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</si>
  <si>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</si>
  <si>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</si>
  <si>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</si>
  <si>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</si>
  <si>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</si>
  <si>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</si>
  <si>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</si>
  <si>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</si>
  <si>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</si>
  <si>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</si>
  <si>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</si>
  <si>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</si>
  <si>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</si>
  <si>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</si>
  <si>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</si>
  <si>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</si>
  <si>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</si>
  <si>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</si>
  <si>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</si>
  <si>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</si>
  <si>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</si>
  <si>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</si>
  <si>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</si>
  <si>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</si>
  <si>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</si>
  <si>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</si>
  <si>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</si>
  <si>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</si>
  <si>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</si>
  <si>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</si>
  <si>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</si>
  <si>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</si>
  <si>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</si>
  <si>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</si>
  <si>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</si>
  <si>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</si>
  <si>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</si>
  <si>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</si>
  <si>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</si>
  <si>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</si>
  <si>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</si>
  <si>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</si>
  <si>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</si>
  <si>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</si>
  <si>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</si>
  <si>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</si>
  <si>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</si>
  <si>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</si>
  <si>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</si>
  <si>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</si>
  <si>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</si>
  <si>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</si>
  <si>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</si>
  <si>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</si>
  <si>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</si>
  <si>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</si>
  <si>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</si>
  <si>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</si>
  <si>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</si>
  <si>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</si>
  <si>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</si>
  <si>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</si>
  <si>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</si>
  <si>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</si>
  <si>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</si>
  <si>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</si>
  <si>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</si>
  <si>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</si>
  <si>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</si>
  <si>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</si>
  <si>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</si>
  <si>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</si>
  <si>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</si>
  <si>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</si>
  <si>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</si>
  <si>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</si>
  <si>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</si>
  <si>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</si>
  <si>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</si>
  <si>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</si>
  <si>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</si>
  <si>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</si>
  <si>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</si>
  <si>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</si>
  <si>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</si>
  <si>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</si>
  <si>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</si>
  <si>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</si>
  <si>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</si>
  <si>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</si>
  <si>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</si>
  <si>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</si>
  <si>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</si>
  <si>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</si>
  <si>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</si>
  <si>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</si>
  <si>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</si>
  <si>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</si>
  <si>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</si>
  <si>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</si>
  <si>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</si>
  <si>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</si>
  <si>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</si>
  <si>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</si>
  <si>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</si>
  <si>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</si>
  <si>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</si>
  <si>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</si>
  <si>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</si>
  <si>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</si>
  <si>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</si>
  <si>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</si>
  <si>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</si>
  <si>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</si>
  <si>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</si>
  <si>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</si>
  <si>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</si>
  <si>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</si>
  <si>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</si>
  <si>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</si>
  <si>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</si>
  <si>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</si>
  <si>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</si>
  <si>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</si>
  <si>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</si>
  <si>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</si>
  <si>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</si>
  <si>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</si>
  <si>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</si>
  <si>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</si>
  <si>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</si>
  <si>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</si>
  <si>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</si>
  <si>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</si>
  <si>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</si>
  <si>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</si>
  <si>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</si>
  <si>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</si>
  <si>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</si>
  <si>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</si>
  <si>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</si>
  <si>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</si>
  <si>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</si>
  <si>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</si>
  <si>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</si>
  <si>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</si>
  <si>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</si>
  <si>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</si>
  <si>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</si>
  <si>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</si>
  <si>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</si>
  <si>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</si>
  <si>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</si>
  <si>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</si>
  <si>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</si>
  <si>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</si>
  <si>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</si>
  <si>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</si>
  <si>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</si>
  <si>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</si>
  <si>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</si>
  <si>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</si>
  <si>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</si>
  <si>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</si>
  <si>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</si>
  <si>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</si>
  <si>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</si>
  <si>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</si>
  <si>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</si>
  <si>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</si>
  <si>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</si>
  <si>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</si>
  <si>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</si>
  <si>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</si>
  <si>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</si>
  <si>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</si>
  <si>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</si>
  <si>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</si>
  <si>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</si>
  <si>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</si>
  <si>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</si>
  <si>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</si>
  <si>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</si>
  <si>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</si>
  <si>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</si>
  <si>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</si>
  <si>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</si>
  <si>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</si>
  <si>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</si>
  <si>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</si>
  <si>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</si>
  <si>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</si>
  <si>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</si>
  <si>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</si>
  <si>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</si>
  <si>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</si>
  <si>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</si>
  <si>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</si>
  <si>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</si>
  <si>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</si>
  <si>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</si>
  <si>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</si>
  <si>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</si>
  <si>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</si>
  <si>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</si>
  <si>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</si>
  <si>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</si>
  <si>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</si>
  <si>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</si>
  <si>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</si>
  <si>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</si>
  <si>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</si>
  <si>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</si>
  <si>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</si>
  <si>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</si>
  <si>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</si>
  <si>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</si>
  <si>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</si>
  <si>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</si>
  <si>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</si>
  <si>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</si>
  <si>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</si>
  <si>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</si>
  <si>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</si>
  <si>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</si>
  <si>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</si>
  <si>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</si>
  <si>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</si>
  <si>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</si>
  <si>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</si>
  <si>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</si>
  <si>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</si>
  <si>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</si>
  <si>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</si>
  <si>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</si>
  <si>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</si>
  <si>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</si>
  <si>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</si>
  <si>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</si>
  <si>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</si>
  <si>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</si>
  <si>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</si>
  <si>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</si>
  <si>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</si>
  <si>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</si>
  <si>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</si>
  <si>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</si>
  <si>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</si>
  <si>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</si>
  <si>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</si>
  <si>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</si>
  <si>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</si>
  <si>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</si>
  <si>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</si>
  <si>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</si>
  <si>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</si>
  <si>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</si>
  <si>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</si>
  <si>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</si>
  <si>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</si>
  <si>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</si>
  <si>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</si>
  <si>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</si>
  <si>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</si>
  <si>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</si>
  <si>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</si>
  <si>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</si>
  <si>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</si>
  <si>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</si>
  <si>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</si>
  <si>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</si>
  <si>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</si>
  <si>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</si>
  <si>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</si>
  <si>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</si>
  <si>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</si>
  <si>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</si>
  <si>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</si>
  <si>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</si>
  <si>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</si>
  <si>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</si>
  <si>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</si>
  <si>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</si>
  <si>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</si>
  <si>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</si>
  <si>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</si>
  <si>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</si>
  <si>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</si>
  <si>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</si>
  <si>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</si>
  <si>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</si>
  <si>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</si>
  <si>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</si>
  <si>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</si>
  <si>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</si>
  <si>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</si>
  <si>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</si>
  <si>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</si>
  <si>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</si>
  <si>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</si>
  <si>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</si>
  <si>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</si>
  <si>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</si>
  <si>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</si>
  <si>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</si>
  <si>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</si>
  <si>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</si>
  <si>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</si>
  <si>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</si>
  <si>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</si>
  <si>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</si>
  <si>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</si>
  <si>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</si>
  <si>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</si>
  <si>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</si>
  <si>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</si>
  <si>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</si>
  <si>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</si>
  <si>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</si>
  <si>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</si>
  <si>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</si>
  <si>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</si>
  <si>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</si>
  <si>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</si>
  <si>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</si>
  <si>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</si>
  <si>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</si>
  <si>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</si>
  <si>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</si>
  <si>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</si>
  <si>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</si>
  <si>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</si>
  <si>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</si>
  <si>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</si>
  <si>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</si>
  <si>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</si>
  <si>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</si>
  <si>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</si>
  <si>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</si>
  <si>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</si>
  <si>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</si>
  <si>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</si>
  <si>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</si>
  <si>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</si>
  <si>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</si>
  <si>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</si>
  <si>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</si>
  <si>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</si>
  <si>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</si>
  <si>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</si>
  <si>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</si>
  <si>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</si>
  <si>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</si>
  <si>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</si>
  <si>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</si>
  <si>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</si>
  <si>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</si>
  <si>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</si>
  <si>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</si>
  <si>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</si>
  <si>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</si>
  <si>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</si>
  <si>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</si>
  <si>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</si>
  <si>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</si>
  <si>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</si>
  <si>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</si>
  <si>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</si>
  <si>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</si>
  <si>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</si>
  <si>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</si>
  <si>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</si>
  <si>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</si>
  <si>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</si>
  <si>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</si>
  <si>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</si>
  <si>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</si>
  <si>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</si>
  <si>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</si>
  <si>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</si>
  <si>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</si>
  <si>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</si>
  <si>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</si>
  <si>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</si>
  <si>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</si>
  <si>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</si>
  <si>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</si>
  <si>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</si>
  <si>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</si>
  <si>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</si>
  <si>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</si>
  <si>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</si>
  <si>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</si>
  <si>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</si>
  <si>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</si>
  <si>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</si>
  <si>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</si>
  <si>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</si>
  <si>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</si>
  <si>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</si>
  <si>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</si>
  <si>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</si>
  <si>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</si>
  <si>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</si>
  <si>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</si>
  <si>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</si>
  <si>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</si>
  <si>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</si>
  <si>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</si>
  <si>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</si>
  <si>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</si>
  <si>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</si>
  <si>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</si>
  <si>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</si>
  <si>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</si>
  <si>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</si>
  <si>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</si>
  <si>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</si>
  <si>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</si>
  <si>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</si>
  <si>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</si>
  <si>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</si>
  <si>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</si>
  <si>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</si>
  <si>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</si>
  <si>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</si>
  <si>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</si>
  <si>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</si>
  <si>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</si>
  <si>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</si>
  <si>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</si>
  <si>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</si>
  <si>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</si>
  <si>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</si>
  <si>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</si>
  <si>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</si>
  <si>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</si>
  <si>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</si>
  <si>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</si>
  <si>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</si>
  <si>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</si>
  <si>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</si>
  <si>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</si>
  <si>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</si>
  <si>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</si>
  <si>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</si>
  <si>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</si>
  <si>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</si>
  <si>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</si>
  <si>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</si>
  <si>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</si>
  <si>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</si>
  <si>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</si>
  <si>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</si>
  <si>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</si>
  <si>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</si>
  <si>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</si>
  <si>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</si>
  <si>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</si>
  <si>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</si>
  <si>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</si>
  <si>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</si>
  <si>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</si>
  <si>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</si>
  <si>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</si>
  <si>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</si>
  <si>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</si>
  <si>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</si>
  <si>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</si>
  <si>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</si>
  <si>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</si>
  <si>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</si>
  <si>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</si>
  <si>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</si>
  <si>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</si>
  <si>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</si>
  <si>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</si>
  <si>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</si>
  <si>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</si>
  <si>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</si>
  <si>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</si>
  <si>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</si>
  <si>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</si>
  <si>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</si>
  <si>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</si>
  <si>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</si>
  <si>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</si>
  <si>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</si>
  <si>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</si>
  <si>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</si>
  <si>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</si>
  <si>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</si>
  <si>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</si>
  <si>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</si>
  <si>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</si>
  <si>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</si>
  <si>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</si>
  <si>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</si>
  <si>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</si>
  <si>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</si>
  <si>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</si>
  <si>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</si>
  <si>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</si>
  <si>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</si>
  <si>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</si>
  <si>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</si>
  <si>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</si>
  <si>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</si>
  <si>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</si>
  <si>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</si>
  <si>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</si>
  <si>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</si>
  <si>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</si>
  <si>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</si>
  <si>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</si>
  <si>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</si>
  <si>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</si>
  <si>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</si>
  <si>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</si>
  <si>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</si>
  <si>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</si>
  <si>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</si>
  <si>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</si>
  <si>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</si>
  <si>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</si>
  <si>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</si>
  <si>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</si>
  <si>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</si>
  <si>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</si>
  <si>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</si>
  <si>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</si>
  <si>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</si>
  <si>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</si>
  <si>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</si>
  <si>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</si>
  <si>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</si>
  <si>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</si>
  <si>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</si>
  <si>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</si>
  <si>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</si>
  <si>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</si>
  <si>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</si>
  <si>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</si>
  <si>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</si>
  <si>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</si>
  <si>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</si>
  <si>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</si>
  <si>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</si>
  <si>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</si>
  <si>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</si>
  <si>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</si>
  <si>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</si>
  <si>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</si>
  <si>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</si>
  <si>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</si>
  <si>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</si>
  <si>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</si>
  <si>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</si>
  <si>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</si>
  <si>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</si>
  <si>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</si>
  <si>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</si>
  <si>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</si>
  <si>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</si>
  <si>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</si>
  <si>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</si>
  <si>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</si>
  <si>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</si>
  <si>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</si>
  <si>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</si>
  <si>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</si>
  <si>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</si>
  <si>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</si>
  <si>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</si>
  <si>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</si>
  <si>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</si>
  <si>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</si>
  <si>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</si>
  <si>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</si>
  <si>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</si>
  <si>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</si>
  <si>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</si>
  <si>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</si>
  <si>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</si>
  <si>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</si>
  <si>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</si>
  <si>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</si>
  <si>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</si>
  <si>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</si>
  <si>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</si>
  <si>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</si>
  <si>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</si>
  <si>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</si>
  <si>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</si>
  <si>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</si>
  <si>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</si>
  <si>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</si>
  <si>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</si>
  <si>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</si>
  <si>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</si>
  <si>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</si>
  <si>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</si>
  <si>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</si>
  <si>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</si>
  <si>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</si>
  <si>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</si>
  <si>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</si>
  <si>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</si>
  <si>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</si>
  <si>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</si>
  <si>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</si>
  <si>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</si>
  <si>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</si>
  <si>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</si>
  <si>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</si>
  <si>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</si>
  <si>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</si>
  <si>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</si>
  <si>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</si>
  <si>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</si>
  <si>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</si>
  <si>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</si>
  <si>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</si>
  <si>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</si>
  <si>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</si>
  <si>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</si>
  <si>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</si>
  <si>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</si>
  <si>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</si>
  <si>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</si>
  <si>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</si>
  <si>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</si>
  <si>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</si>
  <si>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</si>
  <si>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</si>
  <si>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</si>
  <si>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</si>
  <si>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</si>
  <si>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</si>
  <si>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</si>
  <si>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</si>
  <si>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</si>
  <si>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</si>
  <si>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</si>
  <si>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</si>
  <si>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</si>
  <si>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</si>
  <si>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</si>
  <si>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</si>
  <si>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</si>
  <si>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</si>
  <si>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</si>
  <si>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</si>
  <si>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</si>
  <si>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</si>
  <si>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</si>
  <si>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</si>
  <si>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</si>
  <si>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</si>
  <si>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</si>
  <si>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</si>
  <si>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</si>
  <si>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</si>
  <si>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</si>
  <si>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</si>
  <si>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</si>
  <si>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</si>
  <si>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</si>
  <si>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</si>
  <si>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</si>
  <si>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</si>
  <si>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</si>
  <si>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</si>
  <si>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</si>
  <si>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</si>
  <si>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</si>
  <si>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</si>
  <si>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</si>
  <si>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</si>
  <si>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</si>
  <si>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</si>
  <si>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</si>
  <si>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</si>
  <si>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</si>
  <si>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</si>
  <si>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</si>
  <si>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</si>
  <si>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</si>
  <si>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</si>
  <si>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</si>
  <si>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</si>
  <si>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</si>
  <si>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</si>
  <si>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</si>
  <si>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</si>
  <si>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</si>
  <si>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</si>
  <si>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</si>
  <si>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</si>
  <si>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</si>
  <si>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</si>
  <si>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</si>
  <si>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</si>
  <si>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</si>
  <si>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</si>
  <si>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</si>
  <si>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</si>
  <si>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</si>
  <si>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</si>
  <si>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</si>
  <si>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</si>
  <si>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</si>
  <si>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</si>
  <si>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</si>
  <si>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</si>
  <si>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</si>
  <si>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</si>
  <si>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</si>
  <si>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</si>
  <si>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</si>
  <si>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</si>
  <si>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</si>
  <si>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</si>
  <si>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</si>
  <si>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</si>
  <si>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</si>
  <si>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</si>
  <si>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</si>
  <si>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</si>
  <si>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</si>
  <si>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</si>
  <si>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</si>
  <si>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</si>
  <si>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</si>
  <si>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</si>
  <si>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</si>
  <si>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</si>
  <si>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</si>
  <si>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</si>
  <si>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</si>
  <si>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</si>
  <si>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</si>
  <si>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</si>
  <si>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</si>
  <si>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</si>
  <si>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</si>
  <si>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</si>
  <si>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</si>
  <si>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</si>
  <si>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</si>
  <si>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</si>
  <si>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</si>
  <si>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</si>
  <si>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</si>
  <si>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</si>
  <si>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</si>
  <si>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</si>
  <si>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</si>
  <si>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</si>
  <si>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</si>
  <si>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</si>
  <si>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</si>
  <si>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</si>
  <si>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</si>
  <si>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</si>
  <si>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</si>
  <si>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</si>
  <si>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</si>
  <si>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</si>
  <si>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</si>
  <si>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</si>
  <si>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</si>
  <si>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</si>
  <si>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</si>
  <si>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</si>
  <si>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</si>
  <si>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</si>
  <si>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</si>
  <si>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</si>
  <si>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</si>
  <si>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</si>
  <si>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</si>
  <si>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</si>
  <si>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</si>
  <si>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</si>
  <si>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</si>
  <si>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</si>
  <si>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</si>
  <si>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</si>
  <si>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</si>
  <si>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</si>
  <si>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</si>
  <si>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</si>
  <si>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</si>
  <si>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</si>
  <si>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</si>
  <si>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</si>
  <si>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</si>
  <si>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</si>
  <si>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</si>
  <si>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</si>
  <si>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</si>
  <si>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</si>
  <si>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</si>
  <si>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</si>
  <si>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</si>
  <si>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</si>
  <si>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</si>
  <si>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</si>
  <si>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</si>
  <si>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</si>
  <si>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</si>
  <si>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</si>
  <si>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</si>
  <si>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</si>
  <si>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</si>
  <si>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</si>
  <si>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</si>
  <si>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</si>
  <si>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</si>
  <si>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</si>
  <si>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</si>
  <si>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</si>
  <si>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</si>
  <si>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</si>
  <si>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</si>
  <si>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</si>
  <si>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</si>
  <si>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</si>
  <si>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</si>
  <si>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</si>
  <si>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</si>
  <si>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</si>
  <si>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</si>
  <si>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</si>
  <si>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</si>
  <si>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</si>
  <si>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</si>
  <si>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</si>
  <si>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</si>
  <si>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</si>
  <si>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</si>
  <si>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</si>
  <si>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</si>
  <si>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</si>
  <si>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</si>
  <si>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</si>
  <si>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</si>
  <si>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</si>
  <si>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</si>
  <si>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</si>
  <si>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</si>
  <si>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</si>
  <si>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</si>
  <si>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</si>
  <si>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</si>
  <si>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</si>
  <si>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</si>
  <si>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</si>
  <si>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</si>
  <si>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</si>
  <si>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</si>
  <si>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</si>
  <si>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</si>
  <si>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</si>
  <si>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</si>
  <si>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</si>
  <si>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</si>
  <si>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</si>
  <si>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</si>
  <si>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</si>
  <si>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</si>
  <si>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</si>
  <si>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</si>
  <si>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</si>
  <si>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</si>
  <si>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</si>
  <si>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</si>
  <si>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</si>
  <si>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</si>
  <si>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</si>
  <si>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</si>
  <si>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</si>
  <si>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</si>
  <si>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</si>
  <si>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</si>
  <si>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</si>
  <si>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</si>
  <si>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</si>
  <si>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</si>
  <si>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</si>
  <si>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</si>
  <si>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</si>
  <si>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</si>
  <si>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</si>
  <si>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</si>
  <si>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</si>
  <si>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</si>
  <si>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</si>
  <si>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</si>
  <si>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</si>
  <si>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</si>
  <si>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</si>
  <si>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</si>
  <si>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</si>
  <si>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</si>
  <si>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</si>
  <si>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</si>
  <si>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</si>
  <si>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</si>
  <si>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</si>
  <si>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</si>
  <si>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</si>
  <si>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</si>
  <si>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</si>
  <si>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</si>
  <si>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</si>
  <si>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</si>
  <si>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</si>
  <si>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</si>
  <si>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</si>
  <si>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</si>
  <si>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</si>
  <si>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</si>
  <si>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</si>
  <si>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</si>
  <si>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</si>
  <si>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</si>
  <si>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</si>
  <si>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</si>
  <si>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</si>
  <si>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</si>
  <si>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</si>
  <si>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</si>
  <si>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</si>
  <si>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</si>
  <si>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</si>
  <si>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</si>
  <si>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</si>
  <si>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</si>
  <si>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</si>
  <si>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</si>
  <si>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</si>
  <si>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</si>
  <si>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</si>
  <si>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</si>
  <si>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</si>
  <si>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</si>
  <si>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</si>
  <si>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</si>
  <si>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</si>
  <si>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</si>
  <si>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</si>
  <si>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</si>
  <si>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</si>
  <si>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</si>
  <si>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</si>
  <si>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</si>
  <si>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</si>
  <si>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</si>
  <si>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</si>
  <si>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</si>
  <si>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</si>
  <si>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</si>
  <si>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</si>
  <si>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</si>
  <si>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</si>
  <si>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</si>
  <si>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</si>
  <si>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</si>
  <si>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</si>
  <si>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</si>
  <si>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</si>
  <si>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</si>
  <si>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</si>
  <si>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</si>
  <si>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</si>
  <si>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</si>
  <si>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</si>
  <si>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</si>
  <si>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</si>
  <si>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</si>
  <si>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</si>
  <si>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</si>
  <si>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</si>
  <si>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</si>
  <si>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</si>
  <si>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</si>
  <si>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</si>
  <si>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</si>
  <si>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</si>
  <si>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</si>
  <si>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</si>
  <si>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</si>
  <si>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</si>
  <si>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</si>
  <si>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</si>
  <si>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</si>
  <si>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</si>
  <si>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</si>
  <si>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</si>
  <si>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</si>
  <si>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</si>
  <si>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</si>
  <si>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</si>
  <si>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</si>
  <si>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</si>
  <si>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</si>
  <si>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</si>
  <si>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</si>
  <si>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</si>
  <si>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</si>
  <si>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</si>
  <si>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</si>
  <si>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</si>
  <si>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</si>
  <si>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</si>
  <si>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</si>
  <si>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</si>
  <si>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</si>
  <si>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</si>
  <si>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</si>
  <si>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</si>
  <si>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</si>
  <si>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</si>
  <si>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</si>
  <si>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</si>
  <si>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</si>
  <si>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</si>
  <si>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</si>
  <si>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</si>
  <si>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</si>
  <si>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</si>
  <si>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</si>
  <si>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</si>
  <si>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</si>
  <si>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</si>
  <si>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</si>
  <si>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</si>
  <si>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</si>
  <si>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</si>
  <si>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</si>
  <si>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</si>
  <si>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</si>
  <si>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</si>
  <si>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</si>
  <si>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</si>
  <si>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</si>
  <si>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</si>
  <si>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</si>
  <si>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</si>
  <si>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</si>
  <si>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</si>
  <si>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</si>
  <si>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</si>
  <si>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</si>
  <si>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</si>
  <si>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</si>
  <si>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</si>
  <si>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</si>
  <si>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</si>
  <si>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</si>
  <si>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</si>
  <si>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</si>
  <si>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</si>
  <si>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</si>
  <si>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</si>
  <si>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</si>
  <si>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</si>
  <si>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</si>
  <si>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</si>
  <si>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</si>
  <si>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</si>
  <si>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</si>
  <si>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</si>
  <si>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</si>
  <si>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</si>
  <si>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</si>
  <si>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</si>
  <si>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</si>
  <si>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</si>
  <si>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</si>
  <si>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</si>
  <si>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</si>
  <si>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</si>
  <si>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</si>
  <si>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</si>
  <si>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</si>
  <si>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</si>
  <si>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</si>
  <si>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</si>
  <si>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</si>
  <si>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</si>
  <si>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</si>
  <si>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</si>
  <si>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</si>
  <si>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</si>
  <si>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</si>
  <si>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</si>
  <si>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</si>
  <si>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</si>
  <si>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</si>
  <si>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</si>
  <si>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</si>
  <si>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</si>
  <si>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</si>
  <si>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</si>
  <si>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</si>
  <si>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</si>
  <si>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</si>
  <si>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</si>
  <si>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</si>
  <si>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</si>
  <si>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</si>
  <si>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</si>
  <si>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</si>
  <si>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</si>
  <si>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</si>
  <si>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</si>
  <si>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</si>
  <si>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</si>
  <si>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</si>
  <si>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</si>
  <si>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</si>
  <si>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</si>
  <si>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</si>
  <si>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</si>
  <si>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</si>
  <si>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</si>
  <si>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</si>
  <si>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</si>
  <si>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</si>
  <si>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</si>
  <si>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</si>
  <si>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</si>
  <si>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</si>
  <si>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</si>
  <si>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</si>
  <si>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</si>
  <si>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</si>
  <si>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</si>
  <si>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</si>
  <si>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</si>
  <si>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</si>
  <si>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</si>
  <si>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</si>
  <si>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</si>
  <si>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</si>
  <si>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</si>
  <si>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</si>
  <si>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</si>
  <si>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</si>
  <si>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</si>
  <si>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</si>
  <si>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</si>
  <si>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</si>
  <si>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</si>
  <si>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</si>
  <si>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</si>
  <si>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</si>
  <si>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</si>
  <si>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</si>
  <si>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</si>
  <si>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</si>
  <si>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</si>
  <si>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</si>
  <si>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</si>
  <si>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</si>
  <si>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</si>
  <si>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</si>
  <si>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</si>
  <si>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</si>
  <si>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</si>
  <si>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</si>
  <si>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</si>
  <si>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</si>
  <si>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</si>
  <si>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</si>
  <si>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</si>
  <si>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</si>
  <si>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</si>
  <si>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</si>
  <si>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</si>
  <si>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</si>
  <si>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</si>
  <si>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</si>
  <si>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</si>
  <si>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</si>
  <si>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</si>
  <si>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</si>
  <si>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</si>
  <si>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</si>
  <si>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</si>
  <si>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</si>
  <si>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</si>
  <si>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</si>
  <si>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</si>
  <si>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</si>
  <si>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</si>
  <si>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</si>
  <si>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</si>
  <si>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</si>
  <si>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</si>
  <si>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</si>
  <si>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</si>
  <si>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</si>
  <si>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</si>
  <si>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</si>
  <si>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</si>
  <si>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</si>
  <si>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</si>
  <si>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</si>
  <si>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</si>
  <si>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</si>
  <si>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</si>
  <si>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</si>
  <si>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</si>
  <si>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</si>
  <si>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</si>
  <si>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</si>
  <si>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</si>
  <si>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</si>
  <si>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</si>
  <si>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</si>
  <si>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</si>
  <si>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</si>
  <si>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</si>
  <si>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</si>
  <si>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</si>
  <si>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</si>
  <si>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</si>
  <si>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</si>
  <si>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</si>
  <si>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</si>
  <si>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</si>
  <si>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</si>
  <si>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</si>
  <si>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</si>
  <si>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</si>
  <si>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</si>
  <si>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</si>
  <si>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</si>
  <si>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</si>
  <si>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</si>
  <si>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</si>
  <si>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</si>
  <si>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</si>
  <si>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</si>
  <si>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</si>
  <si>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</si>
  <si>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</si>
  <si>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</si>
  <si>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</si>
  <si>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</si>
  <si>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</si>
  <si>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</si>
  <si>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</si>
  <si>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</si>
  <si>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</si>
  <si>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</si>
  <si>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</si>
  <si>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</si>
  <si>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</si>
  <si>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</si>
  <si>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</si>
  <si>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</si>
  <si>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</si>
  <si>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</si>
  <si>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</si>
  <si>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</si>
  <si>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</si>
  <si>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</si>
  <si>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</si>
  <si>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</si>
  <si>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</si>
  <si>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</si>
  <si>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</si>
  <si>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</si>
  <si>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</si>
  <si>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</si>
  <si>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</si>
  <si>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</si>
  <si>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</si>
  <si>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</si>
  <si>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</si>
  <si>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</si>
  <si>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</si>
  <si>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</si>
  <si>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</si>
  <si>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</si>
  <si>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</si>
  <si>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</si>
  <si>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</si>
  <si>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</si>
  <si>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</si>
  <si>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</si>
  <si>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</si>
  <si>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</si>
  <si>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</si>
  <si>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</si>
  <si>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</si>
  <si>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</si>
  <si>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</si>
  <si>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</si>
  <si>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</si>
  <si>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</si>
  <si>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</si>
  <si>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</si>
  <si>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</si>
  <si>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</si>
  <si>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</si>
  <si>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</si>
  <si>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</si>
  <si>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</si>
  <si>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</si>
  <si>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</si>
  <si>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</si>
  <si>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</si>
  <si>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</si>
  <si>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</si>
  <si>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</si>
  <si>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</si>
  <si>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</si>
  <si>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</si>
  <si>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</si>
  <si>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</si>
  <si>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</si>
  <si>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</si>
  <si>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</si>
  <si>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</si>
  <si>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</si>
  <si>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</si>
  <si>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</si>
  <si>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</si>
  <si>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</si>
  <si>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</si>
  <si>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</si>
  <si>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</si>
  <si>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</si>
  <si>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</si>
  <si>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</si>
  <si>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</si>
  <si>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</si>
  <si>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</si>
  <si>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</si>
  <si>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</si>
  <si>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</si>
  <si>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</si>
  <si>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</si>
  <si>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</si>
  <si>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</si>
  <si>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</si>
  <si>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</si>
  <si>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</si>
  <si>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</si>
  <si>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</si>
  <si>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</si>
  <si>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</si>
  <si>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</si>
  <si>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</si>
  <si>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</si>
  <si>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</si>
  <si>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</si>
  <si>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</si>
  <si>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</si>
  <si>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</si>
  <si>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</si>
  <si>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</si>
  <si>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</si>
  <si>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</si>
  <si>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</si>
  <si>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</si>
  <si>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</si>
  <si>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</si>
  <si>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</si>
  <si>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</si>
  <si>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</si>
  <si>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</si>
  <si>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</si>
  <si>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</si>
  <si>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</si>
  <si>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</si>
  <si>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</si>
  <si>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</si>
  <si>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</si>
  <si>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</si>
  <si>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</si>
  <si>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</si>
  <si>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</si>
  <si>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</si>
  <si>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</si>
  <si>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</si>
  <si>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</si>
  <si>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</si>
  <si>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</si>
  <si>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</si>
  <si>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</si>
  <si>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</si>
  <si>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</si>
  <si>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</si>
  <si>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</si>
  <si>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</si>
  <si>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</si>
  <si>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</si>
  <si>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</si>
  <si>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</si>
  <si>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</si>
  <si>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</si>
  <si>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</si>
  <si>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</si>
  <si>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</si>
  <si>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</si>
  <si>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</si>
  <si>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</si>
  <si>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</si>
  <si>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</si>
  <si>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</si>
  <si>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</si>
  <si>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</si>
  <si>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</si>
  <si>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</si>
  <si>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</si>
  <si>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</si>
  <si>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</si>
  <si>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</si>
  <si>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</si>
  <si>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</si>
  <si>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</si>
  <si>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</si>
  <si>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</si>
  <si>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</si>
  <si>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</si>
  <si>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</si>
  <si>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</si>
  <si>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</si>
  <si>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</si>
  <si>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</si>
  <si>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</si>
  <si>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</si>
  <si>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</si>
  <si>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</si>
  <si>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</si>
  <si>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</si>
  <si>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</si>
  <si>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</si>
  <si>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</si>
  <si>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</si>
  <si>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</si>
  <si>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</si>
  <si>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</si>
  <si>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</si>
  <si>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</si>
  <si>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</si>
  <si>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</si>
  <si>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</si>
  <si>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</si>
  <si>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</si>
  <si>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</si>
  <si>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</si>
  <si>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</si>
  <si>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</si>
  <si>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</si>
  <si>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</si>
  <si>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</si>
  <si>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</si>
  <si>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</si>
  <si>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</si>
  <si>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</si>
  <si>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</si>
  <si>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</si>
  <si>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</si>
  <si>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</si>
  <si>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</si>
  <si>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</si>
  <si>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</si>
  <si>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</si>
  <si>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</si>
  <si>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</si>
  <si>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</si>
  <si>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</si>
  <si>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</si>
  <si>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</si>
  <si>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</si>
  <si>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</si>
  <si>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</si>
  <si>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</si>
  <si>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</si>
  <si>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</si>
  <si>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</si>
  <si>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</si>
  <si>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</si>
  <si>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</si>
  <si>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</si>
  <si>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</si>
  <si>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</si>
  <si>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</si>
  <si>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</si>
  <si>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</si>
  <si>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</si>
  <si>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</si>
  <si>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</si>
  <si>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</si>
  <si>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</si>
  <si>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</si>
  <si>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</si>
  <si>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</si>
  <si>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</si>
  <si>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</si>
  <si>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</si>
  <si>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</si>
  <si>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</si>
  <si>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</si>
  <si>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</si>
  <si>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</si>
  <si>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</si>
  <si>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</si>
  <si>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</si>
  <si>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</si>
  <si>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</si>
  <si>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</si>
  <si>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</si>
  <si>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</si>
  <si>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</si>
  <si>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</si>
  <si>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</si>
  <si>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</si>
  <si>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</si>
  <si>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</si>
  <si>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</si>
  <si>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</si>
  <si>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</si>
  <si>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</si>
  <si>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</si>
  <si>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</si>
  <si>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</si>
  <si>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</si>
  <si>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</si>
  <si>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</si>
  <si>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</si>
  <si>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</si>
  <si>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</si>
  <si>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</si>
  <si>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</si>
  <si>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</si>
  <si>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</si>
  <si>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</si>
  <si>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</si>
  <si>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</si>
  <si>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</si>
  <si>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</si>
  <si>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</si>
  <si>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</si>
  <si>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</si>
  <si>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</si>
  <si>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</si>
  <si>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</si>
  <si>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</si>
  <si>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</si>
  <si>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</si>
  <si>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</si>
  <si>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</si>
  <si>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</si>
  <si>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</si>
  <si>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</si>
  <si>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</si>
  <si>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</si>
  <si>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</si>
  <si>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</si>
  <si>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</si>
  <si>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</si>
  <si>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</si>
  <si>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</si>
  <si>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</si>
  <si>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</si>
  <si>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</si>
  <si>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</si>
  <si>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</si>
  <si>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</si>
  <si>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</si>
  <si>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</si>
  <si>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</si>
  <si>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</si>
  <si>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</si>
  <si>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</si>
  <si>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</si>
  <si>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</si>
  <si>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</si>
  <si>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</si>
  <si>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</si>
  <si>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</si>
  <si>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</si>
  <si>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</si>
  <si>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</si>
  <si>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</si>
  <si>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</si>
  <si>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</si>
  <si>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</si>
  <si>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</si>
  <si>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</si>
  <si>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</si>
  <si>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</si>
  <si>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</si>
  <si>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</si>
  <si>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</si>
  <si>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</si>
  <si>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</si>
  <si>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</si>
  <si>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</si>
  <si>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</si>
  <si>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</si>
  <si>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</si>
  <si>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</si>
  <si>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</si>
  <si>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</si>
  <si>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</si>
  <si>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</si>
  <si>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</si>
  <si>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</si>
  <si>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</si>
  <si>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</si>
  <si>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</si>
  <si>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</si>
  <si>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</si>
  <si>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</si>
  <si>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</si>
  <si>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</si>
  <si>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</si>
  <si>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</si>
  <si>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</si>
  <si>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</si>
  <si>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</si>
  <si>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</si>
  <si>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</si>
  <si>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</si>
  <si>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</si>
  <si>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</si>
  <si>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</si>
  <si>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</si>
  <si>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</si>
  <si>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</si>
  <si>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</si>
  <si>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</si>
  <si>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</si>
  <si>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</si>
  <si>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</si>
  <si>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</si>
  <si>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</si>
  <si>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</si>
  <si>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</si>
  <si>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</si>
  <si>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</si>
  <si>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</si>
  <si>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</si>
  <si>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</si>
  <si>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</si>
  <si>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</si>
  <si>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</si>
  <si>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</si>
  <si>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</si>
  <si>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</si>
  <si>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</si>
  <si>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</si>
  <si>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</si>
  <si>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</si>
  <si>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</si>
  <si>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</si>
  <si>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</si>
  <si>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</si>
  <si>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</si>
  <si>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</si>
  <si>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</si>
  <si>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</si>
  <si>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</si>
  <si>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</si>
  <si>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</si>
  <si>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</si>
  <si>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</si>
  <si>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</si>
  <si>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</si>
  <si>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</si>
  <si>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</si>
  <si>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</si>
  <si>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</si>
  <si>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</si>
  <si>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</si>
  <si>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</si>
  <si>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</si>
  <si>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</si>
  <si>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</si>
  <si>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</si>
  <si>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</si>
  <si>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</si>
  <si>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</si>
  <si>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</si>
  <si>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</si>
  <si>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</si>
  <si>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</si>
  <si>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</si>
  <si>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</si>
  <si>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</si>
  <si>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</si>
  <si>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</si>
  <si>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</si>
  <si>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</si>
  <si>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</si>
  <si>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</si>
  <si>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</si>
  <si>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</si>
  <si>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</si>
  <si>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</si>
  <si>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</si>
  <si>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</si>
  <si>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</si>
  <si>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</si>
  <si>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</si>
  <si>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</si>
  <si>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</si>
  <si>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</si>
  <si>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</si>
  <si>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</si>
  <si>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</si>
  <si>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</si>
  <si>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</si>
  <si>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</si>
  <si>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</si>
  <si>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</si>
  <si>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</si>
  <si>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</si>
  <si>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</si>
  <si>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</si>
  <si>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</si>
  <si>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</si>
  <si>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</si>
  <si>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</si>
  <si>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</si>
  <si>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</si>
  <si>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</si>
  <si>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</si>
  <si>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</si>
  <si>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</si>
  <si>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</si>
  <si>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</si>
  <si>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</si>
  <si>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</si>
  <si>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</si>
  <si>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</si>
  <si>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</si>
  <si>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</si>
  <si>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</si>
  <si>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</si>
  <si>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</si>
  <si>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</si>
  <si>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</si>
  <si>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</si>
  <si>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</si>
  <si>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</si>
  <si>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</si>
  <si>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</si>
  <si>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</si>
  <si>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</si>
  <si>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</si>
  <si>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</si>
  <si>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</si>
  <si>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</si>
  <si>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</si>
  <si>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</si>
  <si>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</si>
  <si>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</si>
  <si>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</si>
  <si>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</si>
  <si>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</si>
  <si>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</si>
  <si>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</si>
  <si>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</si>
  <si>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</si>
  <si>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</si>
  <si>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</si>
  <si>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</si>
  <si>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</si>
  <si>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</si>
  <si>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</si>
  <si>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</si>
  <si>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</si>
  <si>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</si>
  <si>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</si>
  <si>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</si>
  <si>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</si>
  <si>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</si>
  <si>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</si>
  <si>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</si>
  <si>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</si>
  <si>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</si>
  <si>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</si>
  <si>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</si>
  <si>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</si>
  <si>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</si>
  <si>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</si>
  <si>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</si>
  <si>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</si>
  <si>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</si>
  <si>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</si>
  <si>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</si>
  <si>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</si>
  <si>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</si>
  <si>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</si>
  <si>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</si>
  <si>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</si>
  <si>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</si>
  <si>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</si>
  <si>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</si>
  <si>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</si>
  <si>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</si>
  <si>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</si>
  <si>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</si>
  <si>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</si>
  <si>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</si>
  <si>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</si>
  <si>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</si>
  <si>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</si>
  <si>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</si>
  <si>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</si>
  <si>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</si>
  <si>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</si>
  <si>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</si>
  <si>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</si>
  <si>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</si>
  <si>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</si>
  <si>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</si>
  <si>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</si>
  <si>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</si>
  <si>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</si>
  <si>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</si>
  <si>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</si>
  <si>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</si>
  <si>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</si>
  <si>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</si>
  <si>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</si>
  <si>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</si>
  <si>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</si>
  <si>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</si>
  <si>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</si>
  <si>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</si>
  <si>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</si>
  <si>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</si>
  <si>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</si>
  <si>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</si>
  <si>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</si>
  <si>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</si>
  <si>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</si>
  <si>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</si>
  <si>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</si>
  <si>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</si>
  <si>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</si>
  <si>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</si>
  <si>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</si>
  <si>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</si>
  <si>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</si>
  <si>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</si>
  <si>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</si>
  <si>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</si>
  <si>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</si>
  <si>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</si>
  <si>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</si>
  <si>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</si>
  <si>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</si>
  <si>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</si>
  <si>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</si>
  <si>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</si>
  <si>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</si>
  <si>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</si>
  <si>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</si>
  <si>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</si>
  <si>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</si>
  <si>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</si>
  <si>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</si>
  <si>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</si>
  <si>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</si>
  <si>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</si>
  <si>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</si>
  <si>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</si>
  <si>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</si>
  <si>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</si>
  <si>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</si>
  <si>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</si>
  <si>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</si>
  <si>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</si>
  <si>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</si>
  <si>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</si>
  <si>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</si>
  <si>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</si>
  <si>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</si>
  <si>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</si>
  <si>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</si>
  <si>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</si>
  <si>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</si>
  <si>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</si>
  <si>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</si>
  <si>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</si>
  <si>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</si>
  <si>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</si>
  <si>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</si>
  <si>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</si>
  <si>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</si>
  <si>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</si>
  <si>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</si>
  <si>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</si>
  <si>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</si>
  <si>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</si>
  <si>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</si>
  <si>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</si>
  <si>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</si>
  <si>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</si>
  <si>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</si>
  <si>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</si>
  <si>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</si>
  <si>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</si>
  <si>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</si>
  <si>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</si>
  <si>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</si>
  <si>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</si>
  <si>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</si>
  <si>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</si>
  <si>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</si>
  <si>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</si>
  <si>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</si>
  <si>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</si>
  <si>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</si>
  <si>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</si>
  <si>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</si>
  <si>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</si>
  <si>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</si>
  <si>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</si>
  <si>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</si>
  <si>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</si>
  <si>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</si>
  <si>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</si>
  <si>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</si>
  <si>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</si>
  <si>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</si>
  <si>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</si>
  <si>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</si>
  <si>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</si>
  <si>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</si>
  <si>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</si>
  <si>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</si>
  <si>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</si>
  <si>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</si>
  <si>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</si>
  <si>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</si>
  <si>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</si>
  <si>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</si>
  <si>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</si>
  <si>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</si>
  <si>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</si>
  <si>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</si>
  <si>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</si>
  <si>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</si>
  <si>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</si>
  <si>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</si>
  <si>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</si>
  <si>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</si>
  <si>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</si>
  <si>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</si>
  <si>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</si>
  <si>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</si>
  <si>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</si>
  <si>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</si>
  <si>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</si>
  <si>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</si>
  <si>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</si>
  <si>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</si>
  <si>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</si>
  <si>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</si>
  <si>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</si>
  <si>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</si>
  <si>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</si>
  <si>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</si>
  <si>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</si>
  <si>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</si>
  <si>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</si>
  <si>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</si>
  <si>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</si>
  <si>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</si>
  <si>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</si>
  <si>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</si>
  <si>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</si>
  <si>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</si>
  <si>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</si>
  <si>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</si>
  <si>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</si>
  <si>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</si>
  <si>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</si>
  <si>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</si>
  <si>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</si>
  <si>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</si>
  <si>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</si>
  <si>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</si>
  <si>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</si>
  <si>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</si>
  <si>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</si>
  <si>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</si>
  <si>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</si>
  <si>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</si>
  <si>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</si>
  <si>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</si>
  <si>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</si>
  <si>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</si>
  <si>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</si>
  <si>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</si>
  <si>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</si>
  <si>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</si>
  <si>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</si>
  <si>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</si>
  <si>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</si>
  <si>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</si>
  <si>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</si>
  <si>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</si>
  <si>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</si>
  <si>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</si>
  <si>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</si>
  <si>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</si>
  <si>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</si>
  <si>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</si>
  <si>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</si>
  <si>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</si>
  <si>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</si>
  <si>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</si>
  <si>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</si>
  <si>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</si>
  <si>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</si>
  <si>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</si>
  <si>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</si>
  <si>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</si>
  <si>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</si>
  <si>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</si>
  <si>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</si>
  <si>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</si>
  <si>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</si>
  <si>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</si>
  <si>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</si>
  <si>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</si>
  <si>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</si>
  <si>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</si>
  <si>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</si>
  <si>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</si>
  <si>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</si>
  <si>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</si>
  <si>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</si>
  <si>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</si>
  <si>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</si>
  <si>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</si>
  <si>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</si>
  <si>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</si>
  <si>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</si>
  <si>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</si>
  <si>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</si>
  <si>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</si>
  <si>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</si>
  <si>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</si>
  <si>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</si>
  <si>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</si>
  <si>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</si>
  <si>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</si>
  <si>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</si>
  <si>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</si>
  <si>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</si>
  <si>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</si>
  <si>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</si>
  <si>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</si>
  <si>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</si>
  <si>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</si>
  <si>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</si>
  <si>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</si>
  <si>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</si>
  <si>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</si>
  <si>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</si>
  <si>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</si>
  <si>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</si>
  <si>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</si>
  <si>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</si>
  <si>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</si>
  <si>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</si>
  <si>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</si>
  <si>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</si>
  <si>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</si>
  <si>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</si>
  <si>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</si>
  <si>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</si>
  <si>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</si>
  <si>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</si>
  <si>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</si>
  <si>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</si>
  <si>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</si>
  <si>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</si>
  <si>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</si>
  <si>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</si>
  <si>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</si>
  <si>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</si>
  <si>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</si>
  <si>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</si>
  <si>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</si>
  <si>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</si>
  <si>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</si>
  <si>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</si>
  <si>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</si>
  <si>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</si>
  <si>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</si>
  <si>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</si>
  <si>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</si>
  <si>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</si>
  <si>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</si>
  <si>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</si>
  <si>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</si>
  <si>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</si>
  <si>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</si>
  <si>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</si>
  <si>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</si>
  <si>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</si>
  <si>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</si>
  <si>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</si>
  <si>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</si>
  <si>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</si>
  <si>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</si>
  <si>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</si>
  <si>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</si>
  <si>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</si>
  <si>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</si>
  <si>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</si>
  <si>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</si>
  <si>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</si>
  <si>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</si>
  <si>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</si>
  <si>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</si>
  <si>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</si>
  <si>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</si>
  <si>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</si>
  <si>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</si>
  <si>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</si>
  <si>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</si>
  <si>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</si>
  <si>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</si>
  <si>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</si>
  <si>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</si>
  <si>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</si>
  <si>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</si>
  <si>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</si>
  <si>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</si>
  <si>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</si>
  <si>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</si>
  <si>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</si>
  <si>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</si>
  <si>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</si>
  <si>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</si>
  <si>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</si>
  <si>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</si>
  <si>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</si>
  <si>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</si>
  <si>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</si>
  <si>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</si>
  <si>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</si>
  <si>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</si>
  <si>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</si>
  <si>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</si>
  <si>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</si>
  <si>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</si>
  <si>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</si>
  <si>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</si>
  <si>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</si>
  <si>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</si>
  <si>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</si>
  <si>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</si>
  <si>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</si>
  <si>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</si>
  <si>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</si>
  <si>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</si>
  <si>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</si>
  <si>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</si>
  <si>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</si>
  <si>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</si>
  <si>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</si>
  <si>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</si>
  <si>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</si>
  <si>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</si>
  <si>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</si>
  <si>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</si>
  <si>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</si>
  <si>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</si>
  <si>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</si>
  <si>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</si>
  <si>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</si>
  <si>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</si>
  <si>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</si>
  <si>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</si>
  <si>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</si>
  <si>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</si>
  <si>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</si>
  <si>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</si>
  <si>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</si>
  <si>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</si>
  <si>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</si>
  <si>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</si>
  <si>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</si>
  <si>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</si>
  <si>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</si>
  <si>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</si>
  <si>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</si>
  <si>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</si>
  <si>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</si>
  <si>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</si>
  <si>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</si>
  <si>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</si>
  <si>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</si>
  <si>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</si>
  <si>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</si>
  <si>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</si>
  <si>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</si>
  <si>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</si>
  <si>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</si>
  <si>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</si>
  <si>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</si>
  <si>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</si>
  <si>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</si>
  <si>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</si>
  <si>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</si>
  <si>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</si>
  <si>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</si>
  <si>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</si>
  <si>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</si>
  <si>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</si>
  <si>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</si>
  <si>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</si>
  <si>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</si>
  <si>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</si>
  <si>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</si>
  <si>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</si>
  <si>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</si>
  <si>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</si>
  <si>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</si>
  <si>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</si>
  <si>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</si>
  <si>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</si>
  <si>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</si>
  <si>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</si>
  <si>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</si>
  <si>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</si>
  <si>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</si>
  <si>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</si>
  <si>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</si>
  <si>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</si>
  <si>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</si>
  <si>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</si>
  <si>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</si>
  <si>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</si>
  <si>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</si>
  <si>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</si>
  <si>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</si>
  <si>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</si>
  <si>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</si>
  <si>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</si>
  <si>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</si>
  <si>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</si>
  <si>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</si>
  <si>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</si>
  <si>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</si>
  <si>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</si>
  <si>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</si>
  <si>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</si>
  <si>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</si>
  <si>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</si>
  <si>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</si>
  <si>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</si>
  <si>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</si>
  <si>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</si>
  <si>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</si>
  <si>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</si>
  <si>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</si>
  <si>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</si>
  <si>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</si>
  <si>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</si>
  <si>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</si>
  <si>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</si>
  <si>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</si>
  <si>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</si>
  <si>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</si>
  <si>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</si>
  <si>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</si>
  <si>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</si>
  <si>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</si>
  <si>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</si>
  <si>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</si>
  <si>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</si>
  <si>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</si>
  <si>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</si>
  <si>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</si>
  <si>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</si>
  <si>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</si>
  <si>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</si>
  <si>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</si>
  <si>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</si>
  <si>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</si>
  <si>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</si>
  <si>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</si>
  <si>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</si>
  <si>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</si>
  <si>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</si>
  <si>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</si>
  <si>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</si>
  <si>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</si>
  <si>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</si>
  <si>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</si>
  <si>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</si>
  <si>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</si>
  <si>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</si>
  <si>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</si>
  <si>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</si>
  <si>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</si>
  <si>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</si>
  <si>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</si>
  <si>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</si>
  <si>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</si>
  <si>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</si>
  <si>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</si>
  <si>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</si>
  <si>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</si>
  <si>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</si>
  <si>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</si>
  <si>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</si>
  <si>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</si>
  <si>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</si>
  <si>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</si>
  <si>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</si>
  <si>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</si>
  <si>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</si>
  <si>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</si>
  <si>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</si>
  <si>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</si>
  <si>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</si>
  <si>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</si>
  <si>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</si>
  <si>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</si>
  <si>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</si>
  <si>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</si>
  <si>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</si>
  <si>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</si>
  <si>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</si>
  <si>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</si>
  <si>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</si>
  <si>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</si>
  <si>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</si>
  <si>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</si>
  <si>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</si>
  <si>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</si>
  <si>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</si>
  <si>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</si>
  <si>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</si>
  <si>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</si>
  <si>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</si>
  <si>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</si>
  <si>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</si>
  <si>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</si>
  <si>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</si>
  <si>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</si>
  <si>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</si>
  <si>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</si>
  <si>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</si>
  <si>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</si>
  <si>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</si>
  <si>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</si>
  <si>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</si>
  <si>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</si>
  <si>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</si>
  <si>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</si>
  <si>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</si>
  <si>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</si>
  <si>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</si>
  <si>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</si>
  <si>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</si>
  <si>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</si>
  <si>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</si>
  <si>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</si>
  <si>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</si>
  <si>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</si>
  <si>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</si>
  <si>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</si>
  <si>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</si>
  <si>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</si>
  <si>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</si>
  <si>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</si>
  <si>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</si>
  <si>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</si>
  <si>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</si>
  <si>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</si>
  <si>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</si>
  <si>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</si>
  <si>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</si>
  <si>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</si>
  <si>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</si>
  <si>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</si>
  <si>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</si>
  <si>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</si>
  <si>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</si>
  <si>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</si>
  <si>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</si>
  <si>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</si>
  <si>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</si>
  <si>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</si>
  <si>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</si>
  <si>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</si>
  <si>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</si>
  <si>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</si>
  <si>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</si>
  <si>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</si>
  <si>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</si>
  <si>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</si>
  <si>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</si>
  <si>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</si>
  <si>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</si>
  <si>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</si>
  <si>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</si>
  <si>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</si>
  <si>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</si>
  <si>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</si>
  <si>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</si>
  <si>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</si>
  <si>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</si>
  <si>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</si>
  <si>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</si>
  <si>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</si>
  <si>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</si>
  <si>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</si>
  <si>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</si>
  <si>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</si>
  <si>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</si>
  <si>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</si>
  <si>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</si>
  <si>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</si>
  <si>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</si>
  <si>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</si>
  <si>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</si>
  <si>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</si>
  <si>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</si>
  <si>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</si>
  <si>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</si>
  <si>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</si>
  <si>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</si>
  <si>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</si>
  <si>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</si>
  <si>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</si>
  <si>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</si>
  <si>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</si>
  <si>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</si>
  <si>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</si>
  <si>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</si>
  <si>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</si>
  <si>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</si>
  <si>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</si>
  <si>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</si>
  <si>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</si>
  <si>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</si>
  <si>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</si>
  <si>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</si>
  <si>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</si>
  <si>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</si>
  <si>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</si>
  <si>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</si>
  <si>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</si>
  <si>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</si>
  <si>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</si>
  <si>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</si>
  <si>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</si>
  <si>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</si>
  <si>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</si>
  <si>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</si>
  <si>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</si>
  <si>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</si>
  <si>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</si>
  <si>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</si>
  <si>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</si>
  <si>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</si>
  <si>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</si>
  <si>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</si>
  <si>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</si>
  <si>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</si>
  <si>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</si>
  <si>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</si>
  <si>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</si>
  <si>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</si>
  <si>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</si>
  <si>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</si>
  <si>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</si>
  <si>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</si>
  <si>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</si>
  <si>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</si>
  <si>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</si>
  <si>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</si>
  <si>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</si>
  <si>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</si>
  <si>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</si>
  <si>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</si>
  <si>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</si>
  <si>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</si>
  <si>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</si>
  <si>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</si>
  <si>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</si>
  <si>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</si>
  <si>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</si>
  <si>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</si>
  <si>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</si>
  <si>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</si>
  <si>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</si>
  <si>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</si>
  <si>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</si>
  <si>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</si>
  <si>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</si>
  <si>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</si>
  <si>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</si>
  <si>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</si>
  <si>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</si>
  <si>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</si>
  <si>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</si>
  <si>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</si>
  <si>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</si>
  <si>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</si>
  <si>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</si>
  <si>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</si>
  <si>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</si>
  <si>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</si>
  <si>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</si>
  <si>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</si>
  <si>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</si>
  <si>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</si>
  <si>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</si>
  <si>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</si>
  <si>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</si>
  <si>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</si>
  <si>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</si>
  <si>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</si>
  <si>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</si>
  <si>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</si>
  <si>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</si>
  <si>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</si>
  <si>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</si>
  <si>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</si>
  <si>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</si>
  <si>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</si>
  <si>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</si>
  <si>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</si>
  <si>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</si>
  <si>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</si>
  <si>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</si>
  <si>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</si>
  <si>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</si>
  <si>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</si>
  <si>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</si>
  <si>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</si>
  <si>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</si>
  <si>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</si>
  <si>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</si>
  <si>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</si>
  <si>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</si>
  <si>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</si>
  <si>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</si>
  <si>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</si>
  <si>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</si>
  <si>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</si>
  <si>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</si>
  <si>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</si>
  <si>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</si>
  <si>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</si>
  <si>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</si>
  <si>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</si>
  <si>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</si>
  <si>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</si>
  <si>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</si>
  <si>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</si>
  <si>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</si>
  <si>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</si>
  <si>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</si>
  <si>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</si>
  <si>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</si>
  <si>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</si>
  <si>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</si>
  <si>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</si>
  <si>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</si>
  <si>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</si>
  <si>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</si>
  <si>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</si>
  <si>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</si>
  <si>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</si>
  <si>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</si>
  <si>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</si>
  <si>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</si>
  <si>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</si>
  <si>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</si>
  <si>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</si>
  <si>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</si>
  <si>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</si>
  <si>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</si>
  <si>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</si>
  <si>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</si>
  <si>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</si>
  <si>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</si>
  <si>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</si>
  <si>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</si>
  <si>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</si>
  <si>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</si>
  <si>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</si>
  <si>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</si>
  <si>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</si>
  <si>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</si>
  <si>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</si>
  <si>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</si>
  <si>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</si>
  <si>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</si>
  <si>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</si>
  <si>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</si>
  <si>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</si>
  <si>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</si>
  <si>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</si>
  <si>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</si>
  <si>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</si>
  <si>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</si>
  <si>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</si>
  <si>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</si>
  <si>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</si>
  <si>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</si>
  <si>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</si>
  <si>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</si>
  <si>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</si>
  <si>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</si>
  <si>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</si>
  <si>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</si>
  <si>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</si>
  <si>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</si>
  <si>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</si>
  <si>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</si>
  <si>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</si>
  <si>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</si>
  <si>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</si>
  <si>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</si>
  <si>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</si>
  <si>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</si>
  <si>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</si>
  <si>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</si>
  <si>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</si>
  <si>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</si>
  <si>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</si>
  <si>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</si>
  <si>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</si>
  <si>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</si>
  <si>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</si>
  <si>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</si>
  <si>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</si>
  <si>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</si>
  <si>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</si>
  <si>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</si>
  <si>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</si>
  <si>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</si>
  <si>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</si>
  <si>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</si>
  <si>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</si>
  <si>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</si>
  <si>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</si>
  <si>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</si>
  <si>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</si>
  <si>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</si>
  <si>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</si>
  <si>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</si>
  <si>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</si>
  <si>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</si>
  <si>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</si>
  <si>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</si>
  <si>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</si>
  <si>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</si>
  <si>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</si>
  <si>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</si>
  <si>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</si>
  <si>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</si>
  <si>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</si>
  <si>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</si>
  <si>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</si>
  <si>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</si>
  <si>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</si>
  <si>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</si>
  <si>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</si>
  <si>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</si>
  <si>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</si>
  <si>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</si>
  <si>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</si>
  <si>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</si>
  <si>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</si>
  <si>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</si>
  <si>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</si>
  <si>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</si>
  <si>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</si>
  <si>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</si>
  <si>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</si>
  <si>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</si>
  <si>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</si>
  <si>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</si>
  <si>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</si>
  <si>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</si>
  <si>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</si>
  <si>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</si>
  <si>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</si>
  <si>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</si>
  <si>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</si>
  <si>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</si>
  <si>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</si>
  <si>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</si>
  <si>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</si>
  <si>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</si>
  <si>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</si>
  <si>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</si>
  <si>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</si>
  <si>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</si>
  <si>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</si>
  <si>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</si>
  <si>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</si>
  <si>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</si>
  <si>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</si>
  <si>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</si>
  <si>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</si>
  <si>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</si>
  <si>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</si>
  <si>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</si>
  <si>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</si>
  <si>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</si>
  <si>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</si>
  <si>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</si>
  <si>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</si>
  <si>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</si>
  <si>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</si>
  <si>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</si>
  <si>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</si>
  <si>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</si>
  <si>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</si>
  <si>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</si>
  <si>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</si>
  <si>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</si>
  <si>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</si>
  <si>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</si>
  <si>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</si>
  <si>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</si>
  <si>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</si>
  <si>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</si>
  <si>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</si>
  <si>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</si>
  <si>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</si>
  <si>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</si>
  <si>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</si>
  <si>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</si>
  <si>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</si>
  <si>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</si>
  <si>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</si>
  <si>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</si>
  <si>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</si>
  <si>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</si>
  <si>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</si>
  <si>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</si>
  <si>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</si>
  <si>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</si>
  <si>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</si>
  <si>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</si>
  <si>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</si>
  <si>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</si>
  <si>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</si>
  <si>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</si>
  <si>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</si>
  <si>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</si>
  <si>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</si>
  <si>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</si>
  <si>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</si>
  <si>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</si>
  <si>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</si>
  <si>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</si>
  <si>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</si>
  <si>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</si>
  <si>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</si>
  <si>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</si>
  <si>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</si>
  <si>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</si>
  <si>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</si>
  <si>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</si>
  <si>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</si>
  <si>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</si>
  <si>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</si>
  <si>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</si>
  <si>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</si>
  <si>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</si>
  <si>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</si>
  <si>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</si>
  <si>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</si>
  <si>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</si>
  <si>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</si>
  <si>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</si>
  <si>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</si>
  <si>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</si>
  <si>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</si>
  <si>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</si>
  <si>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</si>
  <si>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</si>
  <si>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</si>
  <si>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</si>
  <si>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</si>
  <si>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</si>
  <si>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</si>
  <si>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</si>
  <si>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</si>
  <si>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</si>
  <si>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</si>
  <si>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</si>
  <si>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</si>
  <si>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</si>
  <si>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</si>
  <si>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</si>
  <si>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</si>
  <si>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</si>
  <si>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</si>
  <si>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</si>
  <si>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</si>
  <si>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</si>
  <si>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</si>
  <si>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</si>
  <si>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</si>
  <si>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</si>
  <si>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</si>
  <si>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</si>
  <si>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</si>
  <si>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</si>
  <si>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</si>
  <si>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</si>
  <si>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</si>
  <si>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</si>
  <si>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</si>
  <si>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</si>
  <si>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</si>
  <si>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</si>
  <si>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</si>
  <si>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</si>
  <si>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</si>
  <si>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</si>
  <si>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</si>
  <si>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</si>
  <si>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</si>
  <si>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</si>
  <si>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</si>
  <si>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</si>
  <si>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</si>
  <si>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</si>
  <si>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</si>
  <si>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</si>
  <si>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</si>
  <si>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</si>
  <si>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</si>
  <si>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</si>
  <si>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</si>
  <si>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</si>
  <si>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</si>
  <si>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</si>
  <si>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</si>
  <si>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</si>
  <si>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</si>
  <si>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</si>
  <si>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</si>
  <si>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</si>
  <si>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</si>
  <si>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</si>
  <si>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</si>
  <si>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</si>
  <si>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</si>
  <si>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</si>
  <si>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</si>
  <si>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</si>
  <si>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</si>
  <si>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</si>
  <si>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</si>
  <si>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</si>
  <si>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</si>
  <si>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</si>
  <si>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</si>
  <si>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</si>
  <si>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</si>
  <si>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</si>
  <si>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</si>
  <si>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</si>
  <si>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</si>
  <si>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</si>
  <si>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</si>
  <si>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</si>
  <si>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</si>
  <si>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项目位于长乐区鹤上板块，打造定位为地铁6号线服务鹤上片区的居住生活商业配套区。是大福州发展的重要门户、福州城市发展的核心区、示范区和先行区。长乐鹤上片区规划总体布局形成“一轴两心四片区”的规划结构。</t>
    <phoneticPr fontId="141" type="noConversion"/>
  </si>
  <si>
    <t>福建福州长乐项目综合经济技术指标</t>
  </si>
  <si>
    <t>项目</t>
  </si>
  <si>
    <t>数值</t>
  </si>
  <si>
    <t>单位</t>
  </si>
  <si>
    <t>备注</t>
  </si>
  <si>
    <t>规划建设用地面积</t>
  </si>
  <si>
    <t>㎡</t>
  </si>
  <si>
    <t>代征用地面积</t>
  </si>
  <si>
    <t>净用地面积</t>
  </si>
  <si>
    <t>总建筑面积</t>
  </si>
  <si>
    <t>地上总建筑面积</t>
  </si>
  <si>
    <r>
      <t>1</t>
    </r>
    <r>
      <rPr>
        <b/>
        <sz val="10.5"/>
        <color theme="1"/>
        <rFont val="宋体"/>
        <family val="3"/>
        <charset val="134"/>
      </rPr>
      <t>，地上计容积率建筑面积</t>
    </r>
  </si>
  <si>
    <t>其中</t>
  </si>
  <si>
    <r>
      <t xml:space="preserve">A </t>
    </r>
    <r>
      <rPr>
        <sz val="10.5"/>
        <color theme="1"/>
        <rFont val="宋体"/>
        <family val="3"/>
        <charset val="134"/>
      </rPr>
      <t>住宅</t>
    </r>
  </si>
  <si>
    <r>
      <t>28F</t>
    </r>
    <r>
      <rPr>
        <sz val="10.5"/>
        <color theme="1"/>
        <rFont val="宋体"/>
        <family val="3"/>
        <charset val="134"/>
      </rPr>
      <t>高层（</t>
    </r>
    <r>
      <rPr>
        <sz val="10.5"/>
        <color theme="1"/>
        <rFont val="Calibri"/>
        <family val="2"/>
      </rPr>
      <t>98+116</t>
    </r>
    <r>
      <rPr>
        <sz val="10.5"/>
        <color theme="1"/>
        <rFont val="宋体"/>
        <family val="3"/>
        <charset val="134"/>
      </rPr>
      <t>）</t>
    </r>
  </si>
  <si>
    <r>
      <t>30F</t>
    </r>
    <r>
      <rPr>
        <sz val="10.5"/>
        <color theme="1"/>
        <rFont val="宋体"/>
        <family val="3"/>
        <charset val="134"/>
      </rPr>
      <t>高层（</t>
    </r>
    <r>
      <rPr>
        <sz val="10.5"/>
        <color theme="1"/>
        <rFont val="Calibri"/>
        <family val="2"/>
      </rPr>
      <t>98+125</t>
    </r>
    <r>
      <rPr>
        <sz val="10.5"/>
        <color theme="1"/>
        <rFont val="宋体"/>
        <family val="3"/>
        <charset val="134"/>
      </rPr>
      <t>）</t>
    </r>
  </si>
  <si>
    <t>安置房</t>
  </si>
  <si>
    <r>
      <t xml:space="preserve">B </t>
    </r>
    <r>
      <rPr>
        <sz val="10.5"/>
        <color theme="1"/>
        <rFont val="宋体"/>
        <family val="3"/>
        <charset val="134"/>
      </rPr>
      <t>社区配套</t>
    </r>
  </si>
  <si>
    <t>社区用房</t>
  </si>
  <si>
    <t>物业管理用房</t>
  </si>
  <si>
    <t>居民活动用房</t>
  </si>
  <si>
    <t>健身活动室</t>
  </si>
  <si>
    <t>居家养老服务站</t>
  </si>
  <si>
    <t>社区卫生服务站</t>
  </si>
  <si>
    <t>公共厕所</t>
  </si>
  <si>
    <t>环卫工人休息站</t>
  </si>
  <si>
    <t>再生资源回收站</t>
  </si>
  <si>
    <t>片区汇聚机房</t>
  </si>
  <si>
    <t>消控室</t>
  </si>
  <si>
    <r>
      <t>配电房</t>
    </r>
    <r>
      <rPr>
        <sz val="10.5"/>
        <color theme="1"/>
        <rFont val="Calibri"/>
        <family val="2"/>
      </rPr>
      <t>/</t>
    </r>
    <r>
      <rPr>
        <sz val="10.5"/>
        <color theme="1"/>
        <rFont val="宋体"/>
        <family val="3"/>
        <charset val="134"/>
      </rPr>
      <t>开闭所</t>
    </r>
  </si>
  <si>
    <t>大门</t>
  </si>
  <si>
    <r>
      <t xml:space="preserve">C </t>
    </r>
    <r>
      <rPr>
        <sz val="10.5"/>
        <color theme="1"/>
        <rFont val="宋体"/>
        <family val="3"/>
        <charset val="134"/>
      </rPr>
      <t>商业</t>
    </r>
  </si>
  <si>
    <t>回购商业</t>
  </si>
  <si>
    <t>可售商业</t>
  </si>
  <si>
    <r>
      <t>2</t>
    </r>
    <r>
      <rPr>
        <b/>
        <sz val="10.5"/>
        <color theme="1"/>
        <rFont val="宋体"/>
        <family val="3"/>
        <charset val="134"/>
      </rPr>
      <t>，地上不计容积率建筑面积</t>
    </r>
  </si>
  <si>
    <t>架空层</t>
  </si>
  <si>
    <r>
      <t>3</t>
    </r>
    <r>
      <rPr>
        <b/>
        <sz val="10.5"/>
        <color theme="1"/>
        <rFont val="宋体"/>
        <family val="3"/>
        <charset val="134"/>
      </rPr>
      <t>，不计容积率地下室面积</t>
    </r>
  </si>
  <si>
    <t>地下室夹层</t>
  </si>
  <si>
    <t>非机动车库面积</t>
  </si>
  <si>
    <t>机动车库</t>
  </si>
  <si>
    <t>普通车库面积</t>
  </si>
  <si>
    <t>人防车库面积</t>
  </si>
  <si>
    <t>容积率</t>
  </si>
  <si>
    <t>/</t>
  </si>
  <si>
    <t>建筑密度</t>
  </si>
  <si>
    <t>%</t>
  </si>
  <si>
    <r>
      <t>4</t>
    </r>
    <r>
      <rPr>
        <b/>
        <sz val="10.5"/>
        <color theme="1"/>
        <rFont val="宋体"/>
        <family val="3"/>
        <charset val="134"/>
      </rPr>
      <t>，建筑占地面积</t>
    </r>
  </si>
  <si>
    <t>住宅占地面积</t>
  </si>
  <si>
    <t>配套占地面积</t>
  </si>
  <si>
    <t>绿地率</t>
  </si>
  <si>
    <t>户数</t>
  </si>
  <si>
    <t>户</t>
  </si>
  <si>
    <t>高层</t>
  </si>
  <si>
    <t>人数</t>
  </si>
  <si>
    <t>人</t>
  </si>
  <si>
    <t>建筑层数</t>
  </si>
  <si>
    <t>24-31F</t>
  </si>
  <si>
    <t>层</t>
  </si>
  <si>
    <t>单车位指标</t>
  </si>
  <si>
    <r>
      <t>㎡</t>
    </r>
    <r>
      <rPr>
        <sz val="10.5"/>
        <color theme="1"/>
        <rFont val="Calibri"/>
        <family val="2"/>
      </rPr>
      <t>/</t>
    </r>
    <r>
      <rPr>
        <sz val="10.5"/>
        <color theme="1"/>
        <rFont val="宋体"/>
        <family val="3"/>
        <charset val="134"/>
      </rPr>
      <t>辆</t>
    </r>
  </si>
  <si>
    <r>
      <t>5</t>
    </r>
    <r>
      <rPr>
        <b/>
        <sz val="10.5"/>
        <color theme="1"/>
        <rFont val="宋体"/>
        <family val="3"/>
        <charset val="134"/>
      </rPr>
      <t>，机动停车位</t>
    </r>
  </si>
  <si>
    <t>辆</t>
  </si>
  <si>
    <t>地上停车位</t>
  </si>
  <si>
    <t>地下停车位</t>
  </si>
  <si>
    <t>非人防停车位</t>
  </si>
  <si>
    <t>人防停车位</t>
  </si>
  <si>
    <r>
      <t>6</t>
    </r>
    <r>
      <rPr>
        <b/>
        <sz val="10.5"/>
        <color theme="1"/>
        <rFont val="宋体"/>
        <family val="3"/>
        <charset val="134"/>
      </rPr>
      <t>，非机动车位数</t>
    </r>
  </si>
  <si>
    <t>住宅非机动车位数</t>
  </si>
  <si>
    <t>商业非机动车位数</t>
  </si>
  <si>
    <t>配套非机动车位数</t>
  </si>
  <si>
    <t xml:space="preserve">2）价格预测：
A、高层住宅售价：14500元/平方米（毛坯）
B、可售商业售价：22000元/平方米（毛坯）
C、地下车库价格：76500元/个（毛坯）
</t>
    <phoneticPr fontId="141" type="noConversion"/>
  </si>
  <si>
    <t>序号</t>
  </si>
  <si>
    <r>
      <t>项</t>
    </r>
    <r>
      <rPr>
        <sz val="10.5"/>
        <color theme="1"/>
        <rFont val="Times New Roman"/>
        <family val="1"/>
      </rPr>
      <t xml:space="preserve">  </t>
    </r>
    <r>
      <rPr>
        <sz val="10.5"/>
        <color theme="1"/>
        <rFont val="宋体"/>
        <family val="3"/>
        <charset val="134"/>
      </rPr>
      <t>目</t>
    </r>
    <r>
      <rPr>
        <sz val="10.5"/>
        <color theme="1"/>
        <rFont val="Times New Roman"/>
        <family val="1"/>
      </rPr>
      <t xml:space="preserve">  </t>
    </r>
    <r>
      <rPr>
        <sz val="10.5"/>
        <color theme="1"/>
        <rFont val="宋体"/>
        <family val="3"/>
        <charset val="134"/>
      </rPr>
      <t>名</t>
    </r>
    <r>
      <rPr>
        <sz val="10.5"/>
        <color theme="1"/>
        <rFont val="Times New Roman"/>
        <family val="1"/>
      </rPr>
      <t xml:space="preserve">  </t>
    </r>
    <r>
      <rPr>
        <sz val="10.5"/>
        <color theme="1"/>
        <rFont val="宋体"/>
        <family val="3"/>
        <charset val="134"/>
      </rPr>
      <t>称</t>
    </r>
  </si>
  <si>
    <t>金额（万元）</t>
  </si>
  <si>
    <t>占比</t>
  </si>
  <si>
    <t>土地成本</t>
  </si>
  <si>
    <t>前期费用</t>
  </si>
  <si>
    <t>建安工程费用</t>
  </si>
  <si>
    <t>期间费用</t>
  </si>
  <si>
    <t>总投资</t>
  </si>
  <si>
    <t>业态</t>
  </si>
  <si>
    <t>销售面积/个</t>
  </si>
  <si>
    <t>销售价格</t>
  </si>
  <si>
    <t>销售收入(万元)</t>
  </si>
  <si>
    <t>高层住宅(28-30F)</t>
  </si>
  <si>
    <t>沿街商业</t>
  </si>
  <si>
    <t>车位</t>
  </si>
  <si>
    <t>销售收入合计</t>
  </si>
  <si>
    <t>指 标 项 目</t>
  </si>
  <si>
    <t>指标</t>
  </si>
  <si>
    <t>建设用地</t>
  </si>
  <si>
    <r>
      <t>m</t>
    </r>
    <r>
      <rPr>
        <vertAlign val="superscript"/>
        <sz val="10"/>
        <color theme="1"/>
        <rFont val="Calibri"/>
        <family val="2"/>
      </rPr>
      <t>2</t>
    </r>
  </si>
  <si>
    <r>
      <t>可销售面积</t>
    </r>
    <r>
      <rPr>
        <sz val="10"/>
        <color theme="1"/>
        <rFont val="Calibri"/>
        <family val="2"/>
      </rPr>
      <t xml:space="preserve"> </t>
    </r>
  </si>
  <si>
    <t>住宅区容积率</t>
  </si>
  <si>
    <t>绿化率</t>
  </si>
  <si>
    <t>万元</t>
  </si>
  <si>
    <r>
      <t>其中：</t>
    </r>
    <r>
      <rPr>
        <sz val="10"/>
        <color theme="1"/>
        <rFont val="Calibri"/>
        <family val="2"/>
      </rPr>
      <t xml:space="preserve">  </t>
    </r>
    <r>
      <rPr>
        <sz val="10"/>
        <color theme="1"/>
        <rFont val="宋体"/>
        <family val="3"/>
        <charset val="134"/>
      </rPr>
      <t>资本金</t>
    </r>
  </si>
  <si>
    <r>
      <t xml:space="preserve">       </t>
    </r>
    <r>
      <rPr>
        <sz val="10"/>
        <color theme="1"/>
        <rFont val="宋体"/>
        <family val="3"/>
        <charset val="134"/>
      </rPr>
      <t>银行贷款</t>
    </r>
  </si>
  <si>
    <r>
      <t xml:space="preserve">       </t>
    </r>
    <r>
      <rPr>
        <sz val="10"/>
        <color theme="1"/>
        <rFont val="宋体"/>
        <family val="3"/>
        <charset val="134"/>
      </rPr>
      <t>预售收入</t>
    </r>
  </si>
  <si>
    <t>销售收入</t>
  </si>
  <si>
    <t>利润总额</t>
  </si>
  <si>
    <t>净利润</t>
  </si>
  <si>
    <t>投资利润率</t>
  </si>
  <si>
    <t>投资净利润率</t>
  </si>
  <si>
    <t>销售净利润率</t>
  </si>
  <si>
    <t>财务内部收益率</t>
  </si>
  <si>
    <r>
      <t>财务净现值（折现率：</t>
    </r>
    <r>
      <rPr>
        <sz val="11"/>
        <color theme="1"/>
        <rFont val="Calibri"/>
        <family val="2"/>
      </rPr>
      <t>10%</t>
    </r>
    <r>
      <rPr>
        <sz val="11"/>
        <color theme="1"/>
        <rFont val="宋体"/>
        <family val="3"/>
        <charset val="134"/>
      </rPr>
      <t>）</t>
    </r>
  </si>
  <si>
    <t>盈亏平衡点</t>
  </si>
  <si>
    <t>受让人</t>
    <phoneticPr fontId="141" type="noConversion"/>
  </si>
  <si>
    <t>宗地面积</t>
    <phoneticPr fontId="141" type="noConversion"/>
  </si>
  <si>
    <t>出让面积</t>
    <phoneticPr fontId="141" type="noConversion"/>
  </si>
  <si>
    <t>坐落</t>
    <phoneticPr fontId="141" type="noConversion"/>
  </si>
  <si>
    <t>鹤上镇京岭路北侧、道庆路西侧</t>
    <phoneticPr fontId="141" type="noConversion"/>
  </si>
  <si>
    <t>用途</t>
    <phoneticPr fontId="141" type="noConversion"/>
  </si>
  <si>
    <t>住宅用地、商业用地</t>
    <phoneticPr fontId="141" type="noConversion"/>
  </si>
  <si>
    <t>交付时间</t>
    <phoneticPr fontId="141" type="noConversion"/>
  </si>
  <si>
    <t>现状交付</t>
    <phoneticPr fontId="141" type="noConversion"/>
  </si>
  <si>
    <t>出让年期</t>
    <phoneticPr fontId="141" type="noConversion"/>
  </si>
  <si>
    <r>
      <t>7</t>
    </r>
    <r>
      <rPr>
        <sz val="11"/>
        <color theme="1"/>
        <rFont val="宋体"/>
        <family val="3"/>
        <charset val="134"/>
        <scheme val="minor"/>
      </rPr>
      <t>0、40</t>
    </r>
    <phoneticPr fontId="141" type="noConversion"/>
  </si>
  <si>
    <t>出让价款</t>
    <phoneticPr fontId="141" type="noConversion"/>
  </si>
  <si>
    <t>万元</t>
    <phoneticPr fontId="141" type="noConversion"/>
  </si>
  <si>
    <t>开发投资总额</t>
    <phoneticPr fontId="141" type="noConversion"/>
  </si>
  <si>
    <t>主体</t>
    <phoneticPr fontId="141" type="noConversion"/>
  </si>
  <si>
    <t>商品房</t>
    <phoneticPr fontId="141" type="noConversion"/>
  </si>
  <si>
    <t>容积率</t>
    <phoneticPr fontId="141" type="noConversion"/>
  </si>
  <si>
    <t>不高于</t>
    <phoneticPr fontId="141" type="noConversion"/>
  </si>
  <si>
    <t>不低于</t>
    <phoneticPr fontId="141" type="noConversion"/>
  </si>
  <si>
    <t>限高</t>
    <phoneticPr fontId="141" type="noConversion"/>
  </si>
  <si>
    <t>建筑密度</t>
    <phoneticPr fontId="141" type="noConversion"/>
  </si>
  <si>
    <t>绿地率</t>
    <phoneticPr fontId="141" type="noConversion"/>
  </si>
  <si>
    <t>开工</t>
    <phoneticPr fontId="141" type="noConversion"/>
  </si>
  <si>
    <t>竣工</t>
    <phoneticPr fontId="141" type="noConversion"/>
  </si>
  <si>
    <t>限制因素</t>
    <phoneticPr fontId="141" type="noConversion"/>
  </si>
  <si>
    <t>签订时间</t>
    <phoneticPr fontId="141" type="noConversion"/>
  </si>
  <si>
    <t>《国有建设用地使用权出让合同》补充条款</t>
    <phoneticPr fontId="141" type="noConversion"/>
  </si>
  <si>
    <t>受让方变更</t>
    <phoneticPr fontId="141" type="noConversion"/>
  </si>
  <si>
    <r>
      <t>《宗地2</t>
    </r>
    <r>
      <rPr>
        <sz val="11"/>
        <color theme="1"/>
        <rFont val="宋体"/>
        <family val="3"/>
        <charset val="134"/>
        <scheme val="minor"/>
      </rPr>
      <t>020拍-4号地块配建安置型商品房回购协议》</t>
    </r>
    <phoneticPr fontId="141" type="noConversion"/>
  </si>
  <si>
    <t>用地单位</t>
    <phoneticPr fontId="141" type="noConversion"/>
  </si>
  <si>
    <t>项目名称</t>
    <phoneticPr fontId="141" type="noConversion"/>
  </si>
  <si>
    <t>闽乐家园</t>
    <phoneticPr fontId="141" type="noConversion"/>
  </si>
  <si>
    <t>用地位置</t>
    <phoneticPr fontId="141" type="noConversion"/>
  </si>
  <si>
    <t>用地性质</t>
    <phoneticPr fontId="141" type="noConversion"/>
  </si>
  <si>
    <t>居住用地、商业用地</t>
    <phoneticPr fontId="141" type="noConversion"/>
  </si>
  <si>
    <t>用地面积</t>
    <phoneticPr fontId="141" type="noConversion"/>
  </si>
  <si>
    <t>总用地</t>
    <phoneticPr fontId="141" type="noConversion"/>
  </si>
  <si>
    <t>实际用地</t>
    <phoneticPr fontId="141" type="noConversion"/>
  </si>
  <si>
    <t>《不动产权证书》</t>
    <phoneticPr fontId="141" type="noConversion"/>
  </si>
  <si>
    <t>权利人</t>
    <phoneticPr fontId="141" type="noConversion"/>
  </si>
  <si>
    <t>权利性质</t>
    <phoneticPr fontId="141" type="noConversion"/>
  </si>
  <si>
    <t>出让</t>
    <phoneticPr fontId="141" type="noConversion"/>
  </si>
  <si>
    <t>宗地面积</t>
    <phoneticPr fontId="141" type="noConversion"/>
  </si>
  <si>
    <t>使用期限</t>
    <phoneticPr fontId="141" type="noConversion"/>
  </si>
  <si>
    <t>建设单位</t>
    <phoneticPr fontId="141" type="noConversion"/>
  </si>
  <si>
    <t>建设项目名称</t>
    <phoneticPr fontId="141" type="noConversion"/>
  </si>
  <si>
    <t>建设位置</t>
    <phoneticPr fontId="141" type="noConversion"/>
  </si>
  <si>
    <t>鹤上镇京岭路北侧道庆路西侧</t>
    <phoneticPr fontId="141" type="noConversion"/>
  </si>
  <si>
    <t>建设规模</t>
    <phoneticPr fontId="141" type="noConversion"/>
  </si>
  <si>
    <t>总建筑面积</t>
    <phoneticPr fontId="141" type="noConversion"/>
  </si>
  <si>
    <t>计容</t>
    <phoneticPr fontId="141" type="noConversion"/>
  </si>
  <si>
    <t>地下</t>
    <phoneticPr fontId="141" type="noConversion"/>
  </si>
  <si>
    <t>其他不计容</t>
    <phoneticPr fontId="141" type="noConversion"/>
  </si>
  <si>
    <t>建筑面积</t>
    <phoneticPr fontId="141" type="noConversion"/>
  </si>
  <si>
    <t>地上</t>
    <phoneticPr fontId="141" type="noConversion"/>
  </si>
  <si>
    <t xml:space="preserve"> </t>
    <phoneticPr fontId="141" type="noConversion"/>
  </si>
  <si>
    <t>住宅</t>
    <phoneticPr fontId="141" type="noConversion"/>
  </si>
  <si>
    <t>商业</t>
    <phoneticPr fontId="141" type="noConversion"/>
  </si>
  <si>
    <t>配套</t>
    <phoneticPr fontId="141" type="noConversion"/>
  </si>
  <si>
    <t>物业管理</t>
    <phoneticPr fontId="141" type="noConversion"/>
  </si>
  <si>
    <t>配套设施</t>
    <phoneticPr fontId="141" type="noConversion"/>
  </si>
  <si>
    <r>
      <t>S</t>
    </r>
    <r>
      <rPr>
        <sz val="11"/>
        <color theme="1"/>
        <rFont val="宋体"/>
        <family val="3"/>
        <charset val="134"/>
        <scheme val="minor"/>
      </rPr>
      <t>1</t>
    </r>
    <phoneticPr fontId="141" type="noConversion"/>
  </si>
  <si>
    <t>S5</t>
    <phoneticPr fontId="141" type="noConversion"/>
  </si>
  <si>
    <t>P1</t>
    <phoneticPr fontId="141" type="noConversion"/>
  </si>
  <si>
    <t>P2</t>
    <phoneticPr fontId="141" type="noConversion"/>
  </si>
  <si>
    <t>P3</t>
    <phoneticPr fontId="141" type="noConversion"/>
  </si>
  <si>
    <t>P5</t>
    <phoneticPr fontId="141" type="noConversion"/>
  </si>
  <si>
    <t>P6</t>
    <phoneticPr fontId="141" type="noConversion"/>
  </si>
  <si>
    <t>P7</t>
    <phoneticPr fontId="141" type="noConversion"/>
  </si>
  <si>
    <t>P8</t>
    <phoneticPr fontId="141" type="noConversion"/>
  </si>
  <si>
    <t>P9</t>
    <phoneticPr fontId="141" type="noConversion"/>
  </si>
  <si>
    <t>地下室</t>
    <phoneticPr fontId="141" type="noConversion"/>
  </si>
  <si>
    <t>架空休闲</t>
    <phoneticPr fontId="141" type="noConversion"/>
  </si>
  <si>
    <t>地下车库</t>
    <phoneticPr fontId="141" type="noConversion"/>
  </si>
  <si>
    <t>楼号</t>
    <phoneticPr fontId="141" type="noConversion"/>
  </si>
  <si>
    <t>楼层</t>
    <phoneticPr fontId="141" type="noConversion"/>
  </si>
  <si>
    <t>用途</t>
    <phoneticPr fontId="141" type="noConversion"/>
  </si>
  <si>
    <t>住宅、商业</t>
    <phoneticPr fontId="141" type="noConversion"/>
  </si>
  <si>
    <t xml:space="preserve"> </t>
    <phoneticPr fontId="141" type="noConversion"/>
  </si>
  <si>
    <t>住宅</t>
    <phoneticPr fontId="141" type="noConversion"/>
  </si>
  <si>
    <t>住宅、物业</t>
    <phoneticPr fontId="141" type="noConversion"/>
  </si>
  <si>
    <t>住宅、配套</t>
    <phoneticPr fontId="141" type="noConversion"/>
  </si>
  <si>
    <t>商业</t>
    <phoneticPr fontId="141" type="noConversion"/>
  </si>
  <si>
    <t>配套</t>
    <phoneticPr fontId="141" type="noConversion"/>
  </si>
  <si>
    <t>物业</t>
    <phoneticPr fontId="141" type="noConversion"/>
  </si>
  <si>
    <t>物业、大门</t>
    <phoneticPr fontId="141" type="noConversion"/>
  </si>
  <si>
    <t>停车、设备</t>
    <phoneticPr fontId="141" type="noConversion"/>
  </si>
  <si>
    <r>
      <t>闽乐家园项目1、</t>
    </r>
    <r>
      <rPr>
        <sz val="11"/>
        <color theme="1"/>
        <rFont val="宋体"/>
        <family val="3"/>
        <charset val="134"/>
        <scheme val="minor"/>
      </rPr>
      <t>2、3、5、6、7、8、9、10、11、P1、P2、P3、P5、P6、P7、S1、S2、S3、S5、P8、P9、地下室</t>
    </r>
    <phoneticPr fontId="141" type="noConversion"/>
  </si>
  <si>
    <t>十九层梁板混凝土施工</t>
    <phoneticPr fontId="141" type="noConversion"/>
  </si>
  <si>
    <t>二十一层
梁板模板未完成</t>
    <phoneticPr fontId="141" type="noConversion"/>
  </si>
  <si>
    <t>十八层梁板模板安装中</t>
    <phoneticPr fontId="141" type="noConversion"/>
  </si>
  <si>
    <t>桩基施工完成</t>
    <phoneticPr fontId="141" type="noConversion"/>
  </si>
  <si>
    <t>地下室底板垫层施工完成</t>
    <phoneticPr fontId="141" type="noConversion"/>
  </si>
  <si>
    <t>11层混凝土浇捣完成</t>
    <phoneticPr fontId="141" type="noConversion"/>
  </si>
  <si>
    <t>土方
施工完成</t>
    <phoneticPr fontId="141" type="noConversion"/>
  </si>
  <si>
    <t>桩基完成</t>
    <phoneticPr fontId="141" type="noConversion"/>
  </si>
  <si>
    <t>桩基未完成</t>
  </si>
  <si>
    <t>桩基未完成</t>
    <phoneticPr fontId="141" type="noConversion"/>
  </si>
  <si>
    <t>结构完成</t>
    <phoneticPr fontId="141" type="noConversion"/>
  </si>
  <si>
    <t>顶板完成90%。</t>
    <phoneticPr fontId="141" type="noConversion"/>
  </si>
  <si>
    <t>地上</t>
    <phoneticPr fontId="141" type="noConversion"/>
  </si>
  <si>
    <t>地下</t>
    <phoneticPr fontId="141" type="noConversion"/>
  </si>
  <si>
    <t>S2</t>
    <phoneticPr fontId="141" type="noConversion"/>
  </si>
  <si>
    <t>S3</t>
    <phoneticPr fontId="141" type="noConversion"/>
  </si>
  <si>
    <t>进度</t>
    <phoneticPr fontId="141" type="noConversion"/>
  </si>
  <si>
    <t>崔锴</t>
  </si>
  <si>
    <t>郑燚</t>
  </si>
  <si>
    <t>民生信托</t>
    <phoneticPr fontId="7" type="noConversion"/>
  </si>
  <si>
    <t>民生信托</t>
    <phoneticPr fontId="7" type="noConversion"/>
  </si>
  <si>
    <t>核定资产</t>
  </si>
  <si>
    <t>房地产市场价值</t>
  </si>
  <si>
    <t>其他：</t>
  </si>
  <si>
    <t>福建省</t>
    <phoneticPr fontId="7" type="noConversion"/>
  </si>
  <si>
    <t>企业</t>
  </si>
  <si>
    <t>出让</t>
  </si>
  <si>
    <t>是</t>
  </si>
  <si>
    <t>否</t>
  </si>
  <si>
    <t>地上</t>
  </si>
  <si>
    <t>底商</t>
  </si>
  <si>
    <t>地下</t>
  </si>
  <si>
    <t>住宅</t>
  </si>
  <si>
    <t>车库</t>
  </si>
  <si>
    <t>平层住宅</t>
  </si>
  <si>
    <t>商业</t>
    <phoneticPr fontId="4" type="noConversion"/>
  </si>
  <si>
    <t>地下室</t>
  </si>
  <si>
    <t>商业</t>
    <phoneticPr fontId="141" type="noConversion"/>
  </si>
  <si>
    <t>综合</t>
    <phoneticPr fontId="141" type="noConversion"/>
  </si>
  <si>
    <t xml:space="preserve"> </t>
    <phoneticPr fontId="141" type="noConversion"/>
  </si>
  <si>
    <t>已缴纳</t>
    <phoneticPr fontId="4" type="noConversion"/>
  </si>
  <si>
    <t>面积</t>
    <phoneticPr fontId="4" type="noConversion"/>
  </si>
  <si>
    <t>单价</t>
    <phoneticPr fontId="4" type="noConversion"/>
  </si>
  <si>
    <t>利息：取LPR加浮动点数</t>
  </si>
  <si>
    <t xml:space="preserve"> </t>
    <phoneticPr fontId="4" type="noConversion"/>
  </si>
  <si>
    <t>成本法</t>
    <phoneticPr fontId="4" type="noConversion"/>
  </si>
  <si>
    <t>单方</t>
    <phoneticPr fontId="4" type="noConversion"/>
  </si>
  <si>
    <t>信托计划</t>
    <phoneticPr fontId="4" type="noConversion"/>
  </si>
  <si>
    <t>合计</t>
    <phoneticPr fontId="4" type="noConversion"/>
  </si>
  <si>
    <t>S1</t>
  </si>
  <si>
    <t>S2</t>
  </si>
  <si>
    <t>建筑基地面积</t>
    <phoneticPr fontId="141" type="noConversion"/>
  </si>
  <si>
    <t>商业</t>
    <phoneticPr fontId="8" type="noConversion"/>
  </si>
  <si>
    <t>地下室</t>
    <phoneticPr fontId="8" type="noConversion"/>
  </si>
  <si>
    <t>福建闽越房地产开发有限公司</t>
    <phoneticPr fontId="141" type="noConversion"/>
  </si>
  <si>
    <t>福建长新房地产开发有限公司</t>
    <phoneticPr fontId="141" type="noConversion"/>
  </si>
  <si>
    <t>福州市长乐区鹤上镇京岭路北侧、道庆路西侧</t>
    <phoneticPr fontId="141" type="noConversion"/>
  </si>
  <si>
    <t>《国有建设用地使用权出让合同》</t>
    <phoneticPr fontId="141" type="noConversion"/>
  </si>
  <si>
    <t>《建设用地规划许可证》</t>
    <phoneticPr fontId="141" type="noConversion"/>
  </si>
  <si>
    <t>《建设工程规划许可证》</t>
    <phoneticPr fontId="141" type="noConversion"/>
  </si>
  <si>
    <t>进度</t>
    <phoneticPr fontId="141" type="noConversion"/>
  </si>
  <si>
    <t>分摊</t>
    <phoneticPr fontId="141" type="noConversion"/>
  </si>
  <si>
    <t>成本法</t>
  </si>
  <si>
    <t>总价</t>
  </si>
  <si>
    <t>工程建安造价无福州市</t>
    <phoneticPr fontId="4" type="noConversion"/>
  </si>
  <si>
    <t>信托计划毛坯成本</t>
    <phoneticPr fontId="4" type="noConversion"/>
  </si>
  <si>
    <t>楼号</t>
  </si>
  <si>
    <t>建筑面积</t>
  </si>
  <si>
    <t>计容</t>
  </si>
  <si>
    <t xml:space="preserve"> </t>
  </si>
  <si>
    <t>总楼层</t>
    <phoneticPr fontId="274" type="noConversion"/>
  </si>
  <si>
    <t>工程进度</t>
    <phoneticPr fontId="274" type="noConversion"/>
  </si>
  <si>
    <t>分摊地下室</t>
    <phoneticPr fontId="274" type="noConversion"/>
  </si>
  <si>
    <t>地下室</t>
    <phoneticPr fontId="274" type="noConversion"/>
  </si>
  <si>
    <t>地上商业</t>
    <phoneticPr fontId="274" type="noConversion"/>
  </si>
  <si>
    <t>小计</t>
    <phoneticPr fontId="274" type="noConversion"/>
  </si>
  <si>
    <t>架空休闲</t>
  </si>
  <si>
    <t>物业管理</t>
  </si>
  <si>
    <t>配套设施</t>
  </si>
  <si>
    <t>小计</t>
    <phoneticPr fontId="274" type="noConversion"/>
  </si>
  <si>
    <t>配套</t>
  </si>
  <si>
    <t>建筑基地面积</t>
  </si>
  <si>
    <t>建筑面积</t>
    <phoneticPr fontId="274" type="noConversion"/>
  </si>
  <si>
    <t>工程进度</t>
    <phoneticPr fontId="274" type="noConversion"/>
  </si>
  <si>
    <t>建安造价</t>
    <phoneticPr fontId="274" type="noConversion"/>
  </si>
  <si>
    <t>主体结构封顶</t>
    <phoneticPr fontId="274" type="noConversion"/>
  </si>
  <si>
    <t>住宅、商业</t>
  </si>
  <si>
    <t>1#(31层)楼十八层顶板结构完成，一层商业结构封顶</t>
    <phoneticPr fontId="274" type="noConversion"/>
  </si>
  <si>
    <t>2#(31层)楼二十层顶板模板完成，一层商业结构封顶
梁板模板未完成</t>
    <phoneticPr fontId="274" type="noConversion"/>
  </si>
  <si>
    <t>3#(32层)楼十七层顶板模板完成</t>
    <phoneticPr fontId="274" type="noConversion"/>
  </si>
  <si>
    <t>5#(32层)楼桩基施工完成</t>
    <phoneticPr fontId="274" type="noConversion"/>
  </si>
  <si>
    <t>6#(32层)楼地下室底板垫层施工完成</t>
    <phoneticPr fontId="274" type="noConversion"/>
  </si>
  <si>
    <t>7#(32层)楼十层顶板结构完成</t>
    <phoneticPr fontId="274" type="noConversion"/>
  </si>
  <si>
    <t>8#(32层)楼地下室底板垫层施工完成1/2</t>
    <phoneticPr fontId="274" type="noConversion"/>
  </si>
  <si>
    <t>9#(32层)楼桩基施工完成</t>
    <phoneticPr fontId="274" type="noConversion"/>
  </si>
  <si>
    <t>住宅、物业</t>
  </si>
  <si>
    <t>10#(31层)楼</t>
    <phoneticPr fontId="274" type="noConversion"/>
  </si>
  <si>
    <t>住宅、配套</t>
  </si>
  <si>
    <t>11#(31层)楼桩基未完成</t>
    <phoneticPr fontId="274" type="noConversion"/>
  </si>
  <si>
    <t>S1(2层)地下室顶板结构完成</t>
    <phoneticPr fontId="274" type="noConversion"/>
  </si>
  <si>
    <t>S2(2层)结构封顶</t>
    <phoneticPr fontId="274" type="noConversion"/>
  </si>
  <si>
    <t>S3</t>
  </si>
  <si>
    <t>未开工</t>
    <phoneticPr fontId="274" type="noConversion"/>
  </si>
  <si>
    <t>S5</t>
  </si>
  <si>
    <t>P1</t>
  </si>
  <si>
    <t>P2</t>
  </si>
  <si>
    <t>P3</t>
  </si>
  <si>
    <t>物业</t>
  </si>
  <si>
    <t xml:space="preserve"> </t>
    <phoneticPr fontId="274" type="noConversion"/>
  </si>
  <si>
    <t>P5</t>
  </si>
  <si>
    <t>P6</t>
  </si>
  <si>
    <t>P7</t>
  </si>
  <si>
    <t>P8</t>
  </si>
  <si>
    <t>物业、大门</t>
  </si>
  <si>
    <t>P9</t>
  </si>
  <si>
    <t>停车、设备</t>
  </si>
  <si>
    <t>合计</t>
    <phoneticPr fontId="274" type="noConversion"/>
  </si>
  <si>
    <t>本次评估范围</t>
    <phoneticPr fontId="274" type="noConversion"/>
  </si>
  <si>
    <t>地下室进度及建安</t>
    <phoneticPr fontId="274" type="noConversion"/>
  </si>
  <si>
    <t>君安</t>
    <phoneticPr fontId="274" type="noConversion"/>
  </si>
  <si>
    <t>地上商业进度及建安</t>
    <phoneticPr fontId="274" type="noConversion"/>
  </si>
  <si>
    <t>差额</t>
    <phoneticPr fontId="274" type="noConversion"/>
  </si>
  <si>
    <t>地下为准</t>
    <phoneticPr fontId="274" type="noConversion"/>
  </si>
  <si>
    <t>地下</t>
    <phoneticPr fontId="274" type="noConversion"/>
  </si>
  <si>
    <t>地上</t>
    <phoneticPr fontId="274" type="noConversion"/>
  </si>
  <si>
    <t>地上面积</t>
    <phoneticPr fontId="274" type="noConversion"/>
  </si>
  <si>
    <t>项目总投</t>
    <phoneticPr fontId="274" type="noConversion"/>
  </si>
  <si>
    <t>地上建安</t>
    <phoneticPr fontId="274" type="noConversion"/>
  </si>
  <si>
    <t>地下总投</t>
    <phoneticPr fontId="274" type="noConversion"/>
  </si>
  <si>
    <t>地上总投</t>
    <phoneticPr fontId="274" type="noConversion"/>
  </si>
  <si>
    <t>建造</t>
    <phoneticPr fontId="274" type="noConversion"/>
  </si>
  <si>
    <t>总投</t>
    <phoneticPr fontId="274" type="noConversion"/>
  </si>
  <si>
    <t>建面</t>
    <phoneticPr fontId="274" type="noConversion"/>
  </si>
  <si>
    <t>建安单价</t>
    <phoneticPr fontId="274" type="noConversion"/>
  </si>
  <si>
    <t>住宅底商</t>
    <phoneticPr fontId="141" type="noConversion"/>
  </si>
  <si>
    <t>配套商业</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</si>
</sst>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5"/>
      <color theme="1"/>
      <name val="Calibri"/>
      <family val="2"/>
    </font>
    <font>
      <sz val="12"/>
      <color theme="1"/>
      <name val="黑体"/>
      <family val="3"/>
      <charset val="134"/>
    </font>
    <font>
      <sz val="10"/>
      <color theme="1"/>
      <name val="黑体"/>
      <family val="3"/>
      <charset val="134"/>
    </font>
    <font>
      <sz val="10.5"/>
      <color theme="1"/>
      <name val="宋体"/>
      <family val="3"/>
      <charset val="134"/>
    </font>
    <font>
      <b/>
      <sz val="10.5"/>
      <color theme="1"/>
      <name val="Calibri"/>
      <family val="2"/>
    </font>
    <font>
      <b/>
      <sz val="10.5"/>
      <color theme="1"/>
      <name val="宋体"/>
      <family val="3"/>
      <charset val="134"/>
    </font>
    <font>
      <sz val="10.5"/>
      <color theme="1"/>
      <name val="Times New Roman"/>
      <family val="1"/>
    </font>
    <font>
      <b/>
      <sz val="10.5"/>
      <color theme="1"/>
      <name val="Times New Roman"/>
      <family val="1"/>
    </font>
    <font>
      <b/>
      <sz val="10.5"/>
      <color rgb="FF000000"/>
      <name val="Times New Roman"/>
      <family val="1"/>
    </font>
    <font>
      <b/>
      <sz val="10.5"/>
      <color rgb="FF000000"/>
      <name val="宋体"/>
      <family val="3"/>
      <charset val="134"/>
    </font>
    <font>
      <sz val="11"/>
      <color rgb="FF000000"/>
      <name val="宋体"/>
      <family val="3"/>
      <charset val="134"/>
    </font>
    <font>
      <sz val="10"/>
      <color theme="1"/>
      <name val="Calibri"/>
      <family val="2"/>
    </font>
    <font>
      <vertAlign val="superscript"/>
      <sz val="10"/>
      <color theme="1"/>
      <name val="Calibri"/>
      <family val="2"/>
    </font>
    <font>
      <sz val="10"/>
      <color rgb="FF000000"/>
      <name val="Calibri"/>
      <family val="2"/>
    </font>
    <font>
      <sz val="11"/>
      <color theme="1"/>
      <name val="Calibri"/>
      <family val="2"/>
    </font>
    <font>
      <sz val="11"/>
      <color rgb="FFFF0000"/>
      <name val="宋体"/>
      <family val="3"/>
      <charset val="134"/>
      <scheme val="minor"/>
    </font>
    <font>
      <sz val="11"/>
      <color theme="1"/>
      <name val="宋体"/>
      <family val="3"/>
      <charset val="134"/>
      <scheme val="minor"/>
    </font>
    <font>
      <sz val="10"/>
      <color theme="1"/>
      <name val="华文细黑"/>
      <family val="3"/>
      <charset val="134"/>
    </font>
    <font>
      <sz val="9"/>
      <name val="宋体"/>
      <family val="2"/>
      <charset val="134"/>
      <scheme val="minor"/>
    </font>
    <font>
      <b/>
      <sz val="10"/>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B7DEE8"/>
        <bgColor indexed="64"/>
      </patternFill>
    </fill>
    <fill>
      <patternFill patternType="solid">
        <fgColor theme="5"/>
        <bgColor indexed="64"/>
      </patternFill>
    </fill>
    <fill>
      <patternFill patternType="solid">
        <fgColor theme="8" tint="0.39997558519241921"/>
        <bgColor indexed="64"/>
      </patternFill>
    </fill>
    <fill>
      <patternFill patternType="solid">
        <fgColor theme="9"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style="medium">
        <color indexed="64"/>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72"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364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99" fillId="0" borderId="0" xfId="0" applyFont="1">
      <alignment vertical="center"/>
    </xf>
    <xf numFmtId="0" fontId="258" fillId="0" borderId="43" xfId="0" applyFont="1" applyBorder="1" applyAlignment="1">
      <alignment horizontal="center" vertical="center" wrapText="1"/>
    </xf>
    <xf numFmtId="0" fontId="256" fillId="5" borderId="43" xfId="0" applyFont="1" applyFill="1" applyBorder="1" applyAlignment="1">
      <alignment horizontal="center" vertical="center"/>
    </xf>
    <xf numFmtId="0" fontId="259" fillId="0" borderId="43" xfId="0" applyFont="1" applyBorder="1" applyAlignment="1">
      <alignment horizontal="center" vertical="center"/>
    </xf>
    <xf numFmtId="0" fontId="256" fillId="0" borderId="43" xfId="0" applyFont="1" applyBorder="1" applyAlignment="1">
      <alignment horizontal="center" vertical="center"/>
    </xf>
    <xf numFmtId="0" fontId="256" fillId="12" borderId="43" xfId="0" applyFont="1" applyFill="1" applyBorder="1" applyAlignment="1">
      <alignment horizontal="center" vertical="center"/>
    </xf>
    <xf numFmtId="10" fontId="256" fillId="0" borderId="43" xfId="0" applyNumberFormat="1" applyFont="1" applyBorder="1" applyAlignment="1">
      <alignment horizontal="center" vertical="center"/>
    </xf>
    <xf numFmtId="0" fontId="256" fillId="20" borderId="43" xfId="0" applyFont="1" applyFill="1" applyBorder="1" applyAlignment="1">
      <alignment horizontal="center" vertical="center"/>
    </xf>
    <xf numFmtId="0" fontId="256" fillId="0" borderId="43" xfId="0" applyFont="1" applyBorder="1" applyAlignment="1">
      <alignment horizontal="center" vertical="center" wrapText="1"/>
    </xf>
    <xf numFmtId="0" fontId="259" fillId="0" borderId="43" xfId="0" applyFont="1" applyBorder="1" applyAlignment="1">
      <alignment horizontal="center" vertical="center" wrapText="1"/>
    </xf>
    <xf numFmtId="0" fontId="99" fillId="0" borderId="0" xfId="0" applyFont="1" applyAlignment="1">
      <alignment vertical="center" wrapText="1"/>
    </xf>
    <xf numFmtId="0" fontId="259" fillId="0" borderId="82" xfId="0" applyFont="1" applyBorder="1" applyAlignment="1">
      <alignment horizontal="center" vertical="center"/>
    </xf>
    <xf numFmtId="0" fontId="259" fillId="0" borderId="65" xfId="0" applyFont="1" applyBorder="1" applyAlignment="1">
      <alignment horizontal="center" vertical="center"/>
    </xf>
    <xf numFmtId="0" fontId="189" fillId="0" borderId="65" xfId="0" applyFont="1" applyBorder="1" applyAlignment="1">
      <alignment horizontal="center" vertical="center"/>
    </xf>
    <xf numFmtId="0" fontId="263" fillId="0" borderId="81" xfId="0" applyFont="1" applyBorder="1" applyAlignment="1">
      <alignment horizontal="center" vertical="center"/>
    </xf>
    <xf numFmtId="0" fontId="261" fillId="0" borderId="43" xfId="0" applyFont="1" applyBorder="1" applyAlignment="1">
      <alignment horizontal="justify" vertical="center"/>
    </xf>
    <xf numFmtId="0" fontId="264" fillId="0" borderId="43" xfId="0" applyFont="1" applyBorder="1" applyAlignment="1">
      <alignment horizontal="center" vertical="center"/>
    </xf>
    <xf numFmtId="10" fontId="265" fillId="0" borderId="43" xfId="0" applyNumberFormat="1" applyFont="1" applyBorder="1" applyAlignment="1">
      <alignment horizontal="center" vertical="center"/>
    </xf>
    <xf numFmtId="0" fontId="265" fillId="0" borderId="43" xfId="0" applyFont="1" applyBorder="1" applyAlignment="1">
      <alignment horizontal="center" vertical="center"/>
    </xf>
    <xf numFmtId="0" fontId="266" fillId="0" borderId="82" xfId="0" applyFont="1" applyBorder="1" applyAlignment="1">
      <alignment horizontal="center" vertical="center"/>
    </xf>
    <xf numFmtId="0" fontId="266" fillId="0" borderId="65" xfId="0" applyFont="1" applyBorder="1" applyAlignment="1">
      <alignment horizontal="center" vertical="center"/>
    </xf>
    <xf numFmtId="0" fontId="266" fillId="0" borderId="81" xfId="0" applyFont="1" applyBorder="1" applyAlignment="1">
      <alignment horizontal="center" vertical="center"/>
    </xf>
    <xf numFmtId="3" fontId="266" fillId="0" borderId="43" xfId="0" applyNumberFormat="1" applyFont="1" applyBorder="1" applyAlignment="1">
      <alignment horizontal="center" vertical="center"/>
    </xf>
    <xf numFmtId="3" fontId="266" fillId="0" borderId="43" xfId="0" applyNumberFormat="1" applyFont="1" applyBorder="1" applyAlignment="1">
      <alignment horizontal="right" vertical="center"/>
    </xf>
    <xf numFmtId="0" fontId="266" fillId="0" borderId="43" xfId="0" applyFont="1" applyBorder="1" applyAlignment="1">
      <alignment horizontal="center" vertical="center"/>
    </xf>
    <xf numFmtId="0" fontId="129" fillId="0" borderId="82" xfId="0" applyFont="1" applyBorder="1" applyAlignment="1">
      <alignment horizontal="center" vertical="center"/>
    </xf>
    <xf numFmtId="0" fontId="143" fillId="0" borderId="65" xfId="0" applyFont="1" applyBorder="1" applyAlignment="1">
      <alignment horizontal="center" vertical="center" wrapText="1"/>
    </xf>
    <xf numFmtId="0" fontId="267" fillId="0" borderId="81" xfId="0" applyFont="1" applyBorder="1" applyAlignment="1">
      <alignment horizontal="center" vertical="center"/>
    </xf>
    <xf numFmtId="0" fontId="129" fillId="0" borderId="43" xfId="0" applyFont="1" applyBorder="1" applyAlignment="1">
      <alignment horizontal="justify" vertical="center" wrapText="1"/>
    </xf>
    <xf numFmtId="0" fontId="267" fillId="0" borderId="43" xfId="0" applyFont="1" applyBorder="1" applyAlignment="1">
      <alignment horizontal="center" vertical="center" wrapText="1"/>
    </xf>
    <xf numFmtId="0" fontId="269" fillId="0" borderId="43" xfId="0" applyFont="1" applyBorder="1" applyAlignment="1">
      <alignment horizontal="center" vertical="center" wrapText="1"/>
    </xf>
    <xf numFmtId="0" fontId="129" fillId="0" borderId="43" xfId="0" applyFont="1" applyBorder="1" applyAlignment="1">
      <alignment horizontal="center" vertical="center" wrapText="1"/>
    </xf>
    <xf numFmtId="10" fontId="269" fillId="0" borderId="43" xfId="0" applyNumberFormat="1" applyFont="1" applyBorder="1" applyAlignment="1">
      <alignment horizontal="center" vertical="center" wrapText="1"/>
    </xf>
    <xf numFmtId="0" fontId="267" fillId="0" borderId="81" xfId="0" applyFont="1" applyBorder="1" applyAlignment="1">
      <alignment horizontal="right" vertical="center"/>
    </xf>
    <xf numFmtId="0" fontId="267" fillId="0" borderId="43" xfId="0" applyFont="1" applyBorder="1" applyAlignment="1">
      <alignment horizontal="justify" vertical="center" wrapText="1"/>
    </xf>
    <xf numFmtId="0" fontId="121" fillId="0" borderId="43" xfId="0" applyFont="1" applyBorder="1" applyAlignment="1">
      <alignment horizontal="justify" vertical="center" wrapText="1"/>
    </xf>
    <xf numFmtId="8" fontId="269" fillId="0" borderId="43" xfId="0" applyNumberFormat="1" applyFont="1" applyBorder="1" applyAlignment="1">
      <alignment horizontal="center" vertical="center" wrapText="1"/>
    </xf>
    <xf numFmtId="14" fontId="0" fillId="0" borderId="0" xfId="0" applyNumberFormat="1">
      <alignment vertical="center"/>
    </xf>
    <xf numFmtId="0" fontId="271" fillId="0" borderId="0" xfId="0" applyFont="1">
      <alignment vertical="center"/>
    </xf>
    <xf numFmtId="9"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0" fontId="99" fillId="0" borderId="0" xfId="0" applyFont="1" applyAlignment="1">
      <alignment horizontal="left" vertical="center" wrapText="1"/>
    </xf>
    <xf numFmtId="9" fontId="0" fillId="0" borderId="0" xfId="0" applyNumberFormat="1" applyAlignment="1">
      <alignment horizontal="left" vertical="center"/>
    </xf>
    <xf numFmtId="0" fontId="99" fillId="5" borderId="0" xfId="0" applyFont="1" applyFill="1" applyAlignment="1">
      <alignment horizontal="left" vertical="center"/>
    </xf>
    <xf numFmtId="0" fontId="0" fillId="5" borderId="0" xfId="0" applyFill="1" applyAlignment="1">
      <alignment horizontal="left" vertical="center"/>
    </xf>
    <xf numFmtId="9" fontId="0" fillId="5" borderId="0" xfId="0" applyNumberFormat="1" applyFill="1" applyAlignment="1">
      <alignment horizontal="left" vertical="center"/>
    </xf>
    <xf numFmtId="0" fontId="99" fillId="5" borderId="0" xfId="0" applyFont="1" applyFill="1" applyAlignment="1">
      <alignment horizontal="left" vertical="center" wrapText="1"/>
    </xf>
    <xf numFmtId="0" fontId="271" fillId="0" borderId="0" xfId="0" applyFont="1" applyAlignment="1">
      <alignment horizontal="left" vertical="center"/>
    </xf>
    <xf numFmtId="9" fontId="271" fillId="0" borderId="0" xfId="0" applyNumberFormat="1" applyFont="1" applyAlignment="1">
      <alignment horizontal="left"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60" xfId="0" applyFont="1" applyFill="1" applyBorder="1" applyAlignment="1" applyProtection="1">
      <alignment vertical="center" wrapText="1"/>
      <protection locked="0"/>
    </xf>
    <xf numFmtId="0" fontId="175" fillId="12"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2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5" fillId="12" borderId="0" xfId="0" applyFont="1" applyFill="1" applyAlignment="1" applyProtection="1">
      <alignment vertical="center"/>
      <protection locked="0"/>
    </xf>
    <xf numFmtId="0" fontId="56" fillId="21" borderId="5" xfId="1" applyFont="1" applyFill="1" applyBorder="1" applyAlignment="1" applyProtection="1"/>
    <xf numFmtId="0" fontId="135" fillId="12" borderId="0" xfId="0"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177" fontId="135" fillId="0" borderId="1" xfId="1" applyNumberFormat="1" applyFont="1" applyFill="1" applyBorder="1" applyAlignment="1" applyProtection="1">
      <alignment vertical="center"/>
      <protection locked="0"/>
    </xf>
    <xf numFmtId="9" fontId="271" fillId="0" borderId="0" xfId="17" applyFont="1" applyAlignment="1">
      <alignment horizontal="lef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9" fillId="0" borderId="63" xfId="0" applyFont="1" applyBorder="1" applyAlignment="1">
      <alignment horizontal="center" vertical="center"/>
    </xf>
    <xf numFmtId="0" fontId="259" fillId="0" borderId="64" xfId="0" applyFont="1" applyBorder="1" applyAlignment="1">
      <alignment horizontal="center" vertical="center"/>
    </xf>
    <xf numFmtId="0" fontId="259" fillId="0" borderId="65" xfId="0" applyFont="1" applyBorder="1" applyAlignment="1">
      <alignment horizontal="center" vertical="center"/>
    </xf>
    <xf numFmtId="0" fontId="257" fillId="0" borderId="63" xfId="0" applyFont="1" applyBorder="1" applyAlignment="1">
      <alignment horizontal="center" vertical="center" wrapText="1"/>
    </xf>
    <xf numFmtId="0" fontId="257" fillId="0" borderId="64" xfId="0" applyFont="1" applyBorder="1" applyAlignment="1">
      <alignment horizontal="center" vertical="center" wrapText="1"/>
    </xf>
    <xf numFmtId="0" fontId="257" fillId="0" borderId="160" xfId="0" applyFont="1" applyBorder="1" applyAlignment="1">
      <alignment horizontal="center" vertical="center" wrapText="1"/>
    </xf>
    <xf numFmtId="0" fontId="258" fillId="0" borderId="63" xfId="0" applyFont="1" applyBorder="1" applyAlignment="1">
      <alignment horizontal="center" vertical="center" wrapText="1"/>
    </xf>
    <xf numFmtId="0" fontId="258" fillId="0" borderId="64" xfId="0" applyFont="1" applyBorder="1" applyAlignment="1">
      <alignment horizontal="center" vertical="center" wrapText="1"/>
    </xf>
    <xf numFmtId="0" fontId="258" fillId="0" borderId="65" xfId="0" applyFont="1" applyBorder="1" applyAlignment="1">
      <alignment horizontal="center" vertical="center" wrapText="1"/>
    </xf>
    <xf numFmtId="0" fontId="260" fillId="0" borderId="63" xfId="0" applyFont="1" applyBorder="1" applyAlignment="1">
      <alignment horizontal="left" vertical="center"/>
    </xf>
    <xf numFmtId="0" fontId="260" fillId="0" borderId="64" xfId="0" applyFont="1" applyBorder="1" applyAlignment="1">
      <alignment horizontal="left" vertical="center"/>
    </xf>
    <xf numFmtId="0" fontId="260" fillId="0" borderId="65" xfId="0" applyFont="1" applyBorder="1" applyAlignment="1">
      <alignment horizontal="left" vertical="center"/>
    </xf>
    <xf numFmtId="0" fontId="259" fillId="0" borderId="27" xfId="0" applyFont="1" applyBorder="1" applyAlignment="1">
      <alignment horizontal="center" vertical="center"/>
    </xf>
    <xf numFmtId="0" fontId="259" fillId="0" borderId="80" xfId="0" applyFont="1" applyBorder="1" applyAlignment="1">
      <alignment horizontal="center" vertical="center"/>
    </xf>
    <xf numFmtId="0" fontId="259" fillId="0" borderId="81" xfId="0" applyFont="1" applyBorder="1" applyAlignment="1">
      <alignment horizontal="center" vertical="center"/>
    </xf>
    <xf numFmtId="0" fontId="256" fillId="0" borderId="63" xfId="0" applyFont="1" applyBorder="1" applyAlignment="1">
      <alignment horizontal="left" vertical="center"/>
    </xf>
    <xf numFmtId="0" fontId="256" fillId="0" borderId="65" xfId="0" applyFont="1" applyBorder="1" applyAlignment="1">
      <alignment horizontal="left" vertical="center"/>
    </xf>
    <xf numFmtId="0" fontId="261" fillId="0" borderId="27" xfId="0" applyFont="1" applyBorder="1" applyAlignment="1">
      <alignment horizontal="center" vertical="center"/>
    </xf>
    <xf numFmtId="0" fontId="261" fillId="0" borderId="80" xfId="0" applyFont="1" applyBorder="1" applyAlignment="1">
      <alignment horizontal="center" vertical="center"/>
    </xf>
    <xf numFmtId="0" fontId="261" fillId="0" borderId="81" xfId="0" applyFont="1" applyBorder="1" applyAlignment="1">
      <alignment horizontal="center" vertical="center"/>
    </xf>
    <xf numFmtId="0" fontId="260" fillId="0" borderId="63" xfId="0" applyFont="1" applyBorder="1" applyAlignment="1">
      <alignment horizontal="left" vertical="center" wrapText="1"/>
    </xf>
    <xf numFmtId="0" fontId="260" fillId="0" borderId="64" xfId="0" applyFont="1" applyBorder="1" applyAlignment="1">
      <alignment horizontal="left" vertical="center" wrapText="1"/>
    </xf>
    <xf numFmtId="0" fontId="260" fillId="0" borderId="65" xfId="0" applyFont="1" applyBorder="1" applyAlignment="1">
      <alignment horizontal="left" vertical="center" wrapText="1"/>
    </xf>
    <xf numFmtId="0" fontId="259" fillId="0" borderId="16" xfId="0" applyFont="1" applyBorder="1" applyAlignment="1">
      <alignment horizontal="center" vertical="center"/>
    </xf>
    <xf numFmtId="0" fontId="259" fillId="0" borderId="31" xfId="0" applyFont="1" applyBorder="1" applyAlignment="1">
      <alignment horizontal="center" vertical="center"/>
    </xf>
    <xf numFmtId="0" fontId="259" fillId="0" borderId="42" xfId="0" applyFont="1" applyBorder="1" applyAlignment="1">
      <alignment horizontal="center" vertical="center"/>
    </xf>
    <xf numFmtId="0" fontId="259" fillId="0" borderId="43" xfId="0" applyFont="1" applyBorder="1" applyAlignment="1">
      <alignment horizontal="center" vertical="center"/>
    </xf>
    <xf numFmtId="0" fontId="259" fillId="0" borderId="63" xfId="0" applyFont="1" applyBorder="1" applyAlignment="1">
      <alignment horizontal="center" vertical="center" wrapText="1"/>
    </xf>
    <xf numFmtId="0" fontId="259" fillId="0" borderId="65" xfId="0" applyFont="1" applyBorder="1" applyAlignment="1">
      <alignment horizontal="center" vertical="center" wrapText="1"/>
    </xf>
    <xf numFmtId="0" fontId="273" fillId="5" borderId="0" xfId="18" applyFont="1" applyFill="1" applyAlignment="1">
      <alignment horizontal="left" vertical="center"/>
    </xf>
    <xf numFmtId="0" fontId="273" fillId="22" borderId="1" xfId="18" applyFont="1" applyFill="1" applyBorder="1" applyAlignment="1">
      <alignment horizontal="left" vertical="center"/>
    </xf>
    <xf numFmtId="0" fontId="273" fillId="23" borderId="1" xfId="18" applyFont="1" applyFill="1" applyBorder="1" applyAlignment="1">
      <alignment horizontal="left" vertical="center"/>
    </xf>
    <xf numFmtId="0" fontId="273" fillId="0" borderId="0" xfId="18" applyFont="1" applyAlignment="1">
      <alignment horizontal="left" vertical="center"/>
    </xf>
    <xf numFmtId="0" fontId="273" fillId="9" borderId="0" xfId="18" applyFont="1" applyFill="1" applyAlignment="1">
      <alignment horizontal="left" vertical="center"/>
    </xf>
    <xf numFmtId="0" fontId="273" fillId="0" borderId="0" xfId="18" applyFont="1" applyAlignment="1">
      <alignment horizontal="left" vertical="center" wrapText="1"/>
    </xf>
    <xf numFmtId="9" fontId="273" fillId="22" borderId="1" xfId="18" applyNumberFormat="1" applyFont="1" applyFill="1" applyBorder="1" applyAlignment="1">
      <alignment horizontal="left" vertical="center"/>
    </xf>
    <xf numFmtId="9" fontId="273" fillId="23" borderId="1" xfId="18" applyNumberFormat="1" applyFont="1" applyFill="1" applyBorder="1" applyAlignment="1">
      <alignment horizontal="left" vertical="center"/>
    </xf>
    <xf numFmtId="9" fontId="273" fillId="22" borderId="1" xfId="19" applyFont="1" applyFill="1" applyBorder="1" applyAlignment="1">
      <alignment horizontal="left" vertical="center"/>
    </xf>
    <xf numFmtId="0" fontId="275" fillId="17" borderId="0" xfId="18" applyFont="1" applyFill="1" applyAlignment="1">
      <alignment horizontal="left" vertical="center"/>
    </xf>
    <xf numFmtId="0" fontId="273" fillId="22" borderId="0" xfId="18" applyFont="1" applyFill="1" applyAlignment="1">
      <alignment horizontal="left" vertical="center"/>
    </xf>
    <xf numFmtId="0" fontId="273" fillId="23" borderId="0" xfId="18" applyFont="1" applyFill="1" applyAlignment="1">
      <alignment horizontal="left" vertical="center"/>
    </xf>
    <xf numFmtId="9" fontId="273" fillId="0" borderId="0" xfId="18" applyNumberFormat="1" applyFont="1" applyAlignment="1">
      <alignment horizontal="left" vertical="center"/>
    </xf>
    <xf numFmtId="9" fontId="273" fillId="5" borderId="0" xfId="18" applyNumberFormat="1" applyFont="1" applyFill="1" applyAlignment="1">
      <alignment horizontal="left" vertical="center"/>
    </xf>
    <xf numFmtId="0" fontId="1" fillId="0" borderId="0" xfId="18">
      <alignment vertical="center"/>
    </xf>
    <xf numFmtId="9" fontId="1" fillId="0" borderId="0" xfId="18" applyNumberFormat="1">
      <alignment vertical="center"/>
    </xf>
  </cellXfs>
  <cellStyles count="20">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656167</xdr:colOff>
      <xdr:row>32</xdr:row>
      <xdr:rowOff>10583</xdr:rowOff>
    </xdr:from>
    <xdr:to>
      <xdr:col>37</xdr:col>
      <xdr:colOff>682652</xdr:colOff>
      <xdr:row>38</xdr:row>
      <xdr:rowOff>87640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8601267" y="6525683"/>
          <a:ext cx="8256085" cy="1601057"/>
        </a:xfrm>
        <a:prstGeom prst="rect">
          <a:avLst/>
        </a:prstGeom>
      </xdr:spPr>
    </xdr:pic>
    <xdr:clientData/>
  </xdr:twoCellAnchor>
  <xdr:twoCellAnchor editAs="oneCell">
    <xdr:from>
      <xdr:col>25</xdr:col>
      <xdr:colOff>137583</xdr:colOff>
      <xdr:row>37</xdr:row>
      <xdr:rowOff>1</xdr:rowOff>
    </xdr:from>
    <xdr:to>
      <xdr:col>29</xdr:col>
      <xdr:colOff>643060</xdr:colOff>
      <xdr:row>49</xdr:row>
      <xdr:rowOff>69573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82683" y="7858126"/>
          <a:ext cx="3248677" cy="2241272"/>
        </a:xfrm>
        <a:prstGeom prst="rect">
          <a:avLst/>
        </a:prstGeom>
      </xdr:spPr>
    </xdr:pic>
    <xdr:clientData/>
  </xdr:twoCellAnchor>
  <xdr:twoCellAnchor editAs="oneCell">
    <xdr:from>
      <xdr:col>24</xdr:col>
      <xdr:colOff>631031</xdr:colOff>
      <xdr:row>0</xdr:row>
      <xdr:rowOff>0</xdr:rowOff>
    </xdr:from>
    <xdr:to>
      <xdr:col>30</xdr:col>
      <xdr:colOff>201942</xdr:colOff>
      <xdr:row>21</xdr:row>
      <xdr:rowOff>125609</xdr:rowOff>
    </xdr:to>
    <xdr:pic>
      <xdr:nvPicPr>
        <xdr:cNvPr id="4" name="图片 3"/>
        <xdr:cNvPicPr>
          <a:picLocks noChangeAspect="1"/>
        </xdr:cNvPicPr>
      </xdr:nvPicPr>
      <xdr:blipFill>
        <a:blip xmlns:r="http://schemas.openxmlformats.org/officeDocument/2006/relationships" r:embed="rId3"/>
        <a:stretch>
          <a:fillRect/>
        </a:stretch>
      </xdr:blipFill>
      <xdr:spPr>
        <a:xfrm>
          <a:off x="17890331" y="0"/>
          <a:ext cx="3685711" cy="4830959"/>
        </a:xfrm>
        <a:prstGeom prst="rect">
          <a:avLst/>
        </a:prstGeom>
      </xdr:spPr>
    </xdr:pic>
    <xdr:clientData/>
  </xdr:twoCellAnchor>
  <xdr:twoCellAnchor editAs="oneCell">
    <xdr:from>
      <xdr:col>7</xdr:col>
      <xdr:colOff>309561</xdr:colOff>
      <xdr:row>33</xdr:row>
      <xdr:rowOff>238126</xdr:rowOff>
    </xdr:from>
    <xdr:to>
      <xdr:col>11</xdr:col>
      <xdr:colOff>566359</xdr:colOff>
      <xdr:row>55</xdr:row>
      <xdr:rowOff>78056</xdr:rowOff>
    </xdr:to>
    <xdr:pic>
      <xdr:nvPicPr>
        <xdr:cNvPr id="5" name="图片 4"/>
        <xdr:cNvPicPr>
          <a:picLocks noChangeAspect="1"/>
        </xdr:cNvPicPr>
      </xdr:nvPicPr>
      <xdr:blipFill>
        <a:blip xmlns:r="http://schemas.openxmlformats.org/officeDocument/2006/relationships" r:embed="rId4"/>
        <a:stretch>
          <a:fillRect/>
        </a:stretch>
      </xdr:blipFill>
      <xdr:spPr>
        <a:xfrm>
          <a:off x="4862511" y="6934201"/>
          <a:ext cx="2999998" cy="4259530"/>
        </a:xfrm>
        <a:prstGeom prst="rect">
          <a:avLst/>
        </a:prstGeom>
      </xdr:spPr>
    </xdr:pic>
    <xdr:clientData/>
  </xdr:twoCellAnchor>
  <xdr:twoCellAnchor editAs="oneCell">
    <xdr:from>
      <xdr:col>1</xdr:col>
      <xdr:colOff>309564</xdr:colOff>
      <xdr:row>33</xdr:row>
      <xdr:rowOff>226218</xdr:rowOff>
    </xdr:from>
    <xdr:to>
      <xdr:col>4</xdr:col>
      <xdr:colOff>485495</xdr:colOff>
      <xdr:row>39</xdr:row>
      <xdr:rowOff>171267</xdr:rowOff>
    </xdr:to>
    <xdr:pic>
      <xdr:nvPicPr>
        <xdr:cNvPr id="6" name="图片 5"/>
        <xdr:cNvPicPr>
          <a:picLocks noChangeAspect="1"/>
        </xdr:cNvPicPr>
      </xdr:nvPicPr>
      <xdr:blipFill>
        <a:blip xmlns:r="http://schemas.openxmlformats.org/officeDocument/2006/relationships" r:embed="rId5"/>
        <a:stretch>
          <a:fillRect/>
        </a:stretch>
      </xdr:blipFill>
      <xdr:spPr>
        <a:xfrm>
          <a:off x="747714" y="6922293"/>
          <a:ext cx="2233331" cy="1469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561134</xdr:colOff>
      <xdr:row>27</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3334" cy="4657143"/>
        </a:xfrm>
        <a:prstGeom prst="rect">
          <a:avLst/>
        </a:prstGeom>
      </xdr:spPr>
    </xdr:pic>
    <xdr:clientData/>
  </xdr:twoCellAnchor>
  <xdr:twoCellAnchor editAs="oneCell">
    <xdr:from>
      <xdr:col>10</xdr:col>
      <xdr:colOff>0</xdr:colOff>
      <xdr:row>0</xdr:row>
      <xdr:rowOff>0</xdr:rowOff>
    </xdr:from>
    <xdr:to>
      <xdr:col>19</xdr:col>
      <xdr:colOff>503991</xdr:colOff>
      <xdr:row>27</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676191" cy="4647619"/>
        </a:xfrm>
        <a:prstGeom prst="rect">
          <a:avLst/>
        </a:prstGeom>
      </xdr:spPr>
    </xdr:pic>
    <xdr:clientData/>
  </xdr:twoCellAnchor>
  <xdr:twoCellAnchor editAs="oneCell">
    <xdr:from>
      <xdr:col>0</xdr:col>
      <xdr:colOff>0</xdr:colOff>
      <xdr:row>27</xdr:row>
      <xdr:rowOff>0</xdr:rowOff>
    </xdr:from>
    <xdr:to>
      <xdr:col>9</xdr:col>
      <xdr:colOff>523039</xdr:colOff>
      <xdr:row>55</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6695239" cy="4876191"/>
        </a:xfrm>
        <a:prstGeom prst="rect">
          <a:avLst/>
        </a:prstGeom>
      </xdr:spPr>
    </xdr:pic>
    <xdr:clientData/>
  </xdr:twoCellAnchor>
  <xdr:twoCellAnchor editAs="oneCell">
    <xdr:from>
      <xdr:col>9</xdr:col>
      <xdr:colOff>656167</xdr:colOff>
      <xdr:row>27</xdr:row>
      <xdr:rowOff>127000</xdr:rowOff>
    </xdr:from>
    <xdr:to>
      <xdr:col>19</xdr:col>
      <xdr:colOff>434143</xdr:colOff>
      <xdr:row>55</xdr:row>
      <xdr:rowOff>33286</xdr:rowOff>
    </xdr:to>
    <xdr:pic>
      <xdr:nvPicPr>
        <xdr:cNvPr id="5" name="图片 4"/>
        <xdr:cNvPicPr>
          <a:picLocks noChangeAspect="1"/>
        </xdr:cNvPicPr>
      </xdr:nvPicPr>
      <xdr:blipFill>
        <a:blip xmlns:r="http://schemas.openxmlformats.org/officeDocument/2006/relationships" r:embed="rId4"/>
        <a:stretch>
          <a:fillRect/>
        </a:stretch>
      </xdr:blipFill>
      <xdr:spPr>
        <a:xfrm>
          <a:off x="6828367" y="4756150"/>
          <a:ext cx="6635976" cy="47068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21</xdr:row>
      <xdr:rowOff>0</xdr:rowOff>
    </xdr:from>
    <xdr:to>
      <xdr:col>7</xdr:col>
      <xdr:colOff>2390775</xdr:colOff>
      <xdr:row>36</xdr:row>
      <xdr:rowOff>89535</xdr:rowOff>
    </xdr:to>
    <xdr:pic>
      <xdr:nvPicPr>
        <xdr:cNvPr id="2" name="图片 1"/>
        <xdr:cNvPicPr/>
      </xdr:nvPicPr>
      <xdr:blipFill>
        <a:blip xmlns:r="http://schemas.openxmlformats.org/officeDocument/2006/relationships" r:embed="rId1"/>
        <a:stretch>
          <a:fillRect/>
        </a:stretch>
      </xdr:blipFill>
      <xdr:spPr>
        <a:xfrm>
          <a:off x="4800600" y="5591175"/>
          <a:ext cx="2390775" cy="2947035"/>
        </a:xfrm>
        <a:prstGeom prst="rect">
          <a:avLst/>
        </a:prstGeom>
      </xdr:spPr>
    </xdr:pic>
    <xdr:clientData/>
  </xdr:twoCellAnchor>
  <xdr:twoCellAnchor editAs="oneCell">
    <xdr:from>
      <xdr:col>8</xdr:col>
      <xdr:colOff>0</xdr:colOff>
      <xdr:row>21</xdr:row>
      <xdr:rowOff>0</xdr:rowOff>
    </xdr:from>
    <xdr:to>
      <xdr:col>11</xdr:col>
      <xdr:colOff>9525</xdr:colOff>
      <xdr:row>36</xdr:row>
      <xdr:rowOff>99695</xdr:rowOff>
    </xdr:to>
    <xdr:pic>
      <xdr:nvPicPr>
        <xdr:cNvPr id="3" name="图片 2"/>
        <xdr:cNvPicPr/>
      </xdr:nvPicPr>
      <xdr:blipFill>
        <a:blip xmlns:r="http://schemas.openxmlformats.org/officeDocument/2006/relationships" r:embed="rId2"/>
        <a:stretch>
          <a:fillRect/>
        </a:stretch>
      </xdr:blipFill>
      <xdr:spPr>
        <a:xfrm>
          <a:off x="7305675" y="5591175"/>
          <a:ext cx="2066925" cy="2957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28</xdr:row>
      <xdr:rowOff>19050</xdr:rowOff>
    </xdr:from>
    <xdr:to>
      <xdr:col>6</xdr:col>
      <xdr:colOff>570678</xdr:colOff>
      <xdr:row>32</xdr:row>
      <xdr:rowOff>136087</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4819650"/>
          <a:ext cx="4171128" cy="802837"/>
        </a:xfrm>
        <a:prstGeom prst="rect">
          <a:avLst/>
        </a:prstGeom>
      </xdr:spPr>
    </xdr:pic>
    <xdr:clientData/>
  </xdr:twoCellAnchor>
  <xdr:twoCellAnchor editAs="oneCell">
    <xdr:from>
      <xdr:col>1</xdr:col>
      <xdr:colOff>95249</xdr:colOff>
      <xdr:row>33</xdr:row>
      <xdr:rowOff>47625</xdr:rowOff>
    </xdr:from>
    <xdr:to>
      <xdr:col>6</xdr:col>
      <xdr:colOff>570670</xdr:colOff>
      <xdr:row>38</xdr:row>
      <xdr:rowOff>8678</xdr:rowOff>
    </xdr:to>
    <xdr:pic>
      <xdr:nvPicPr>
        <xdr:cNvPr id="3" name="图片 2"/>
        <xdr:cNvPicPr>
          <a:picLocks noChangeAspect="1"/>
        </xdr:cNvPicPr>
      </xdr:nvPicPr>
      <xdr:blipFill>
        <a:blip xmlns:r="http://schemas.openxmlformats.org/officeDocument/2006/relationships" r:embed="rId2"/>
        <a:stretch>
          <a:fillRect/>
        </a:stretch>
      </xdr:blipFill>
      <xdr:spPr>
        <a:xfrm>
          <a:off x="781049" y="5705475"/>
          <a:ext cx="4133021" cy="818303"/>
        </a:xfrm>
        <a:prstGeom prst="rect">
          <a:avLst/>
        </a:prstGeom>
      </xdr:spPr>
    </xdr:pic>
    <xdr:clientData/>
  </xdr:twoCellAnchor>
  <xdr:twoCellAnchor editAs="oneCell">
    <xdr:from>
      <xdr:col>1</xdr:col>
      <xdr:colOff>114300</xdr:colOff>
      <xdr:row>39</xdr:row>
      <xdr:rowOff>77312</xdr:rowOff>
    </xdr:from>
    <xdr:to>
      <xdr:col>7</xdr:col>
      <xdr:colOff>65860</xdr:colOff>
      <xdr:row>44</xdr:row>
      <xdr:rowOff>66514</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6763862"/>
          <a:ext cx="4294960" cy="846452"/>
        </a:xfrm>
        <a:prstGeom prst="rect">
          <a:avLst/>
        </a:prstGeom>
      </xdr:spPr>
    </xdr:pic>
    <xdr:clientData/>
  </xdr:twoCellAnchor>
  <xdr:twoCellAnchor editAs="oneCell">
    <xdr:from>
      <xdr:col>5</xdr:col>
      <xdr:colOff>41633</xdr:colOff>
      <xdr:row>45</xdr:row>
      <xdr:rowOff>152399</xdr:rowOff>
    </xdr:from>
    <xdr:to>
      <xdr:col>10</xdr:col>
      <xdr:colOff>427993</xdr:colOff>
      <xdr:row>69</xdr:row>
      <xdr:rowOff>46960</xdr:rowOff>
    </xdr:to>
    <xdr:pic>
      <xdr:nvPicPr>
        <xdr:cNvPr id="5" name="图片 4"/>
        <xdr:cNvPicPr>
          <a:picLocks noChangeAspect="1"/>
        </xdr:cNvPicPr>
      </xdr:nvPicPr>
      <xdr:blipFill>
        <a:blip xmlns:r="http://schemas.openxmlformats.org/officeDocument/2006/relationships" r:embed="rId4"/>
        <a:stretch>
          <a:fillRect/>
        </a:stretch>
      </xdr:blipFill>
      <xdr:spPr>
        <a:xfrm>
          <a:off x="3699233" y="7867649"/>
          <a:ext cx="3815360" cy="4009361"/>
        </a:xfrm>
        <a:prstGeom prst="rect">
          <a:avLst/>
        </a:prstGeom>
      </xdr:spPr>
    </xdr:pic>
    <xdr:clientData/>
  </xdr:twoCellAnchor>
  <xdr:twoCellAnchor editAs="oneCell">
    <xdr:from>
      <xdr:col>8</xdr:col>
      <xdr:colOff>9524</xdr:colOff>
      <xdr:row>0</xdr:row>
      <xdr:rowOff>0</xdr:rowOff>
    </xdr:from>
    <xdr:to>
      <xdr:col>18</xdr:col>
      <xdr:colOff>208443</xdr:colOff>
      <xdr:row>16</xdr:row>
      <xdr:rowOff>37029</xdr:rowOff>
    </xdr:to>
    <xdr:pic>
      <xdr:nvPicPr>
        <xdr:cNvPr id="6" name="图片 5"/>
        <xdr:cNvPicPr>
          <a:picLocks noChangeAspect="1"/>
        </xdr:cNvPicPr>
      </xdr:nvPicPr>
      <xdr:blipFill>
        <a:blip xmlns:r="http://schemas.openxmlformats.org/officeDocument/2006/relationships" r:embed="rId5"/>
        <a:stretch>
          <a:fillRect/>
        </a:stretch>
      </xdr:blipFill>
      <xdr:spPr>
        <a:xfrm>
          <a:off x="5724524" y="0"/>
          <a:ext cx="7056919" cy="2780229"/>
        </a:xfrm>
        <a:prstGeom prst="rect">
          <a:avLst/>
        </a:prstGeom>
      </xdr:spPr>
    </xdr:pic>
    <xdr:clientData/>
  </xdr:twoCellAnchor>
  <xdr:twoCellAnchor editAs="oneCell">
    <xdr:from>
      <xdr:col>8</xdr:col>
      <xdr:colOff>0</xdr:colOff>
      <xdr:row>21</xdr:row>
      <xdr:rowOff>0</xdr:rowOff>
    </xdr:from>
    <xdr:to>
      <xdr:col>20</xdr:col>
      <xdr:colOff>570401</xdr:colOff>
      <xdr:row>44</xdr:row>
      <xdr:rowOff>28079</xdr:rowOff>
    </xdr:to>
    <xdr:pic>
      <xdr:nvPicPr>
        <xdr:cNvPr id="7" name="图片 6"/>
        <xdr:cNvPicPr>
          <a:picLocks noChangeAspect="1"/>
        </xdr:cNvPicPr>
      </xdr:nvPicPr>
      <xdr:blipFill>
        <a:blip xmlns:r="http://schemas.openxmlformats.org/officeDocument/2006/relationships" r:embed="rId6"/>
        <a:stretch>
          <a:fillRect/>
        </a:stretch>
      </xdr:blipFill>
      <xdr:spPr>
        <a:xfrm>
          <a:off x="5715000" y="3600450"/>
          <a:ext cx="8800001" cy="3971429"/>
        </a:xfrm>
        <a:prstGeom prst="rect">
          <a:avLst/>
        </a:prstGeom>
      </xdr:spPr>
    </xdr:pic>
    <xdr:clientData/>
  </xdr:twoCellAnchor>
  <xdr:twoCellAnchor editAs="oneCell">
    <xdr:from>
      <xdr:col>11</xdr:col>
      <xdr:colOff>0</xdr:colOff>
      <xdr:row>44</xdr:row>
      <xdr:rowOff>0</xdr:rowOff>
    </xdr:from>
    <xdr:to>
      <xdr:col>23</xdr:col>
      <xdr:colOff>522782</xdr:colOff>
      <xdr:row>57</xdr:row>
      <xdr:rowOff>66388</xdr:rowOff>
    </xdr:to>
    <xdr:pic>
      <xdr:nvPicPr>
        <xdr:cNvPr id="8" name="图片 7"/>
        <xdr:cNvPicPr>
          <a:picLocks noChangeAspect="1"/>
        </xdr:cNvPicPr>
      </xdr:nvPicPr>
      <xdr:blipFill>
        <a:blip xmlns:r="http://schemas.openxmlformats.org/officeDocument/2006/relationships" r:embed="rId7"/>
        <a:stretch>
          <a:fillRect/>
        </a:stretch>
      </xdr:blipFill>
      <xdr:spPr>
        <a:xfrm>
          <a:off x="7772400" y="7543800"/>
          <a:ext cx="8752382" cy="22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28</xdr:row>
      <xdr:rowOff>0</xdr:rowOff>
    </xdr:from>
    <xdr:to>
      <xdr:col>26</xdr:col>
      <xdr:colOff>418530</xdr:colOff>
      <xdr:row>38</xdr:row>
      <xdr:rowOff>152173</xdr:rowOff>
    </xdr:to>
    <xdr:pic>
      <xdr:nvPicPr>
        <xdr:cNvPr id="2" name="图片 1"/>
        <xdr:cNvPicPr>
          <a:picLocks noChangeAspect="1"/>
        </xdr:cNvPicPr>
      </xdr:nvPicPr>
      <xdr:blipFill>
        <a:blip xmlns:r="http://schemas.openxmlformats.org/officeDocument/2006/relationships" r:embed="rId1"/>
        <a:stretch>
          <a:fillRect/>
        </a:stretch>
      </xdr:blipFill>
      <xdr:spPr>
        <a:xfrm>
          <a:off x="14989969" y="5691188"/>
          <a:ext cx="4561905"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福建省福州市长乐区鹤上镇京岭路北侧、道庆路西侧房地产市场价值预评估</v>
      </c>
    </row>
    <row r="3" spans="1:2" s="1337" customFormat="1">
      <c r="A3" s="1335" t="s">
        <v>1129</v>
      </c>
      <c r="B3" s="1336" t="str">
        <f>'预评函-封皮'!B40</f>
        <v>民生信托</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受贵公司委托，我公司对福建省福州市长乐区鹤上镇京岭路北侧、道庆路西侧房地产市场价值进行了预评估。</v>
      </c>
    </row>
    <row r="7" spans="1:2" s="1337" customFormat="1">
      <c r="A7" s="1335" t="s">
        <v>1172</v>
      </c>
      <c r="B7" s="1336" t="str">
        <f>'预评函-1'!A7</f>
        <v>估价对象为福建省福州市长乐区鹤上镇京岭路北侧、道庆路西侧房地产，为所有。根据《国有土地使用证》[]，估价对象（分摊）出让国有建设用地使用权面积为13546.29平方米，建筑面积为39892.17平方米。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福建省福州市长乐区鹤上镇京岭路北侧、道庆路西侧房地产,属开发建设的，该项目尚在开发建设中。根据《国有土地使用证》[]，估价对象（分摊）出让国有建设用地使用权面积为13546.29平方米，规划建筑面积为39892.17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2022年3月3日（评估专业人员实地查勘之日）</v>
      </c>
    </row>
    <row r="13" spans="1:2" s="1337" customFormat="1">
      <c r="A13" s="1335" t="s">
        <v>1135</v>
      </c>
      <c r="B13" s="1336" t="str">
        <f>'预评函-1'!A18</f>
        <v>本次估价的“房地产价值”是指在正常市场情况下，在价值时点2022年3月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v>
      </c>
    </row>
    <row r="16" spans="1:2" s="1337" customFormat="1">
      <c r="A16" s="1335" t="s">
        <v>1138</v>
      </c>
      <c r="B16" s="1336" t="str">
        <f>'预评函-1'!A21</f>
        <v>——</v>
      </c>
    </row>
    <row r="17" spans="1:2" s="1337" customFormat="1">
      <c r="A17" s="1335" t="s">
        <v>1139</v>
      </c>
      <c r="B17" s="1336" t="str">
        <f>'预评函-1'!A22</f>
        <v>——</v>
      </c>
    </row>
    <row r="18" spans="1:2" s="1331" customFormat="1" ht="15" thickBot="1">
      <c r="A18" s="1338" t="s">
        <v>1140</v>
      </c>
      <c r="B18" s="1339" t="str">
        <f>'预评函-1'!A24</f>
        <v>本次评估采用的主估价方法为成本法和成本法。</v>
      </c>
    </row>
    <row r="19" spans="1:2" s="1334" customFormat="1" ht="15" thickTop="1">
      <c r="A19" s="1332" t="s">
        <v>1141</v>
      </c>
      <c r="B19" s="13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7" customFormat="1">
      <c r="A20" s="1335" t="s">
        <v>1142</v>
      </c>
      <c r="B20" s="1336">
        <f ca="1">'预评函-2'!D5</f>
        <v>3870</v>
      </c>
    </row>
    <row r="21" spans="1:2" s="1337" customFormat="1">
      <c r="A21" s="1335" t="s">
        <v>1143</v>
      </c>
      <c r="B21" s="1336">
        <f ca="1">'预评函-2'!D7</f>
        <v>970</v>
      </c>
    </row>
    <row r="22" spans="1:2" s="1337" customFormat="1">
      <c r="A22" s="1335" t="s">
        <v>1144</v>
      </c>
      <c r="B22" s="1336" t="str">
        <f ca="1">'预评函-2'!D6</f>
        <v>叁仟捌佰柒拾万元整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3870</v>
      </c>
    </row>
    <row r="31" spans="1:2" s="1337" customFormat="1">
      <c r="A31" s="1335" t="s">
        <v>1182</v>
      </c>
      <c r="B31" s="1336">
        <f ca="1">'预评函-2'!D15</f>
        <v>970</v>
      </c>
    </row>
    <row r="32" spans="1:2" s="1337" customFormat="1">
      <c r="A32" s="1335" t="s">
        <v>1149</v>
      </c>
      <c r="B32" s="1336" t="str">
        <f ca="1">'预评函-2'!D14</f>
        <v>叁仟捌佰柒拾万元整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福建省福州市长乐区鹤上镇京岭路北侧、道庆路西侧房地产</v>
      </c>
    </row>
    <row r="42" spans="1:2" s="1337" customFormat="1">
      <c r="A42" s="1335" t="s">
        <v>1196</v>
      </c>
      <c r="B42" s="1336" t="str">
        <f>'预评函-3'!B2</f>
        <v>建筑面积</v>
      </c>
    </row>
    <row r="43" spans="1:2" s="1337" customFormat="1">
      <c r="A43" s="1335" t="s">
        <v>1197</v>
      </c>
      <c r="B43" s="1336">
        <f>'预评函-3'!B4</f>
        <v>39892.17</v>
      </c>
    </row>
    <row r="44" spans="1:2" s="1337" customFormat="1">
      <c r="A44" s="1335" t="s">
        <v>1181</v>
      </c>
      <c r="B44" s="1336" t="str">
        <f>'预评函-3'!C2</f>
        <v>(分摊)土地面积</v>
      </c>
    </row>
    <row r="45" spans="1:2" s="1337" customFormat="1">
      <c r="A45" s="1335" t="s">
        <v>1153</v>
      </c>
      <c r="B45" s="1336">
        <f>'预评函-3'!C4</f>
        <v>13546.29</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A58" sqref="A58:XFD20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2981</v>
      </c>
      <c r="C17" s="1702"/>
    </row>
    <row r="18" spans="1:3">
      <c r="A18" s="1701" t="s">
        <v>1672</v>
      </c>
      <c r="B18" s="1701" t="s">
        <v>3125</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长乐区鹤上镇京岭路北侧、道庆路西侧房地产作为抵押担保物，向民生信托办理贷款手续。民生信托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1709" t="s">
        <v>832</v>
      </c>
      <c r="C54" s="1706" t="s">
        <v>1189</v>
      </c>
    </row>
    <row r="55" spans="1:4">
      <c r="A55" s="3306"/>
      <c r="B55" s="1709" t="s">
        <v>833</v>
      </c>
      <c r="C55" s="1706" t="s">
        <v>1190</v>
      </c>
    </row>
    <row r="56" spans="1:4">
      <c r="A56" s="3306"/>
      <c r="B56" s="1709" t="s">
        <v>834</v>
      </c>
      <c r="C56" s="1706" t="s">
        <v>1194</v>
      </c>
    </row>
    <row r="57" spans="1:4">
      <c r="A57" s="330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1" customWidth="1"/>
    <col min="12" max="13" width="10" style="2822"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2856</v>
      </c>
      <c r="B1" s="3307" t="str">
        <f>IF(B10="北京市","北京市",C10)&amp;F10&amp;IF(结果表!G1="在建","出让国有建设用地使用权及在建建筑物",IF(结果表!G1="土地","出让国有建设用地使用权",))&amp;B9&amp;"预评估"</f>
        <v>福建省福州市长乐区鹤上镇京岭路北侧、道庆路西侧房地产市场价值预评估</v>
      </c>
      <c r="C1" s="3308"/>
      <c r="D1" s="3308"/>
      <c r="E1" s="3308"/>
      <c r="F1" s="3308"/>
      <c r="G1" s="3308"/>
      <c r="H1" s="3308"/>
      <c r="I1" s="3309"/>
      <c r="J1" s="2663"/>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福建省福州市长乐区鹤上镇京岭路北侧、道庆路西侧房地产市场价值</v>
      </c>
      <c r="T1" s="1900"/>
      <c r="U1" s="1900"/>
      <c r="V1" s="1900"/>
      <c r="W1" s="1900"/>
      <c r="X1" s="1900"/>
      <c r="Y1" s="1900"/>
      <c r="Z1" s="1900"/>
      <c r="AA1" s="1900"/>
      <c r="AB1" s="1900"/>
    </row>
    <row r="2" spans="1:28">
      <c r="A2" s="2560" t="s">
        <v>2857</v>
      </c>
      <c r="B2" s="2564"/>
      <c r="C2" s="2565"/>
      <c r="D2" s="2864"/>
      <c r="E2" s="2855"/>
      <c r="F2" s="2855"/>
      <c r="G2" s="2856"/>
      <c r="H2" s="2856"/>
      <c r="I2" s="2856"/>
      <c r="J2" s="2663"/>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福建省福州市长乐区鹤上镇京岭路北侧、道庆路西侧房地产</v>
      </c>
      <c r="T2" s="1900"/>
      <c r="U2" s="1900"/>
      <c r="V2" s="1900"/>
      <c r="W2" s="1900"/>
      <c r="X2" s="1900"/>
      <c r="Y2" s="1900"/>
      <c r="Z2" s="1900"/>
      <c r="AA2" s="1900"/>
      <c r="AB2" s="1900"/>
    </row>
    <row r="3" spans="1:28">
      <c r="A3" s="308" t="s">
        <v>2858</v>
      </c>
      <c r="B3" s="2566">
        <v>44623</v>
      </c>
      <c r="C3" s="2567" t="s">
        <v>2859</v>
      </c>
      <c r="D3" s="2566">
        <f>B3</f>
        <v>44623</v>
      </c>
      <c r="E3" s="2856"/>
      <c r="F3" s="2856"/>
      <c r="G3" s="2856"/>
      <c r="H3" s="2856"/>
      <c r="I3" s="2856"/>
      <c r="J3" s="2663"/>
      <c r="K3" s="2561"/>
      <c r="L3" s="2562"/>
      <c r="M3" s="2562"/>
      <c r="N3" s="2563"/>
      <c r="O3" s="1731"/>
      <c r="P3" s="2563"/>
      <c r="Q3" s="2563"/>
      <c r="R3" s="2563"/>
      <c r="S3" s="1837"/>
      <c r="T3" s="1900"/>
      <c r="U3" s="1900"/>
      <c r="V3" s="1900"/>
      <c r="W3" s="1900"/>
      <c r="X3" s="1900"/>
      <c r="Y3" s="1900"/>
      <c r="Z3" s="1900"/>
      <c r="AA3" s="1900"/>
      <c r="AB3" s="1900"/>
    </row>
    <row r="4" spans="1:28" ht="13.5" thickBot="1">
      <c r="A4" s="1222" t="s">
        <v>2860</v>
      </c>
      <c r="B4" s="2568" t="s">
        <v>3344</v>
      </c>
      <c r="C4" s="2569">
        <f ca="1">SUMIF(注册房地产估价师,B4,估价师及机构信息!B3:B24)</f>
        <v>1120100036</v>
      </c>
      <c r="D4" s="2568" t="s">
        <v>3345</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1"/>
      <c r="K4" s="2571" t="str">
        <f ca="1">CONCATENATE(B4,"（注册号：",C4,")、",D4,"（注册号：",E4,")")</f>
        <v>崔锴（注册号：1120100036)、郑燚（注册号：1120070131)</v>
      </c>
      <c r="L4" s="2562"/>
      <c r="M4" s="2562"/>
      <c r="N4" s="2563"/>
      <c r="O4" s="1731"/>
      <c r="P4" s="2563"/>
      <c r="Q4" s="2563"/>
      <c r="R4" s="2563"/>
      <c r="S4" s="1837"/>
      <c r="T4" s="1900"/>
      <c r="U4" s="1900"/>
      <c r="V4" s="1900"/>
      <c r="W4" s="1900"/>
      <c r="X4" s="1900"/>
      <c r="Y4" s="1900"/>
      <c r="Z4" s="1900"/>
      <c r="AA4" s="1900"/>
      <c r="AB4" s="1900"/>
    </row>
    <row r="5" spans="1:28" ht="13.5" thickTop="1">
      <c r="A5" s="2572" t="s">
        <v>2861</v>
      </c>
      <c r="B5" s="3251" t="s">
        <v>3346</v>
      </c>
      <c r="C5" s="2573"/>
      <c r="D5" s="2574"/>
      <c r="E5" s="2857"/>
      <c r="F5" s="2857"/>
      <c r="G5" s="2857"/>
      <c r="H5" s="2857"/>
      <c r="I5" s="2857"/>
      <c r="J5" s="2631"/>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5" t="s">
        <v>2862</v>
      </c>
      <c r="B6" s="3252" t="s">
        <v>3347</v>
      </c>
      <c r="C6" s="2576"/>
      <c r="D6" s="2577"/>
      <c r="E6" s="2855"/>
      <c r="F6" s="2857"/>
      <c r="G6" s="2857"/>
      <c r="H6" s="2857"/>
      <c r="I6" s="2857"/>
      <c r="J6" s="2631"/>
      <c r="K6" s="2807" t="str">
        <f>IF(COUNTIF(B6,"*上海银行*"),"上海银行","")</f>
        <v/>
      </c>
      <c r="L6" s="2805"/>
      <c r="M6" s="2805"/>
      <c r="N6" s="2631"/>
      <c r="O6" s="2642"/>
      <c r="P6" s="2631"/>
      <c r="Q6" s="2631"/>
      <c r="R6" s="2631"/>
    </row>
    <row r="7" spans="1:28">
      <c r="A7" s="2575" t="s">
        <v>2863</v>
      </c>
      <c r="B7" s="2578"/>
      <c r="C7" s="2576"/>
      <c r="D7" s="2577"/>
      <c r="E7" s="2855"/>
      <c r="F7" s="2857"/>
      <c r="G7" s="2857"/>
      <c r="H7" s="2857"/>
      <c r="I7" s="2857"/>
      <c r="J7" s="2631"/>
      <c r="K7" s="2808"/>
      <c r="L7" s="2805"/>
      <c r="M7" s="2805"/>
      <c r="N7" s="2631"/>
      <c r="O7" s="2642"/>
      <c r="P7" s="2631"/>
      <c r="Q7" s="2631"/>
      <c r="R7" s="2631"/>
    </row>
    <row r="8" spans="1:28">
      <c r="A8" s="2579" t="s">
        <v>2864</v>
      </c>
      <c r="B8" s="2580" t="s">
        <v>3348</v>
      </c>
      <c r="C8" s="2581"/>
      <c r="D8" s="3310" t="s">
        <v>2865</v>
      </c>
      <c r="E8" s="2582"/>
      <c r="F8" s="2583"/>
      <c r="G8" s="2856"/>
      <c r="H8" s="2856"/>
      <c r="I8" s="2856"/>
      <c r="J8" s="2631"/>
      <c r="K8" s="2806"/>
      <c r="L8" s="2805"/>
      <c r="M8" s="2805"/>
      <c r="N8" s="2631"/>
      <c r="O8" s="2642"/>
      <c r="P8" s="2631"/>
      <c r="Q8" s="2631"/>
      <c r="R8" s="2631"/>
    </row>
    <row r="9" spans="1:28" ht="13.5" thickBot="1">
      <c r="A9" s="2584" t="s">
        <v>2866</v>
      </c>
      <c r="B9" s="2585" t="s">
        <v>3349</v>
      </c>
      <c r="C9" s="2586"/>
      <c r="D9" s="3311"/>
      <c r="E9" s="2585"/>
      <c r="F9" s="2587"/>
      <c r="G9" s="2858"/>
      <c r="H9" s="2858"/>
      <c r="I9" s="2858"/>
      <c r="J9" s="2631"/>
      <c r="K9" s="2808"/>
      <c r="L9" s="2805"/>
      <c r="M9" s="2805"/>
      <c r="N9" s="2631"/>
      <c r="O9" s="2642"/>
      <c r="P9" s="2631"/>
      <c r="Q9" s="2631"/>
      <c r="R9" s="2631"/>
    </row>
    <row r="10" spans="1:28" ht="13.5" thickTop="1">
      <c r="A10" s="2588" t="s">
        <v>2867</v>
      </c>
      <c r="B10" s="2589" t="s">
        <v>3350</v>
      </c>
      <c r="C10" s="3253" t="s">
        <v>3351</v>
      </c>
      <c r="D10" s="2574"/>
      <c r="E10" s="2590" t="s">
        <v>2868</v>
      </c>
      <c r="F10" s="3254" t="str">
        <f>资料!B63</f>
        <v>福州市长乐区鹤上镇京岭路北侧、道庆路西侧</v>
      </c>
      <c r="G10" s="2859"/>
      <c r="H10" s="2860"/>
      <c r="I10" s="2861"/>
      <c r="J10" s="2631"/>
      <c r="K10" s="2808"/>
      <c r="L10" s="2805"/>
      <c r="M10" s="2805"/>
      <c r="N10" s="2631"/>
      <c r="O10" s="2642"/>
      <c r="P10" s="2631"/>
      <c r="Q10" s="2631"/>
      <c r="R10" s="2631"/>
    </row>
    <row r="11" spans="1:28">
      <c r="A11" s="2591" t="s">
        <v>2869</v>
      </c>
      <c r="B11" s="2592" t="s">
        <v>3352</v>
      </c>
      <c r="C11" s="2593"/>
      <c r="D11" s="2594"/>
      <c r="E11" s="2563"/>
      <c r="F11" s="2563"/>
      <c r="G11" s="2563"/>
      <c r="H11" s="2563"/>
      <c r="I11" s="2563"/>
      <c r="J11" s="2631"/>
      <c r="K11" s="2808"/>
      <c r="L11" s="2805"/>
      <c r="M11" s="2805"/>
      <c r="N11" s="2631"/>
      <c r="O11" s="2642"/>
      <c r="P11" s="2631"/>
      <c r="Q11" s="2631"/>
      <c r="R11" s="2631"/>
    </row>
    <row r="12" spans="1:28">
      <c r="A12" s="2595" t="s">
        <v>2870</v>
      </c>
      <c r="B12" s="2592" t="s">
        <v>3353</v>
      </c>
      <c r="C12" s="329" t="s">
        <v>2871</v>
      </c>
      <c r="D12" s="2596" t="s">
        <v>2872</v>
      </c>
      <c r="E12" s="2596" t="s">
        <v>2873</v>
      </c>
      <c r="F12" s="2596" t="s">
        <v>2874</v>
      </c>
      <c r="G12" s="2596" t="s">
        <v>2875</v>
      </c>
      <c r="H12" s="2596" t="s">
        <v>2876</v>
      </c>
      <c r="I12" s="2596" t="s">
        <v>2877</v>
      </c>
      <c r="J12" s="2631"/>
      <c r="K12" s="2808"/>
      <c r="L12" s="2805"/>
      <c r="M12" s="2805"/>
      <c r="N12" s="2631"/>
      <c r="O12" s="2642"/>
      <c r="P12" s="2631"/>
      <c r="Q12" s="2631"/>
      <c r="R12" s="2631"/>
    </row>
    <row r="13" spans="1:28">
      <c r="A13" s="1213"/>
      <c r="B13" s="2597"/>
      <c r="C13" s="2598" t="s">
        <v>2878</v>
      </c>
      <c r="D13" s="965">
        <f>资料!C68</f>
        <v>69567</v>
      </c>
      <c r="E13" s="965">
        <f>资料!C67</f>
        <v>58610</v>
      </c>
      <c r="F13" s="965"/>
      <c r="G13" s="965">
        <v>62262</v>
      </c>
      <c r="H13" s="965"/>
      <c r="I13" s="965"/>
      <c r="J13" s="2631"/>
      <c r="K13" s="2808"/>
      <c r="L13" s="2805"/>
      <c r="M13" s="2805"/>
      <c r="N13" s="2631"/>
      <c r="O13" s="2642"/>
      <c r="P13" s="2631"/>
      <c r="Q13" s="2631"/>
      <c r="R13" s="2631"/>
    </row>
    <row r="14" spans="1:28">
      <c r="A14" s="1213"/>
      <c r="B14" s="2597"/>
      <c r="C14" s="2598" t="s">
        <v>2879</v>
      </c>
      <c r="D14" s="2599">
        <v>70</v>
      </c>
      <c r="E14" s="2599">
        <v>40</v>
      </c>
      <c r="F14" s="2599"/>
      <c r="G14" s="2599">
        <v>70</v>
      </c>
      <c r="H14" s="2599"/>
      <c r="I14" s="2599"/>
      <c r="J14" s="2631"/>
      <c r="K14" s="2809"/>
      <c r="L14" s="2805"/>
      <c r="M14" s="2805"/>
      <c r="N14" s="2631"/>
      <c r="O14" s="2642"/>
      <c r="P14" s="2631"/>
      <c r="Q14" s="2631"/>
      <c r="R14" s="2631"/>
    </row>
    <row r="15" spans="1:28">
      <c r="A15" s="326"/>
      <c r="B15" s="2600"/>
      <c r="C15" s="2601" t="s">
        <v>2880</v>
      </c>
      <c r="D15" s="2602">
        <f>IF(B12="出让",IF(D13="","",ROUNDDOWN(MIN((D13-$D$3)/365,D14),2)),D14)</f>
        <v>68.33</v>
      </c>
      <c r="E15" s="2602">
        <f>IF(B12="出让",IF(E13="","",ROUNDDOWN(MIN((E13-$D$3)/365,E14),2)),E14)</f>
        <v>38.32</v>
      </c>
      <c r="F15" s="2602" t="str">
        <f>IF(B12="出让",IF(F13="","",ROUNDDOWN(MIN((F13-$D$3)/365,F14),2)),F14)</f>
        <v/>
      </c>
      <c r="G15" s="2602">
        <f>IF(B12="出让",IF(G13="","",ROUNDDOWN(MIN((G13-$D$3)/365,G14),2)),G14)</f>
        <v>48.32</v>
      </c>
      <c r="H15" s="2602" t="str">
        <f>IF(B12="出让",IF(H13="","",ROUNDDOWN(MIN((H13-$D$3)/365,H14),2)),H14)</f>
        <v/>
      </c>
      <c r="I15" s="2602" t="str">
        <f>IF(B12="出让",IF(I13="","",ROUNDDOWN(MIN((I13-$D$3)/365,I14),2)),I14)</f>
        <v/>
      </c>
      <c r="J15" s="2631"/>
      <c r="K15" s="2810"/>
      <c r="L15" s="2643"/>
      <c r="M15" s="2643"/>
      <c r="N15" s="2701"/>
      <c r="O15" s="2643"/>
      <c r="P15" s="2701"/>
      <c r="Q15" s="2631"/>
      <c r="R15" s="2631"/>
    </row>
    <row r="16" spans="1:28">
      <c r="A16" s="2590" t="s">
        <v>2881</v>
      </c>
      <c r="B16" s="3317"/>
      <c r="C16" s="3318"/>
      <c r="D16" s="3319"/>
      <c r="E16" s="2605" t="s">
        <v>2882</v>
      </c>
      <c r="F16" s="3320"/>
      <c r="G16" s="3321"/>
      <c r="H16" s="3321"/>
      <c r="I16" s="3322"/>
      <c r="J16" s="2631"/>
      <c r="K16" s="2810"/>
      <c r="L16" s="2643"/>
      <c r="M16" s="2643"/>
      <c r="N16" s="2701"/>
      <c r="O16" s="2643"/>
      <c r="P16" s="2701"/>
      <c r="Q16" s="2631"/>
      <c r="R16" s="2631"/>
    </row>
    <row r="17" spans="1:28">
      <c r="A17" s="319" t="s">
        <v>2883</v>
      </c>
      <c r="B17" s="308" t="s">
        <v>2884</v>
      </c>
      <c r="C17" s="11">
        <f>'数据-汇总表'!E3</f>
        <v>39892.17</v>
      </c>
      <c r="D17" s="2514" t="s">
        <v>2885</v>
      </c>
      <c r="E17" s="3323" t="s">
        <v>2886</v>
      </c>
      <c r="F17" s="3324"/>
      <c r="G17" s="3324"/>
      <c r="H17" s="3324"/>
      <c r="I17" s="3325"/>
      <c r="J17" s="2631"/>
      <c r="K17" s="2811"/>
      <c r="L17" s="2643"/>
      <c r="M17" s="2643"/>
      <c r="N17" s="2701"/>
      <c r="O17" s="2643"/>
      <c r="P17" s="2701"/>
      <c r="Q17" s="2631"/>
      <c r="R17" s="2631"/>
      <c r="S17" s="2631"/>
      <c r="T17" s="2631"/>
      <c r="U17" s="2631"/>
      <c r="V17" s="2631"/>
    </row>
    <row r="18" spans="1:28" ht="24.75" thickBot="1">
      <c r="A18" s="2606" t="s">
        <v>2887</v>
      </c>
      <c r="B18" s="1222" t="s">
        <v>2888</v>
      </c>
      <c r="C18" s="2607">
        <f>'数据-汇总表'!D3</f>
        <v>13546.29</v>
      </c>
      <c r="D18" s="1224" t="s">
        <v>2889</v>
      </c>
      <c r="E18" s="3326" t="s">
        <v>2890</v>
      </c>
      <c r="F18" s="3327"/>
      <c r="G18" s="3327"/>
      <c r="H18" s="3327"/>
      <c r="I18" s="3328"/>
      <c r="J18" s="2631"/>
      <c r="K18" s="2811"/>
      <c r="L18" s="2643"/>
      <c r="M18" s="2643"/>
      <c r="N18" s="2701"/>
      <c r="O18" s="2643"/>
      <c r="P18" s="2701"/>
      <c r="Q18" s="2631"/>
      <c r="R18" s="2631"/>
      <c r="S18" s="2631"/>
      <c r="T18" s="2631"/>
      <c r="U18" s="2631"/>
      <c r="V18" s="2631"/>
    </row>
    <row r="19" spans="1:28" ht="37.5" thickTop="1" thickBot="1">
      <c r="A19" s="333" t="s">
        <v>1681</v>
      </c>
      <c r="B19" s="313" t="s">
        <v>2891</v>
      </c>
      <c r="C19" s="1718"/>
      <c r="D19" s="1719" t="s">
        <v>2892</v>
      </c>
      <c r="E19" s="1720"/>
      <c r="F19" s="1721" t="str">
        <f>IF(AND(C19="是",E19="否"),"是否提供他项权证或相关说明","")</f>
        <v/>
      </c>
      <c r="G19" s="1722"/>
      <c r="H19" s="2857"/>
      <c r="I19" s="2857"/>
      <c r="J19" s="2631"/>
      <c r="K19" s="2808"/>
      <c r="L19" s="2805"/>
      <c r="M19" s="2805"/>
      <c r="N19" s="2701"/>
      <c r="O19" s="2643"/>
      <c r="P19" s="2701"/>
      <c r="Q19" s="2631"/>
      <c r="R19" s="2631"/>
      <c r="S19" s="2631"/>
      <c r="T19" s="2631"/>
      <c r="U19" s="2631"/>
      <c r="V19" s="2631"/>
    </row>
    <row r="20" spans="1:28">
      <c r="A20" s="2825" t="s">
        <v>2893</v>
      </c>
      <c r="B20" s="3313" t="s">
        <v>2894</v>
      </c>
      <c r="C20" s="3314"/>
      <c r="D20" s="3315" t="s">
        <v>2895</v>
      </c>
      <c r="E20" s="3316"/>
      <c r="F20" s="2840" t="s">
        <v>1682</v>
      </c>
      <c r="G20" s="2857"/>
      <c r="H20" s="2857"/>
      <c r="I20" s="2857"/>
      <c r="J20" s="2631"/>
      <c r="K20" s="3312" t="s">
        <v>2896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4"/>
      <c r="O20" s="2603"/>
      <c r="P20" s="2604"/>
      <c r="Q20" s="2563"/>
      <c r="R20" s="2563"/>
      <c r="S20" s="2563"/>
      <c r="T20" s="2563"/>
      <c r="U20" s="2563"/>
      <c r="V20" s="2563"/>
      <c r="W20" s="1900"/>
      <c r="X20" s="1900"/>
      <c r="Y20" s="1900"/>
      <c r="Z20" s="1900"/>
      <c r="AA20" s="1900"/>
      <c r="AB20" s="1900"/>
    </row>
    <row r="21" spans="1:28" ht="24.75" thickBot="1">
      <c r="A21" s="2825"/>
      <c r="B21" s="2826" t="s">
        <v>2897</v>
      </c>
      <c r="C21" s="2827" t="s">
        <v>1683</v>
      </c>
      <c r="D21" s="1723" t="s">
        <v>2898</v>
      </c>
      <c r="E21" s="2828" t="s">
        <v>1683</v>
      </c>
      <c r="F21" s="2841"/>
      <c r="G21" s="2857"/>
      <c r="H21" s="2857"/>
      <c r="I21" s="2857"/>
      <c r="J21" s="2631"/>
      <c r="K21" s="331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4"/>
      <c r="O21" s="2603"/>
      <c r="P21" s="2604"/>
      <c r="Q21" s="2563"/>
      <c r="R21" s="2563"/>
      <c r="S21" s="2563"/>
      <c r="T21" s="2563"/>
      <c r="U21" s="2563"/>
      <c r="V21" s="2563"/>
      <c r="W21" s="1900"/>
      <c r="X21" s="1900"/>
      <c r="Y21" s="1900"/>
      <c r="Z21" s="1900"/>
      <c r="AA21" s="1900"/>
      <c r="AB21" s="1900"/>
    </row>
    <row r="22" spans="1:28" ht="24.75" thickBot="1">
      <c r="A22" s="2825"/>
      <c r="B22" s="2829" t="s">
        <v>2899</v>
      </c>
      <c r="C22" s="2827" t="s">
        <v>1684</v>
      </c>
      <c r="D22" s="2856"/>
      <c r="E22" s="2856"/>
      <c r="F22" s="2856"/>
      <c r="G22" s="2857"/>
      <c r="H22" s="2857"/>
      <c r="I22" s="2857"/>
      <c r="J22" s="2631"/>
      <c r="K22" s="331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4"/>
      <c r="O22" s="2603"/>
      <c r="P22" s="2604"/>
      <c r="Q22" s="2563"/>
      <c r="R22" s="2563"/>
      <c r="S22" s="2563"/>
      <c r="T22" s="2563"/>
      <c r="U22" s="2563"/>
      <c r="V22" s="2563"/>
      <c r="W22" s="1900"/>
      <c r="X22" s="1900"/>
      <c r="Y22" s="1900"/>
      <c r="Z22" s="1900"/>
      <c r="AA22" s="1900"/>
      <c r="AB22" s="1900"/>
    </row>
    <row r="23" spans="1:28">
      <c r="A23" s="2830" t="s">
        <v>2900</v>
      </c>
      <c r="B23" s="2694" t="s">
        <v>2901</v>
      </c>
      <c r="C23" s="2831"/>
      <c r="D23" s="2832" t="s">
        <v>2901</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330" t="s">
        <v>2902</v>
      </c>
      <c r="B27" s="326" t="s">
        <v>2903</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330"/>
      <c r="B28" s="308" t="s">
        <v>2904</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330"/>
      <c r="B29" s="308" t="s">
        <v>2905</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331"/>
      <c r="B30" s="308" t="s">
        <v>2906</v>
      </c>
      <c r="C30" s="3332"/>
      <c r="D30" s="3333"/>
      <c r="E30" s="2857"/>
      <c r="F30" s="2857"/>
      <c r="G30" s="2857"/>
      <c r="H30" s="2857"/>
      <c r="I30" s="2857"/>
      <c r="J30" s="2631"/>
      <c r="K30" s="2808"/>
      <c r="L30" s="2805"/>
      <c r="M30" s="2805"/>
      <c r="N30" s="2631"/>
      <c r="O30" s="2642"/>
      <c r="P30" s="2631"/>
      <c r="Q30" s="2631"/>
      <c r="R30" s="2631"/>
      <c r="S30" s="2631"/>
      <c r="T30" s="2631"/>
      <c r="U30" s="2631"/>
      <c r="V30" s="2631"/>
    </row>
    <row r="31" spans="1:28">
      <c r="A31" s="3334" t="s">
        <v>2907</v>
      </c>
      <c r="B31" s="2614"/>
      <c r="C31" s="2515" t="str">
        <f>IF(B31="现房","成新及维护状况正常否",IF(B31="在建","工程状态是否正常",IF(B31="土地","是否闲置","-")))</f>
        <v>-</v>
      </c>
      <c r="D31" s="1527"/>
      <c r="E31" s="2615"/>
      <c r="F31" s="2857"/>
      <c r="G31" s="2857"/>
      <c r="H31" s="2857"/>
      <c r="I31" s="2857"/>
      <c r="J31" s="2631"/>
      <c r="K31" s="2807"/>
      <c r="L31" s="2805"/>
      <c r="M31" s="2805"/>
      <c r="N31" s="2631"/>
      <c r="O31" s="2642"/>
      <c r="P31" s="2631"/>
      <c r="Q31" s="2631"/>
      <c r="R31" s="2631"/>
      <c r="S31" s="2631"/>
      <c r="T31" s="2631"/>
      <c r="U31" s="2631"/>
      <c r="V31" s="2631"/>
    </row>
    <row r="32" spans="1:28">
      <c r="A32" s="3335"/>
      <c r="B32" s="2614"/>
      <c r="C32" s="2515" t="str">
        <f>IF(B32="现房","成新及维护状况是否正常",IF(B32="在建","工程状态是否正常",IF(B32="土地","是否闲置","-")))</f>
        <v>-</v>
      </c>
      <c r="D32" s="1527"/>
      <c r="E32" s="2615"/>
      <c r="F32" s="2857"/>
      <c r="G32" s="2857"/>
      <c r="H32" s="2857"/>
      <c r="I32" s="2857"/>
      <c r="J32" s="2631"/>
      <c r="K32" s="2808"/>
      <c r="L32" s="2805"/>
      <c r="M32" s="2805"/>
      <c r="N32" s="2631"/>
      <c r="O32" s="2642"/>
      <c r="P32" s="2631"/>
      <c r="Q32" s="2631"/>
      <c r="R32" s="2631"/>
      <c r="S32" s="2631"/>
      <c r="T32" s="2631"/>
      <c r="U32" s="2631"/>
      <c r="V32" s="2631"/>
    </row>
    <row r="33" spans="1:30">
      <c r="A33" s="3335"/>
      <c r="B33" s="2617"/>
      <c r="C33" s="1745" t="str">
        <f>IF(B33="现房","成新及维护状况是否正常",IF(B33="在建","工程状态是否正常",IF(B33="土地","是否闲置","-")))</f>
        <v>-</v>
      </c>
      <c r="D33" s="1519"/>
      <c r="E33" s="2618"/>
      <c r="F33" s="2857"/>
      <c r="G33" s="2857"/>
      <c r="H33" s="2857"/>
      <c r="I33" s="2857"/>
      <c r="J33" s="2631"/>
      <c r="K33" s="2808"/>
      <c r="L33" s="2805"/>
      <c r="M33" s="2805"/>
      <c r="N33" s="2631"/>
      <c r="O33" s="2642"/>
      <c r="P33" s="2631"/>
      <c r="Q33" s="2631"/>
      <c r="R33" s="2631"/>
      <c r="S33" s="2631"/>
      <c r="T33" s="2631"/>
      <c r="U33" s="2631"/>
      <c r="V33" s="2631"/>
    </row>
    <row r="34" spans="1:30">
      <c r="A34" s="308" t="s">
        <v>2908</v>
      </c>
      <c r="B34" s="2183"/>
      <c r="C34" s="2183"/>
      <c r="D34" s="2183"/>
      <c r="E34" s="2183"/>
      <c r="F34" s="2183"/>
      <c r="G34" s="2183"/>
      <c r="H34" s="2183"/>
      <c r="I34" s="2857"/>
      <c r="J34" s="2631"/>
      <c r="K34" s="2619">
        <f>COUNTIF(B34:H34,"——")</f>
        <v>0</v>
      </c>
      <c r="L34" s="329" t="s">
        <v>2909</v>
      </c>
      <c r="M34" s="329" t="s">
        <v>2910</v>
      </c>
      <c r="N34" s="329" t="s">
        <v>2911</v>
      </c>
      <c r="O34" s="329" t="s">
        <v>2912</v>
      </c>
      <c r="P34" s="329" t="s">
        <v>2913</v>
      </c>
      <c r="Q34" s="329" t="s">
        <v>2914</v>
      </c>
      <c r="R34" s="329" t="s">
        <v>2915</v>
      </c>
      <c r="S34" s="3329" t="s">
        <v>2916</v>
      </c>
      <c r="T34" s="2620" t="str">
        <f>NUMBERSTRING(7-K34,1)&amp;"通"</f>
        <v>七通</v>
      </c>
      <c r="U34" s="2631"/>
      <c r="V34" s="2631"/>
    </row>
    <row r="35" spans="1:30">
      <c r="A35" s="2621"/>
      <c r="B35" s="3336" t="s">
        <v>2917</v>
      </c>
      <c r="C35" s="3336"/>
      <c r="D35" s="3336"/>
      <c r="E35" s="3336"/>
      <c r="F35" s="673" t="str">
        <f>C10</f>
        <v>福建省</v>
      </c>
      <c r="G35" s="2857"/>
      <c r="H35" s="2857"/>
      <c r="I35" s="2857"/>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9"/>
      <c r="T35" s="335" t="str">
        <f>IF(T34="一通",L35,IF(T34="二通",M35,IF(T34="三通",N35,IF(T34="四通",O35,IF(T34="五通",P35,IF(T34="六通",Q35,R35))))))</f>
        <v>、、、、、、</v>
      </c>
      <c r="U35" s="2631"/>
      <c r="V35" s="2631"/>
    </row>
    <row r="36" spans="1:30">
      <c r="A36" s="2622"/>
      <c r="B36" s="673" t="s">
        <v>2873</v>
      </c>
      <c r="C36" s="673" t="s">
        <v>2874</v>
      </c>
      <c r="D36" s="673" t="s">
        <v>2872</v>
      </c>
      <c r="E36" s="673" t="s">
        <v>2877</v>
      </c>
      <c r="F36" s="2862"/>
      <c r="G36" s="2857"/>
      <c r="H36" s="2857"/>
      <c r="I36" s="2857"/>
      <c r="J36" s="2631"/>
      <c r="K36" s="2808"/>
      <c r="L36" s="2805"/>
      <c r="M36" s="2805"/>
      <c r="N36" s="2631"/>
      <c r="O36" s="2642"/>
      <c r="P36" s="2631"/>
      <c r="Q36" s="2631"/>
      <c r="R36" s="2631"/>
      <c r="S36" s="2631"/>
      <c r="T36" s="2631"/>
      <c r="U36" s="2631"/>
      <c r="V36" s="2631"/>
    </row>
    <row r="37" spans="1:30">
      <c r="A37" s="2823" t="s">
        <v>2918</v>
      </c>
      <c r="B37" s="2623"/>
      <c r="C37" s="2623"/>
      <c r="D37" s="2623"/>
      <c r="E37" s="2623"/>
      <c r="F37" s="2862"/>
      <c r="G37" s="2857"/>
      <c r="H37" s="2857"/>
      <c r="I37" s="2857"/>
      <c r="J37" s="2631"/>
      <c r="K37" s="2808"/>
      <c r="L37" s="2805"/>
      <c r="M37" s="2805"/>
      <c r="N37" s="2631"/>
      <c r="O37" s="2642"/>
      <c r="P37" s="2631"/>
      <c r="Q37" s="2631"/>
      <c r="R37" s="2631"/>
      <c r="S37" s="2631"/>
      <c r="T37" s="2631"/>
      <c r="U37" s="2631"/>
      <c r="V37" s="2631"/>
    </row>
    <row r="38" spans="1:30" ht="13.5" thickBot="1">
      <c r="A38" s="2824" t="s">
        <v>2919</v>
      </c>
      <c r="B38" s="2624"/>
      <c r="C38" s="2624"/>
      <c r="D38" s="2624"/>
      <c r="E38" s="2624"/>
      <c r="F38" s="2863"/>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2920</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3"/>
      <c r="B40" s="2563"/>
      <c r="C40" s="2563"/>
      <c r="D40" s="2563"/>
      <c r="E40" s="2563"/>
      <c r="F40" s="2563"/>
      <c r="G40" s="2563"/>
      <c r="H40" s="2563"/>
      <c r="I40" s="1733"/>
      <c r="J40" s="2701"/>
      <c r="K40" s="2807"/>
      <c r="L40" s="2643"/>
      <c r="M40" s="2643"/>
      <c r="N40" s="2701"/>
      <c r="O40" s="2643"/>
      <c r="P40" s="2631"/>
      <c r="Q40" s="2631"/>
      <c r="R40" s="2631"/>
      <c r="S40" s="2631"/>
      <c r="T40" s="2631"/>
      <c r="U40" s="2631"/>
      <c r="V40" s="2631"/>
    </row>
    <row r="41" spans="1:30">
      <c r="A41" s="2628" t="s">
        <v>2921</v>
      </c>
      <c r="B41" s="1912"/>
      <c r="C41" s="1527"/>
      <c r="D41" s="2563"/>
      <c r="E41" s="2563"/>
      <c r="F41" s="2563"/>
      <c r="G41" s="2563"/>
      <c r="H41" s="2563"/>
      <c r="I41" s="1731"/>
      <c r="J41" s="2631"/>
      <c r="K41" s="2808"/>
      <c r="L41" s="2805"/>
      <c r="M41" s="2805"/>
      <c r="N41" s="2631"/>
      <c r="O41" s="2642"/>
      <c r="P41" s="2631"/>
      <c r="Q41" s="2631"/>
      <c r="R41" s="2631"/>
      <c r="S41" s="2631"/>
      <c r="T41" s="2631"/>
      <c r="U41" s="2631"/>
      <c r="V41" s="2631"/>
    </row>
    <row r="42" spans="1:30" ht="25.5">
      <c r="A42" s="329" t="s">
        <v>2922</v>
      </c>
      <c r="B42" s="11" t="s">
        <v>2923</v>
      </c>
      <c r="C42" s="11" t="s">
        <v>2924</v>
      </c>
      <c r="D42" s="11" t="s">
        <v>2925</v>
      </c>
      <c r="E42" s="11" t="s">
        <v>2926</v>
      </c>
      <c r="F42" s="11" t="s">
        <v>2927</v>
      </c>
      <c r="G42" s="11" t="s">
        <v>2928</v>
      </c>
      <c r="H42" s="11" t="s">
        <v>2929</v>
      </c>
      <c r="I42" s="11" t="s">
        <v>2930</v>
      </c>
      <c r="J42" s="2819" t="s">
        <v>2931</v>
      </c>
      <c r="K42" s="2820" t="s">
        <v>2932</v>
      </c>
      <c r="L42" s="2820" t="s">
        <v>2933</v>
      </c>
      <c r="M42" s="2820" t="s">
        <v>2934</v>
      </c>
      <c r="N42" s="2813" t="s">
        <v>2935</v>
      </c>
      <c r="O42" s="2813" t="s">
        <v>2936</v>
      </c>
      <c r="P42" s="2813" t="s">
        <v>2937</v>
      </c>
      <c r="Q42" s="2814" t="s">
        <v>2938</v>
      </c>
      <c r="R42" s="2814" t="s">
        <v>2939</v>
      </c>
      <c r="S42" s="2631"/>
      <c r="T42" s="2631"/>
      <c r="U42" s="2631"/>
      <c r="V42" s="2631"/>
    </row>
    <row r="43" spans="1:30" s="1898" customFormat="1">
      <c r="A43" s="1725"/>
      <c r="B43" s="1182"/>
      <c r="C43" s="1182"/>
      <c r="D43" s="1182"/>
      <c r="E43" s="1182"/>
      <c r="F43" s="1182"/>
      <c r="G43" s="1182"/>
      <c r="H43" s="1182"/>
      <c r="I43" s="1182"/>
      <c r="J43" s="2629"/>
      <c r="K43" s="2630"/>
      <c r="L43" s="2630"/>
      <c r="M43" s="1182"/>
      <c r="N43" s="1182"/>
      <c r="O43" s="1182"/>
      <c r="P43" s="1182"/>
      <c r="Q43" s="1182"/>
      <c r="R43" s="1182"/>
      <c r="S43" s="2631"/>
      <c r="T43" s="2631"/>
      <c r="U43" s="2631"/>
      <c r="V43" s="2631"/>
    </row>
    <row r="44" spans="1:30" s="1898" customFormat="1">
      <c r="A44" s="1725"/>
      <c r="B44" s="1725"/>
      <c r="C44" s="1182"/>
      <c r="D44" s="1182"/>
      <c r="E44" s="1182"/>
      <c r="F44" s="1182"/>
      <c r="G44" s="1182"/>
      <c r="H44" s="1182"/>
      <c r="I44" s="1182"/>
      <c r="J44" s="2629"/>
      <c r="K44" s="2630"/>
      <c r="L44" s="2630"/>
      <c r="M44" s="1182"/>
      <c r="N44" s="1182"/>
      <c r="O44" s="1182"/>
      <c r="P44" s="1182"/>
      <c r="Q44" s="1182"/>
      <c r="R44" s="1182"/>
      <c r="S44" s="2631"/>
      <c r="T44" s="2631"/>
      <c r="U44" s="2631"/>
      <c r="V44" s="2631"/>
    </row>
    <row r="45" spans="1:30" s="1898" customFormat="1">
      <c r="A45" s="1725"/>
      <c r="B45" s="1725"/>
      <c r="C45" s="1182"/>
      <c r="D45" s="1182"/>
      <c r="E45" s="1182"/>
      <c r="F45" s="1182"/>
      <c r="G45" s="1182"/>
      <c r="H45" s="1182"/>
      <c r="I45" s="1182"/>
      <c r="J45" s="2629"/>
      <c r="K45" s="2630"/>
      <c r="L45" s="2630"/>
      <c r="M45" s="1182"/>
      <c r="N45" s="1182"/>
      <c r="O45" s="1182"/>
      <c r="P45" s="1182"/>
      <c r="Q45" s="1182"/>
      <c r="R45" s="1182"/>
      <c r="S45" s="2631"/>
      <c r="T45" s="2631"/>
      <c r="U45" s="2631"/>
      <c r="V45" s="2631"/>
    </row>
    <row r="46" spans="1:30" s="1898" customFormat="1">
      <c r="A46" s="1725"/>
      <c r="B46" s="1725"/>
      <c r="C46" s="1182"/>
      <c r="D46" s="1182"/>
      <c r="E46" s="1182"/>
      <c r="F46" s="1182"/>
      <c r="G46" s="1182"/>
      <c r="H46" s="1182"/>
      <c r="I46" s="1182"/>
      <c r="J46" s="2629"/>
      <c r="K46" s="2630"/>
      <c r="L46" s="2630"/>
      <c r="M46" s="1182"/>
      <c r="N46" s="1182"/>
      <c r="O46" s="1182"/>
      <c r="P46" s="1182"/>
      <c r="Q46" s="1182"/>
      <c r="R46" s="1182"/>
      <c r="S46" s="2631"/>
      <c r="T46" s="2631"/>
      <c r="U46" s="2631"/>
      <c r="V46" s="2631"/>
    </row>
    <row r="47" spans="1:30" s="1898" customFormat="1">
      <c r="A47" s="1725"/>
      <c r="B47" s="1725"/>
      <c r="C47" s="1182"/>
      <c r="D47" s="1182"/>
      <c r="E47" s="1182"/>
      <c r="F47" s="1182"/>
      <c r="G47" s="1182"/>
      <c r="H47" s="1182"/>
      <c r="I47" s="1182"/>
      <c r="J47" s="2629"/>
      <c r="K47" s="2630"/>
      <c r="L47" s="2630"/>
      <c r="M47" s="1182"/>
      <c r="N47" s="1182"/>
      <c r="O47" s="1182"/>
      <c r="P47" s="1182"/>
      <c r="Q47" s="1182"/>
      <c r="R47" s="1182"/>
      <c r="S47" s="2631"/>
      <c r="T47" s="2631"/>
      <c r="U47" s="2631"/>
      <c r="V47" s="2631"/>
    </row>
    <row r="48" spans="1:30" s="1898" customFormat="1">
      <c r="A48" s="1725"/>
      <c r="B48" s="1725"/>
      <c r="C48" s="1182"/>
      <c r="D48" s="1182"/>
      <c r="E48" s="1182"/>
      <c r="F48" s="1182"/>
      <c r="G48" s="1182"/>
      <c r="H48" s="1182"/>
      <c r="I48" s="1182"/>
      <c r="J48" s="2629"/>
      <c r="K48" s="2630"/>
      <c r="L48" s="2630"/>
      <c r="M48" s="1182"/>
      <c r="N48" s="1182"/>
      <c r="O48" s="1182"/>
      <c r="P48" s="1182"/>
      <c r="Q48" s="1182"/>
      <c r="R48" s="1182"/>
      <c r="S48" s="2631"/>
      <c r="T48" s="2631"/>
      <c r="U48" s="2631"/>
      <c r="V48" s="2631"/>
    </row>
    <row r="49" spans="1:22" s="1898" customFormat="1">
      <c r="A49" s="1725"/>
      <c r="B49" s="1725"/>
      <c r="C49" s="1182"/>
      <c r="D49" s="1182"/>
      <c r="E49" s="1182"/>
      <c r="F49" s="1182"/>
      <c r="G49" s="1182"/>
      <c r="H49" s="1182"/>
      <c r="I49" s="1182"/>
      <c r="J49" s="2629"/>
      <c r="K49" s="2630"/>
      <c r="L49" s="2630"/>
      <c r="M49" s="1182"/>
      <c r="N49" s="1182"/>
      <c r="O49" s="1182"/>
      <c r="P49" s="1182"/>
      <c r="Q49" s="1182"/>
      <c r="R49" s="1182"/>
      <c r="S49" s="2631"/>
      <c r="T49" s="2631"/>
      <c r="U49" s="2631"/>
      <c r="V49" s="2631"/>
    </row>
    <row r="50" spans="1:22" s="1898" customFormat="1">
      <c r="A50" s="1725"/>
      <c r="B50" s="1725"/>
      <c r="C50" s="1182"/>
      <c r="D50" s="1182"/>
      <c r="E50" s="1182"/>
      <c r="F50" s="1182"/>
      <c r="G50" s="1182"/>
      <c r="H50" s="1182"/>
      <c r="I50" s="1182"/>
      <c r="J50" s="2629"/>
      <c r="K50" s="2630"/>
      <c r="L50" s="2630"/>
      <c r="M50" s="1182"/>
      <c r="N50" s="1182"/>
      <c r="O50" s="1182"/>
      <c r="P50" s="1182"/>
      <c r="Q50" s="1182"/>
      <c r="R50" s="1182"/>
      <c r="S50" s="2631"/>
      <c r="T50" s="2631"/>
      <c r="U50" s="2631"/>
      <c r="V50" s="2631"/>
    </row>
    <row r="51" spans="1:22" s="1898" customFormat="1">
      <c r="A51" s="1725"/>
      <c r="B51" s="1725"/>
      <c r="C51" s="1182"/>
      <c r="D51" s="1182"/>
      <c r="E51" s="1182"/>
      <c r="F51" s="1182"/>
      <c r="G51" s="1182"/>
      <c r="H51" s="1182"/>
      <c r="I51" s="1182"/>
      <c r="J51" s="2629"/>
      <c r="K51" s="2630"/>
      <c r="L51" s="2630"/>
      <c r="M51" s="1182"/>
      <c r="N51" s="1182"/>
      <c r="O51" s="1182"/>
      <c r="P51" s="1182"/>
      <c r="Q51" s="1182"/>
      <c r="R51" s="1182"/>
    </row>
    <row r="52" spans="1:22" s="1898" customFormat="1">
      <c r="A52" s="1725"/>
      <c r="B52" s="1725"/>
      <c r="C52" s="1725"/>
      <c r="D52" s="1725"/>
      <c r="E52" s="1725"/>
      <c r="F52" s="1182"/>
      <c r="G52" s="1725"/>
      <c r="H52" s="1725"/>
      <c r="I52" s="1725"/>
      <c r="J52" s="2632"/>
      <c r="K52" s="2630"/>
      <c r="L52" s="2630"/>
      <c r="M52" s="2630"/>
      <c r="N52" s="1725"/>
      <c r="O52" s="1725"/>
      <c r="P52" s="1725"/>
      <c r="Q52" s="1725"/>
      <c r="R52" s="1725"/>
    </row>
    <row r="53" spans="1:22" s="1898" customFormat="1">
      <c r="A53" s="1725"/>
      <c r="B53" s="1725"/>
      <c r="C53" s="1725"/>
      <c r="D53" s="1725"/>
      <c r="E53" s="1725"/>
      <c r="F53" s="1182"/>
      <c r="G53" s="1725"/>
      <c r="H53" s="1725"/>
      <c r="I53" s="1725"/>
      <c r="J53" s="2632"/>
      <c r="K53" s="2630"/>
      <c r="L53" s="2630"/>
      <c r="M53" s="2630"/>
      <c r="N53" s="1725"/>
      <c r="O53" s="1725"/>
      <c r="P53" s="1725"/>
      <c r="Q53" s="1725"/>
      <c r="R53" s="1725"/>
    </row>
    <row r="54" spans="1:22" s="1898" customFormat="1">
      <c r="A54" s="1725"/>
      <c r="B54" s="1725"/>
      <c r="C54" s="1725"/>
      <c r="D54" s="1725"/>
      <c r="E54" s="1725"/>
      <c r="F54" s="1182"/>
      <c r="G54" s="1725"/>
      <c r="H54" s="1725"/>
      <c r="I54" s="1725"/>
      <c r="J54" s="2632"/>
      <c r="K54" s="2630"/>
      <c r="L54" s="2630"/>
      <c r="M54" s="2630"/>
      <c r="N54" s="1725"/>
      <c r="O54" s="1725"/>
      <c r="P54" s="1725"/>
      <c r="Q54" s="1725"/>
      <c r="R54" s="1725"/>
    </row>
    <row r="55" spans="1:22" s="1898" customFormat="1">
      <c r="A55" s="1725"/>
      <c r="B55" s="1725"/>
      <c r="C55" s="1725"/>
      <c r="D55" s="1725"/>
      <c r="E55" s="1725"/>
      <c r="F55" s="1182"/>
      <c r="G55" s="1725"/>
      <c r="H55" s="1725"/>
      <c r="I55" s="1725"/>
      <c r="J55" s="2632"/>
      <c r="K55" s="2630"/>
      <c r="L55" s="2630"/>
      <c r="M55" s="2630"/>
      <c r="N55" s="1725"/>
      <c r="O55" s="1725"/>
      <c r="P55" s="1725"/>
      <c r="Q55" s="1725"/>
      <c r="R55" s="1725"/>
    </row>
    <row r="56" spans="1:22" s="1898" customFormat="1">
      <c r="A56" s="1725"/>
      <c r="B56" s="1725"/>
      <c r="C56" s="1725"/>
      <c r="D56" s="1725"/>
      <c r="E56" s="1725"/>
      <c r="F56" s="1182"/>
      <c r="G56" s="1725"/>
      <c r="H56" s="1725"/>
      <c r="I56" s="1725"/>
      <c r="J56" s="2632"/>
      <c r="K56" s="2630"/>
      <c r="L56" s="2630"/>
      <c r="M56" s="2630"/>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A58" sqref="A58:XFD208"/>
      <selection pane="topRight" activeCell="A58" sqref="A58:XFD208"/>
      <selection pane="bottomLeft" activeCell="A58" sqref="A58:XFD208"/>
      <selection pane="bottomRight" activeCell="M35" sqref="M3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资料!B66</f>
        <v>61852</v>
      </c>
      <c r="B3" s="14">
        <f>IF(C3="否",G5-AT5,G5)</f>
        <v>182146.65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182146.65</v>
      </c>
      <c r="H5" s="16">
        <f t="shared" ref="H5:AT5" si="0">SUM(H13:H656)</f>
        <v>175519.30000000002</v>
      </c>
      <c r="I5" s="16">
        <f t="shared" si="0"/>
        <v>129611.87999999999</v>
      </c>
      <c r="J5" s="16">
        <f t="shared" si="0"/>
        <v>0</v>
      </c>
      <c r="K5" s="16">
        <f t="shared" si="0"/>
        <v>8068.85</v>
      </c>
      <c r="L5" s="16">
        <f t="shared" si="0"/>
        <v>0</v>
      </c>
      <c r="M5" s="16">
        <f t="shared" si="0"/>
        <v>37838.57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6627.35</v>
      </c>
      <c r="AD5" s="16">
        <f t="shared" si="0"/>
        <v>5895.17</v>
      </c>
      <c r="AE5" s="16">
        <f t="shared" si="0"/>
        <v>0</v>
      </c>
      <c r="AF5" s="16">
        <f t="shared" si="0"/>
        <v>0</v>
      </c>
      <c r="AG5" s="16">
        <f t="shared" si="0"/>
        <v>0</v>
      </c>
      <c r="AH5" s="16">
        <f t="shared" si="0"/>
        <v>646.92999999999995</v>
      </c>
      <c r="AI5" s="16">
        <f t="shared" si="0"/>
        <v>0</v>
      </c>
      <c r="AJ5" s="16">
        <f t="shared" si="0"/>
        <v>0</v>
      </c>
      <c r="AK5" s="16">
        <f t="shared" si="0"/>
        <v>0</v>
      </c>
      <c r="AL5" s="16">
        <f t="shared" si="0"/>
        <v>0</v>
      </c>
      <c r="AM5" s="16">
        <f t="shared" si="0"/>
        <v>0</v>
      </c>
      <c r="AN5" s="16">
        <f t="shared" si="0"/>
        <v>85.25</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39892.17</v>
      </c>
      <c r="BA5" s="18">
        <f t="shared" si="1"/>
        <v>39806.92</v>
      </c>
      <c r="BB5" s="18">
        <f t="shared" si="1"/>
        <v>0</v>
      </c>
      <c r="BC5" s="18">
        <f t="shared" si="1"/>
        <v>1968.35</v>
      </c>
      <c r="BD5" s="18">
        <f t="shared" si="1"/>
        <v>37838.57</v>
      </c>
      <c r="BE5" s="18">
        <f t="shared" si="1"/>
        <v>0</v>
      </c>
      <c r="BF5" s="18">
        <f t="shared" si="1"/>
        <v>0</v>
      </c>
      <c r="BG5" s="18">
        <f t="shared" si="1"/>
        <v>0</v>
      </c>
      <c r="BH5" s="18">
        <f t="shared" si="1"/>
        <v>0</v>
      </c>
      <c r="BI5" s="18">
        <f t="shared" si="1"/>
        <v>0</v>
      </c>
      <c r="BJ5" s="18">
        <f t="shared" si="1"/>
        <v>0</v>
      </c>
      <c r="BK5" s="18">
        <f t="shared" si="1"/>
        <v>0</v>
      </c>
      <c r="BL5" s="18">
        <f t="shared" si="1"/>
        <v>85.25</v>
      </c>
      <c r="BM5" s="18">
        <f t="shared" si="1"/>
        <v>0</v>
      </c>
      <c r="BN5" s="18">
        <f t="shared" si="1"/>
        <v>0</v>
      </c>
      <c r="BO5" s="18">
        <f t="shared" si="1"/>
        <v>0</v>
      </c>
      <c r="BP5" s="18">
        <f t="shared" si="1"/>
        <v>0</v>
      </c>
      <c r="BQ5" s="18">
        <f t="shared" si="1"/>
        <v>0</v>
      </c>
      <c r="BR5" s="18">
        <f t="shared" si="1"/>
        <v>85.25</v>
      </c>
      <c r="BS5" s="18">
        <f t="shared" si="1"/>
        <v>0</v>
      </c>
      <c r="BT5" s="19">
        <f t="shared" si="1"/>
        <v>0</v>
      </c>
    </row>
    <row r="6" spans="1:72" s="1744" customFormat="1" ht="12.75">
      <c r="A6" s="15" t="s">
        <v>1698</v>
      </c>
      <c r="B6" s="1741"/>
      <c r="C6" s="1741"/>
      <c r="D6" s="1742"/>
      <c r="E6" s="16">
        <f>H6+AC6+AT6</f>
        <v>61852</v>
      </c>
      <c r="F6" s="16" t="s">
        <v>1</v>
      </c>
      <c r="G6" s="16" t="s">
        <v>2</v>
      </c>
      <c r="H6" s="20">
        <f>SUMIF(I$12:AB$12,"总值",I6:AB6)</f>
        <v>59601.53</v>
      </c>
      <c r="I6" s="16">
        <f t="shared" ref="I6:AB6" si="2">ROUND($A$3*I5/$B$3,2)</f>
        <v>44012.63</v>
      </c>
      <c r="J6" s="16">
        <f t="shared" si="2"/>
        <v>0</v>
      </c>
      <c r="K6" s="16">
        <f t="shared" si="2"/>
        <v>2739.96</v>
      </c>
      <c r="L6" s="16">
        <f t="shared" si="2"/>
        <v>0</v>
      </c>
      <c r="M6" s="16">
        <f t="shared" si="2"/>
        <v>12848.94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2250.4699999999998</v>
      </c>
      <c r="AD6" s="16">
        <f t="shared" ref="AD6:AS6" si="3">ROUND($A$3*AD5/$B$3,2)</f>
        <v>2001.84</v>
      </c>
      <c r="AE6" s="16">
        <f t="shared" si="3"/>
        <v>0</v>
      </c>
      <c r="AF6" s="16">
        <f t="shared" si="3"/>
        <v>0</v>
      </c>
      <c r="AG6" s="16">
        <f t="shared" si="3"/>
        <v>0</v>
      </c>
      <c r="AH6" s="16">
        <f t="shared" si="3"/>
        <v>219.68</v>
      </c>
      <c r="AI6" s="16">
        <f t="shared" si="3"/>
        <v>0</v>
      </c>
      <c r="AJ6" s="16">
        <f t="shared" si="3"/>
        <v>0</v>
      </c>
      <c r="AK6" s="16">
        <f t="shared" si="3"/>
        <v>0</v>
      </c>
      <c r="AL6" s="16">
        <f t="shared" si="3"/>
        <v>0</v>
      </c>
      <c r="AM6" s="16">
        <f t="shared" si="3"/>
        <v>0</v>
      </c>
      <c r="AN6" s="16">
        <f t="shared" si="3"/>
        <v>28.95</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13546.29</v>
      </c>
      <c r="AZ6" s="16" t="s">
        <v>3</v>
      </c>
      <c r="BA6" s="16">
        <f>ROUND($AY$6*BA5/$AZ$5,2)</f>
        <v>13517.34</v>
      </c>
      <c r="BB6" s="16">
        <f>ROUND($AY$6*BB5/$AZ$5,2)</f>
        <v>0</v>
      </c>
      <c r="BC6" s="16">
        <f t="shared" ref="BC6:BH6" si="4">ROUND($AY$6*BC5/$AZ$5,2)</f>
        <v>668.4</v>
      </c>
      <c r="BD6" s="16">
        <f t="shared" si="4"/>
        <v>12848.94</v>
      </c>
      <c r="BE6" s="16">
        <f t="shared" si="4"/>
        <v>0</v>
      </c>
      <c r="BF6" s="16">
        <f t="shared" si="4"/>
        <v>0</v>
      </c>
      <c r="BG6" s="16">
        <f t="shared" si="4"/>
        <v>0</v>
      </c>
      <c r="BH6" s="16">
        <f t="shared" si="4"/>
        <v>0</v>
      </c>
      <c r="BI6" s="16">
        <f t="shared" ref="BI6:BT6" si="5">ROUND($AY$6*BI5/$AZ$5,2)</f>
        <v>0</v>
      </c>
      <c r="BJ6" s="16">
        <f t="shared" si="5"/>
        <v>0</v>
      </c>
      <c r="BK6" s="16">
        <f t="shared" si="5"/>
        <v>0</v>
      </c>
      <c r="BL6" s="16">
        <f t="shared" si="5"/>
        <v>28.95</v>
      </c>
      <c r="BM6" s="16">
        <f t="shared" si="5"/>
        <v>0</v>
      </c>
      <c r="BN6" s="16">
        <f t="shared" si="5"/>
        <v>0</v>
      </c>
      <c r="BO6" s="16">
        <f t="shared" si="5"/>
        <v>0</v>
      </c>
      <c r="BP6" s="16">
        <f t="shared" si="5"/>
        <v>0</v>
      </c>
      <c r="BQ6" s="16">
        <f t="shared" si="5"/>
        <v>0</v>
      </c>
      <c r="BR6" s="16">
        <f t="shared" si="5"/>
        <v>28.95</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3356</v>
      </c>
      <c r="J9" s="918"/>
      <c r="K9" s="1758" t="s">
        <v>3356</v>
      </c>
      <c r="L9" s="918"/>
      <c r="M9" s="1758" t="s">
        <v>3358</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3359</v>
      </c>
      <c r="J10" s="918"/>
      <c r="K10" s="1764" t="s">
        <v>1283</v>
      </c>
      <c r="L10" s="918"/>
      <c r="M10" s="1764" t="s">
        <v>3360</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3361</v>
      </c>
      <c r="J11" s="1770"/>
      <c r="K11" s="1769" t="s">
        <v>3357</v>
      </c>
      <c r="L11" s="1770"/>
      <c r="M11" s="1769" t="s">
        <v>3360</v>
      </c>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住宅</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平层住宅</v>
      </c>
      <c r="BC12" s="1779" t="str">
        <f>K11</f>
        <v>底商</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c r="A13" s="1182"/>
      <c r="B13" s="1182"/>
      <c r="C13" s="3255">
        <f>规证!A3</f>
        <v>1</v>
      </c>
      <c r="D13" s="1780" t="s">
        <v>3355</v>
      </c>
      <c r="E13" s="16">
        <f>IF($C$3="是",ROUND($A$3*G13/$B$3,2),ROUND($A$3*(G13-AT13)/$B$3,2))</f>
        <v>4097.5600000000004</v>
      </c>
      <c r="F13" s="32"/>
      <c r="G13" s="33">
        <f>H13+AC13+AT13</f>
        <v>12066.81</v>
      </c>
      <c r="H13" s="20">
        <f>SUMIF(I$12:AB$12,"总值",I13:AB13)</f>
        <v>11680.96</v>
      </c>
      <c r="I13" s="1781">
        <f>规证!E3</f>
        <v>11680.96</v>
      </c>
      <c r="J13" s="1781"/>
      <c r="K13" s="39"/>
      <c r="L13" s="1781"/>
      <c r="M13" s="1781"/>
      <c r="N13" s="1781"/>
      <c r="O13" s="1781"/>
      <c r="P13" s="1781"/>
      <c r="Q13" s="1781"/>
      <c r="R13" s="1781"/>
      <c r="S13" s="1781"/>
      <c r="T13" s="1781"/>
      <c r="U13" s="1781"/>
      <c r="V13" s="1781"/>
      <c r="W13" s="1781"/>
      <c r="X13" s="1781"/>
      <c r="Y13" s="1781"/>
      <c r="Z13" s="1781"/>
      <c r="AA13" s="1781"/>
      <c r="AB13" s="1781"/>
      <c r="AC13" s="16">
        <f>SUMIF(AD$12:AS$12,"总值",AD13:AS13)</f>
        <v>385.85</v>
      </c>
      <c r="AD13" s="1782">
        <f>规证!G3+规证!I3</f>
        <v>385.85</v>
      </c>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1</v>
      </c>
      <c r="AY13" s="15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c r="A14" s="1182"/>
      <c r="B14" s="1182"/>
      <c r="C14" s="3255">
        <f>规证!A4</f>
        <v>2</v>
      </c>
      <c r="D14" s="1780" t="s">
        <v>3355</v>
      </c>
      <c r="E14" s="16">
        <f>IF($C$3="是",ROUND($A$3*G14/$B$3,2),ROUND($A$3*(G14-AT14)/$B$3,2))</f>
        <v>4048.19</v>
      </c>
      <c r="F14" s="32"/>
      <c r="G14" s="33">
        <f>H14+AC14+AT14</f>
        <v>11921.42</v>
      </c>
      <c r="H14" s="20">
        <f>SUMIF(I$12:AB$12,"总值",I14:AB14)</f>
        <v>11680.960000000001</v>
      </c>
      <c r="I14" s="1781">
        <f>规证!E4</f>
        <v>11680.960000000001</v>
      </c>
      <c r="J14" s="39"/>
      <c r="K14" s="39"/>
      <c r="L14" s="39"/>
      <c r="M14" s="1781"/>
      <c r="N14" s="39"/>
      <c r="O14" s="1781"/>
      <c r="P14" s="1781"/>
      <c r="Q14" s="1781"/>
      <c r="R14" s="1781"/>
      <c r="S14" s="1781"/>
      <c r="T14" s="1781"/>
      <c r="U14" s="1781"/>
      <c r="V14" s="1781"/>
      <c r="W14" s="1781"/>
      <c r="X14" s="1781"/>
      <c r="Y14" s="1781"/>
      <c r="Z14" s="1781"/>
      <c r="AA14" s="1781"/>
      <c r="AB14" s="1781"/>
      <c r="AC14" s="16">
        <f>SUMIF(AD$12:AS$12,"总值",AD14:AS14)</f>
        <v>240.46</v>
      </c>
      <c r="AD14" s="1782">
        <f>规证!G4+规证!I4</f>
        <v>240.46</v>
      </c>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2</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c r="A15" s="1182"/>
      <c r="B15" s="1182"/>
      <c r="C15" s="3255">
        <f>规证!A5</f>
        <v>3</v>
      </c>
      <c r="D15" s="1780" t="s">
        <v>3355</v>
      </c>
      <c r="E15" s="16">
        <f>IF($C$3="是",ROUND($A$3*G15/$B$3,2),ROUND($A$3*(G15-AT15)/$B$3,2))</f>
        <v>4536.49</v>
      </c>
      <c r="F15" s="32"/>
      <c r="G15" s="33">
        <f>H15+AC15+AT15</f>
        <v>13359.42</v>
      </c>
      <c r="H15" s="20">
        <f>SUMIF(I$12:AB$12,"总值",I15:AB15)</f>
        <v>13359.42</v>
      </c>
      <c r="I15" s="1781">
        <f>规证!E5</f>
        <v>13359.42</v>
      </c>
      <c r="J15" s="39"/>
      <c r="K15" s="39"/>
      <c r="L15" s="39"/>
      <c r="M15" s="1781"/>
      <c r="N15" s="39"/>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3</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c r="A16" s="1182">
        <v>1</v>
      </c>
      <c r="B16" s="1182"/>
      <c r="C16" s="3256">
        <f>规证!A6</f>
        <v>5</v>
      </c>
      <c r="D16" s="1780" t="s">
        <v>3355</v>
      </c>
      <c r="E16" s="16">
        <f>IF($C$3="是",ROUND($A$3*G16/$B$3,2),ROUND($A$3*(G16-AT16)/$B$3,2))</f>
        <v>4536.49</v>
      </c>
      <c r="F16" s="32"/>
      <c r="G16" s="33">
        <f>H16+AC16+AT16</f>
        <v>13359.42</v>
      </c>
      <c r="H16" s="20">
        <f>SUMIF(I$12:AB$12,"总值",I16:AB16)</f>
        <v>13359.42</v>
      </c>
      <c r="I16" s="1781">
        <f>规证!E6</f>
        <v>13359.42</v>
      </c>
      <c r="J16" s="39"/>
      <c r="K16" s="1781"/>
      <c r="L16" s="39"/>
      <c r="M16" s="1781"/>
      <c r="N16" s="39"/>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1</v>
      </c>
      <c r="AW16" s="11">
        <f t="shared" si="6"/>
        <v>0</v>
      </c>
      <c r="AX16" s="11">
        <f t="shared" si="6"/>
        <v>5</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c r="A17" s="1182">
        <v>2</v>
      </c>
      <c r="B17" s="1182"/>
      <c r="C17" s="3256">
        <f>规证!A7</f>
        <v>6</v>
      </c>
      <c r="D17" s="1780" t="s">
        <v>3355</v>
      </c>
      <c r="E17" s="16">
        <f>IF($C$3="是",ROUND($A$3*G17/$B$3,2),ROUND($A$3*(G17-AT17)/$B$3,2))</f>
        <v>4540.95</v>
      </c>
      <c r="F17" s="32"/>
      <c r="G17" s="33">
        <f>H17+AC17+AT17</f>
        <v>13372.56</v>
      </c>
      <c r="H17" s="20">
        <f>SUMIF(I$12:AB$12,"总值",I17:AB17)</f>
        <v>12986.73</v>
      </c>
      <c r="I17" s="1781">
        <f>规证!E7</f>
        <v>12986.73</v>
      </c>
      <c r="J17" s="39"/>
      <c r="K17" s="1781"/>
      <c r="L17" s="39"/>
      <c r="M17" s="1781"/>
      <c r="N17" s="39"/>
      <c r="O17" s="1781"/>
      <c r="P17" s="1781"/>
      <c r="Q17" s="1781"/>
      <c r="R17" s="1781"/>
      <c r="S17" s="1781"/>
      <c r="T17" s="1781"/>
      <c r="U17" s="1781"/>
      <c r="V17" s="1781"/>
      <c r="W17" s="1781"/>
      <c r="X17" s="1781"/>
      <c r="Y17" s="1781"/>
      <c r="Z17" s="1781"/>
      <c r="AA17" s="1781"/>
      <c r="AB17" s="1781"/>
      <c r="AC17" s="16">
        <f>SUMIF(AD$12:AS$12,"总值",AD17:AS17)</f>
        <v>385.83</v>
      </c>
      <c r="AD17" s="1782">
        <f>规证!G7+规证!I7</f>
        <v>385.83</v>
      </c>
      <c r="AE17" s="1782"/>
      <c r="AF17" s="1782"/>
      <c r="AG17" s="1782"/>
      <c r="AH17" s="1782"/>
      <c r="AI17" s="1782"/>
      <c r="AJ17" s="1782"/>
      <c r="AK17" s="1782"/>
      <c r="AL17" s="1782"/>
      <c r="AM17" s="1782"/>
      <c r="AN17" s="1782"/>
      <c r="AO17" s="1782"/>
      <c r="AP17" s="1782"/>
      <c r="AQ17" s="1782"/>
      <c r="AR17" s="1782"/>
      <c r="AS17" s="1782"/>
      <c r="AT17" s="1783"/>
      <c r="AU17" s="1784"/>
      <c r="AV17" s="11">
        <f t="shared" si="6"/>
        <v>2</v>
      </c>
      <c r="AW17" s="11">
        <f t="shared" si="6"/>
        <v>0</v>
      </c>
      <c r="AX17" s="11">
        <f t="shared" si="6"/>
        <v>6</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5</v>
      </c>
      <c r="B18" s="34"/>
      <c r="C18" s="3255">
        <f>规证!A8</f>
        <v>7</v>
      </c>
      <c r="D18" s="1780" t="s">
        <v>3355</v>
      </c>
      <c r="E18" s="35">
        <f t="shared" ref="E18:E112" si="7">IF($C$3="是",ROUND($A$3*G18/$B$3,2),ROUND($A$3*(G18-AT18)/$B$3,2))</f>
        <v>4213.7700000000004</v>
      </c>
      <c r="F18" s="36"/>
      <c r="G18" s="37">
        <f t="shared" ref="G18:G109" si="8">H18+AC18+AT18</f>
        <v>12409.045</v>
      </c>
      <c r="H18" s="38">
        <f t="shared" ref="H18:H109" si="9">SUMIF(I$12:AB$12,"总值",I18:AB18)</f>
        <v>12409.045</v>
      </c>
      <c r="I18" s="1781">
        <f>规证!E8</f>
        <v>12409.045</v>
      </c>
      <c r="J18" s="39"/>
      <c r="K18" s="1781"/>
      <c r="L18" s="39"/>
      <c r="M18" s="1781"/>
      <c r="N18" s="39"/>
      <c r="O18" s="39"/>
      <c r="P18" s="39"/>
      <c r="Q18" s="39"/>
      <c r="R18" s="39"/>
      <c r="S18" s="39"/>
      <c r="T18" s="39"/>
      <c r="U18" s="39"/>
      <c r="V18" s="39"/>
      <c r="W18" s="39"/>
      <c r="X18" s="39"/>
      <c r="Y18" s="39"/>
      <c r="Z18" s="39"/>
      <c r="AA18" s="39"/>
      <c r="AB18" s="39"/>
      <c r="AC18" s="35">
        <f t="shared" ref="AC18:AC109" si="10">SUMIF(AD$12:AS$12,"总值",AD18:AS18)</f>
        <v>0</v>
      </c>
      <c r="AD18" s="1782"/>
      <c r="AE18" s="40"/>
      <c r="AF18" s="1782"/>
      <c r="AG18" s="40"/>
      <c r="AH18" s="1782"/>
      <c r="AI18" s="40"/>
      <c r="AJ18" s="40"/>
      <c r="AK18" s="40"/>
      <c r="AL18" s="40"/>
      <c r="AM18" s="40"/>
      <c r="AN18" s="40"/>
      <c r="AO18" s="40"/>
      <c r="AP18" s="40"/>
      <c r="AQ18" s="40"/>
      <c r="AR18" s="40"/>
      <c r="AS18" s="40"/>
      <c r="AT18" s="41"/>
      <c r="AU18" s="1786"/>
      <c r="AV18" s="1497">
        <f t="shared" ref="AV18:AV112" si="11">A18</f>
        <v>5</v>
      </c>
      <c r="AW18" s="1497">
        <f t="shared" ref="AW18:AW112" si="12">B18</f>
        <v>0</v>
      </c>
      <c r="AX18" s="1497">
        <f t="shared" ref="AX18:AX112" si="13">C18</f>
        <v>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6</v>
      </c>
      <c r="B19" s="34"/>
      <c r="C19" s="3255">
        <f>规证!A9</f>
        <v>8</v>
      </c>
      <c r="D19" s="1780" t="s">
        <v>3355</v>
      </c>
      <c r="E19" s="35">
        <f t="shared" si="7"/>
        <v>4217.01</v>
      </c>
      <c r="F19" s="36"/>
      <c r="G19" s="37">
        <f t="shared" si="8"/>
        <v>12418.59</v>
      </c>
      <c r="H19" s="38">
        <f t="shared" si="9"/>
        <v>12067.11</v>
      </c>
      <c r="I19" s="1781">
        <f>规证!E9</f>
        <v>12067.11</v>
      </c>
      <c r="J19" s="39"/>
      <c r="K19" s="1781"/>
      <c r="L19" s="39"/>
      <c r="M19" s="1781"/>
      <c r="N19" s="39"/>
      <c r="O19" s="39"/>
      <c r="P19" s="39"/>
      <c r="Q19" s="39"/>
      <c r="R19" s="39"/>
      <c r="S19" s="39"/>
      <c r="T19" s="39"/>
      <c r="U19" s="39"/>
      <c r="V19" s="39"/>
      <c r="W19" s="39"/>
      <c r="X19" s="39"/>
      <c r="Y19" s="39"/>
      <c r="Z19" s="39"/>
      <c r="AA19" s="39"/>
      <c r="AB19" s="39"/>
      <c r="AC19" s="35">
        <f t="shared" si="10"/>
        <v>351.48</v>
      </c>
      <c r="AD19" s="1782">
        <f>规证!G9+规证!I9</f>
        <v>351.48</v>
      </c>
      <c r="AE19" s="40"/>
      <c r="AF19" s="1782"/>
      <c r="AG19" s="40"/>
      <c r="AH19" s="1782"/>
      <c r="AI19" s="40"/>
      <c r="AJ19" s="40"/>
      <c r="AK19" s="40"/>
      <c r="AL19" s="40"/>
      <c r="AM19" s="40"/>
      <c r="AN19" s="40"/>
      <c r="AO19" s="40"/>
      <c r="AP19" s="40"/>
      <c r="AQ19" s="40"/>
      <c r="AR19" s="40"/>
      <c r="AS19" s="40"/>
      <c r="AT19" s="41"/>
      <c r="AU19" s="1786"/>
      <c r="AV19" s="1497">
        <f t="shared" si="11"/>
        <v>6</v>
      </c>
      <c r="AW19" s="1497">
        <f t="shared" si="12"/>
        <v>0</v>
      </c>
      <c r="AX19" s="1497">
        <f t="shared" si="13"/>
        <v>8</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v>9</v>
      </c>
      <c r="B20" s="34"/>
      <c r="C20" s="3256">
        <f>规证!A10</f>
        <v>9</v>
      </c>
      <c r="D20" s="1780" t="s">
        <v>3355</v>
      </c>
      <c r="E20" s="35">
        <f t="shared" si="7"/>
        <v>4217.42</v>
      </c>
      <c r="F20" s="36"/>
      <c r="G20" s="37">
        <f t="shared" si="8"/>
        <v>12419.78</v>
      </c>
      <c r="H20" s="38">
        <f t="shared" si="9"/>
        <v>12067.11</v>
      </c>
      <c r="I20" s="1781">
        <f>规证!E10</f>
        <v>12067.11</v>
      </c>
      <c r="J20" s="39"/>
      <c r="K20" s="1781"/>
      <c r="L20" s="39"/>
      <c r="M20" s="1781"/>
      <c r="N20" s="39"/>
      <c r="O20" s="39"/>
      <c r="P20" s="39"/>
      <c r="Q20" s="39"/>
      <c r="R20" s="39"/>
      <c r="S20" s="39"/>
      <c r="T20" s="39"/>
      <c r="U20" s="39"/>
      <c r="V20" s="39"/>
      <c r="W20" s="39"/>
      <c r="X20" s="39"/>
      <c r="Y20" s="39"/>
      <c r="Z20" s="39"/>
      <c r="AA20" s="39"/>
      <c r="AB20" s="39"/>
      <c r="AC20" s="35">
        <f t="shared" si="10"/>
        <v>352.67</v>
      </c>
      <c r="AD20" s="1782">
        <f>规证!G10+规证!I10</f>
        <v>352.67</v>
      </c>
      <c r="AE20" s="40"/>
      <c r="AF20" s="1782"/>
      <c r="AG20" s="40"/>
      <c r="AH20" s="1782"/>
      <c r="AI20" s="40"/>
      <c r="AJ20" s="40"/>
      <c r="AK20" s="40"/>
      <c r="AL20" s="40"/>
      <c r="AM20" s="40"/>
      <c r="AN20" s="40"/>
      <c r="AO20" s="40"/>
      <c r="AP20" s="40"/>
      <c r="AQ20" s="40"/>
      <c r="AR20" s="40"/>
      <c r="AS20" s="40"/>
      <c r="AT20" s="41"/>
      <c r="AU20" s="1786"/>
      <c r="AV20" s="1497">
        <f t="shared" si="11"/>
        <v>9</v>
      </c>
      <c r="AW20" s="1497">
        <f t="shared" si="12"/>
        <v>0</v>
      </c>
      <c r="AX20" s="1497">
        <f t="shared" si="13"/>
        <v>9</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10</v>
      </c>
      <c r="B21" s="34"/>
      <c r="C21" s="3256">
        <f>规证!A11</f>
        <v>10</v>
      </c>
      <c r="D21" s="1780" t="s">
        <v>3355</v>
      </c>
      <c r="E21" s="35">
        <f t="shared" si="7"/>
        <v>5022.91</v>
      </c>
      <c r="F21" s="36"/>
      <c r="G21" s="37">
        <f t="shared" si="8"/>
        <v>14791.865</v>
      </c>
      <c r="H21" s="38">
        <f t="shared" si="9"/>
        <v>14688.264999999999</v>
      </c>
      <c r="I21" s="1781">
        <f>规证!E11</f>
        <v>14688.264999999999</v>
      </c>
      <c r="J21" s="39"/>
      <c r="K21" s="1781"/>
      <c r="L21" s="39"/>
      <c r="M21" s="1781"/>
      <c r="N21" s="39"/>
      <c r="O21" s="39"/>
      <c r="P21" s="39"/>
      <c r="Q21" s="39"/>
      <c r="R21" s="39"/>
      <c r="S21" s="39"/>
      <c r="T21" s="39"/>
      <c r="U21" s="39"/>
      <c r="V21" s="39"/>
      <c r="W21" s="39"/>
      <c r="X21" s="39"/>
      <c r="Y21" s="39"/>
      <c r="Z21" s="39"/>
      <c r="AA21" s="39"/>
      <c r="AB21" s="39"/>
      <c r="AC21" s="35">
        <f t="shared" si="10"/>
        <v>103.6</v>
      </c>
      <c r="AD21" s="1782"/>
      <c r="AE21" s="40"/>
      <c r="AF21" s="1782"/>
      <c r="AG21" s="40"/>
      <c r="AH21" s="1782">
        <f>规证!H11</f>
        <v>103.6</v>
      </c>
      <c r="AI21" s="40"/>
      <c r="AJ21" s="40"/>
      <c r="AK21" s="40"/>
      <c r="AL21" s="40"/>
      <c r="AM21" s="40"/>
      <c r="AN21" s="40"/>
      <c r="AO21" s="40"/>
      <c r="AP21" s="40"/>
      <c r="AQ21" s="40"/>
      <c r="AR21" s="40"/>
      <c r="AS21" s="40"/>
      <c r="AT21" s="41"/>
      <c r="AU21" s="1786"/>
      <c r="AV21" s="1497">
        <f t="shared" si="11"/>
        <v>10</v>
      </c>
      <c r="AW21" s="1497">
        <f t="shared" si="12"/>
        <v>0</v>
      </c>
      <c r="AX21" s="1497">
        <f t="shared" si="13"/>
        <v>10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v>11</v>
      </c>
      <c r="B22" s="34"/>
      <c r="C22" s="3256">
        <f>规证!A12</f>
        <v>11</v>
      </c>
      <c r="D22" s="1780" t="s">
        <v>3355</v>
      </c>
      <c r="E22" s="35">
        <f t="shared" si="7"/>
        <v>5581.3</v>
      </c>
      <c r="F22" s="36"/>
      <c r="G22" s="37">
        <f t="shared" si="8"/>
        <v>16436.259999999998</v>
      </c>
      <c r="H22" s="38">
        <f t="shared" si="9"/>
        <v>15312.859999999997</v>
      </c>
      <c r="I22" s="1781">
        <f>规证!E12</f>
        <v>15312.859999999997</v>
      </c>
      <c r="J22" s="39"/>
      <c r="K22" s="1781"/>
      <c r="L22" s="39"/>
      <c r="M22" s="1781"/>
      <c r="N22" s="39"/>
      <c r="O22" s="39"/>
      <c r="P22" s="39"/>
      <c r="Q22" s="39"/>
      <c r="R22" s="39"/>
      <c r="S22" s="39"/>
      <c r="T22" s="39"/>
      <c r="U22" s="39"/>
      <c r="V22" s="39"/>
      <c r="W22" s="39"/>
      <c r="X22" s="39"/>
      <c r="Y22" s="39"/>
      <c r="Z22" s="39"/>
      <c r="AA22" s="39"/>
      <c r="AB22" s="39"/>
      <c r="AC22" s="35">
        <f t="shared" si="10"/>
        <v>1123.4000000000001</v>
      </c>
      <c r="AD22" s="1782">
        <f>规证!G12+规证!I12</f>
        <v>888.95</v>
      </c>
      <c r="AE22" s="40"/>
      <c r="AF22" s="1782"/>
      <c r="AG22" s="40"/>
      <c r="AH22" s="1782">
        <f>规证!H12</f>
        <v>234.45</v>
      </c>
      <c r="AI22" s="40"/>
      <c r="AJ22" s="40"/>
      <c r="AK22" s="40"/>
      <c r="AL22" s="40"/>
      <c r="AM22" s="40"/>
      <c r="AN22" s="40"/>
      <c r="AO22" s="40"/>
      <c r="AP22" s="40"/>
      <c r="AQ22" s="40"/>
      <c r="AR22" s="40"/>
      <c r="AS22" s="40"/>
      <c r="AT22" s="41"/>
      <c r="AU22" s="1786"/>
      <c r="AV22" s="1497">
        <f t="shared" si="11"/>
        <v>11</v>
      </c>
      <c r="AW22" s="1497">
        <f t="shared" si="12"/>
        <v>0</v>
      </c>
      <c r="AX22" s="1497">
        <f t="shared" si="13"/>
        <v>11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t="s">
        <v>3376</v>
      </c>
      <c r="B23" s="34"/>
      <c r="C23" s="3256" t="str">
        <f>规证!A13</f>
        <v>S1</v>
      </c>
      <c r="D23" s="1780" t="s">
        <v>3354</v>
      </c>
      <c r="E23" s="35">
        <f t="shared" si="7"/>
        <v>161.63999999999999</v>
      </c>
      <c r="F23" s="36"/>
      <c r="G23" s="37">
        <f t="shared" si="8"/>
        <v>476</v>
      </c>
      <c r="H23" s="38">
        <f t="shared" si="9"/>
        <v>476</v>
      </c>
      <c r="I23" s="1781"/>
      <c r="J23" s="39"/>
      <c r="K23" s="1781">
        <f>规证!F13</f>
        <v>476</v>
      </c>
      <c r="L23" s="39"/>
      <c r="M23" s="1781"/>
      <c r="N23" s="39"/>
      <c r="O23" s="39"/>
      <c r="P23" s="39"/>
      <c r="Q23" s="39"/>
      <c r="R23" s="39"/>
      <c r="S23" s="39"/>
      <c r="T23" s="39"/>
      <c r="U23" s="39"/>
      <c r="V23" s="39"/>
      <c r="W23" s="39"/>
      <c r="X23" s="39"/>
      <c r="Y23" s="39"/>
      <c r="Z23" s="39"/>
      <c r="AA23" s="39"/>
      <c r="AB23" s="39"/>
      <c r="AC23" s="35">
        <f t="shared" si="10"/>
        <v>0</v>
      </c>
      <c r="AD23" s="1782"/>
      <c r="AE23" s="40"/>
      <c r="AF23" s="1782"/>
      <c r="AG23" s="40"/>
      <c r="AH23" s="1782"/>
      <c r="AI23" s="40"/>
      <c r="AJ23" s="40"/>
      <c r="AK23" s="40"/>
      <c r="AL23" s="40"/>
      <c r="AM23" s="40"/>
      <c r="AN23" s="40"/>
      <c r="AO23" s="40"/>
      <c r="AP23" s="40"/>
      <c r="AQ23" s="40"/>
      <c r="AR23" s="40"/>
      <c r="AS23" s="40"/>
      <c r="AT23" s="41"/>
      <c r="AU23" s="1786"/>
      <c r="AV23" s="1497" t="str">
        <f t="shared" si="11"/>
        <v>S1</v>
      </c>
      <c r="AW23" s="1497">
        <f t="shared" si="12"/>
        <v>0</v>
      </c>
      <c r="AX23" s="1497" t="str">
        <f t="shared" si="13"/>
        <v>S1</v>
      </c>
      <c r="AY23" s="42">
        <f t="shared" si="14"/>
        <v>161.63999999999999</v>
      </c>
      <c r="AZ23" s="35">
        <f t="shared" si="15"/>
        <v>476</v>
      </c>
      <c r="BA23" s="35">
        <f t="shared" si="16"/>
        <v>476</v>
      </c>
      <c r="BB23" s="35">
        <f t="shared" si="17"/>
        <v>0</v>
      </c>
      <c r="BC23" s="35">
        <f t="shared" si="18"/>
        <v>476</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t="s">
        <v>3377</v>
      </c>
      <c r="B24" s="34"/>
      <c r="C24" s="3256" t="str">
        <f>规证!A14</f>
        <v>S2</v>
      </c>
      <c r="D24" s="1780" t="s">
        <v>3355</v>
      </c>
      <c r="E24" s="35">
        <f t="shared" si="7"/>
        <v>582.20000000000005</v>
      </c>
      <c r="F24" s="36"/>
      <c r="G24" s="37">
        <f t="shared" si="8"/>
        <v>1714.5</v>
      </c>
      <c r="H24" s="38">
        <f t="shared" si="9"/>
        <v>1714.5</v>
      </c>
      <c r="I24" s="1781"/>
      <c r="J24" s="39"/>
      <c r="K24" s="1781">
        <f>规证!F14</f>
        <v>1714.5</v>
      </c>
      <c r="L24" s="39"/>
      <c r="M24" s="1781"/>
      <c r="N24" s="39"/>
      <c r="O24" s="39"/>
      <c r="P24" s="39"/>
      <c r="Q24" s="39"/>
      <c r="R24" s="39"/>
      <c r="S24" s="39"/>
      <c r="T24" s="39"/>
      <c r="U24" s="39"/>
      <c r="V24" s="39"/>
      <c r="W24" s="39"/>
      <c r="X24" s="39"/>
      <c r="Y24" s="39"/>
      <c r="Z24" s="39"/>
      <c r="AA24" s="39"/>
      <c r="AB24" s="39"/>
      <c r="AC24" s="35">
        <f t="shared" si="10"/>
        <v>0</v>
      </c>
      <c r="AD24" s="1782"/>
      <c r="AE24" s="40"/>
      <c r="AF24" s="1782"/>
      <c r="AG24" s="40"/>
      <c r="AH24" s="1782"/>
      <c r="AI24" s="40"/>
      <c r="AJ24" s="40"/>
      <c r="AK24" s="40"/>
      <c r="AL24" s="40"/>
      <c r="AM24" s="40"/>
      <c r="AN24" s="40"/>
      <c r="AO24" s="40"/>
      <c r="AP24" s="40"/>
      <c r="AQ24" s="40"/>
      <c r="AR24" s="40"/>
      <c r="AS24" s="40"/>
      <c r="AT24" s="41"/>
      <c r="AU24" s="1786"/>
      <c r="AV24" s="1497" t="str">
        <f t="shared" si="11"/>
        <v>S2</v>
      </c>
      <c r="AW24" s="1497">
        <f t="shared" si="12"/>
        <v>0</v>
      </c>
      <c r="AX24" s="1497" t="str">
        <f t="shared" si="13"/>
        <v>S2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t="s">
        <v>3363</v>
      </c>
      <c r="B25" s="34"/>
      <c r="C25" s="3255" t="str">
        <f>规证!A15</f>
        <v>S3</v>
      </c>
      <c r="D25" s="1780" t="s">
        <v>3355</v>
      </c>
      <c r="E25" s="35">
        <f t="shared" si="7"/>
        <v>744.68</v>
      </c>
      <c r="F25" s="36"/>
      <c r="G25" s="37">
        <f t="shared" si="8"/>
        <v>2193</v>
      </c>
      <c r="H25" s="38">
        <f t="shared" si="9"/>
        <v>2193</v>
      </c>
      <c r="I25" s="1781"/>
      <c r="J25" s="39"/>
      <c r="K25" s="1781">
        <f>规证!F15</f>
        <v>2193</v>
      </c>
      <c r="L25" s="39"/>
      <c r="M25" s="1781"/>
      <c r="N25" s="39"/>
      <c r="O25" s="39"/>
      <c r="P25" s="39"/>
      <c r="Q25" s="39"/>
      <c r="R25" s="39"/>
      <c r="S25" s="39"/>
      <c r="T25" s="39"/>
      <c r="U25" s="39"/>
      <c r="V25" s="39"/>
      <c r="W25" s="39"/>
      <c r="X25" s="39"/>
      <c r="Y25" s="39"/>
      <c r="Z25" s="39"/>
      <c r="AA25" s="39"/>
      <c r="AB25" s="39"/>
      <c r="AC25" s="35">
        <f t="shared" si="10"/>
        <v>0</v>
      </c>
      <c r="AD25" s="1782"/>
      <c r="AE25" s="40"/>
      <c r="AF25" s="1782"/>
      <c r="AG25" s="40"/>
      <c r="AH25" s="1782"/>
      <c r="AI25" s="40"/>
      <c r="AJ25" s="40"/>
      <c r="AK25" s="40"/>
      <c r="AL25" s="40"/>
      <c r="AM25" s="40"/>
      <c r="AN25" s="40"/>
      <c r="AO25" s="40"/>
      <c r="AP25" s="40"/>
      <c r="AQ25" s="40"/>
      <c r="AR25" s="40"/>
      <c r="AS25" s="40"/>
      <c r="AT25" s="41"/>
      <c r="AU25" s="1786"/>
      <c r="AV25" s="1497" t="str">
        <f t="shared" si="11"/>
        <v>地下室</v>
      </c>
      <c r="AW25" s="1497">
        <f t="shared" si="12"/>
        <v>0</v>
      </c>
      <c r="AX25" s="1497" t="str">
        <f t="shared" si="13"/>
        <v>S3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5" t="str">
        <f>规证!A16</f>
        <v>S5</v>
      </c>
      <c r="D26" s="1780" t="s">
        <v>3355</v>
      </c>
      <c r="E26" s="35">
        <f t="shared" si="7"/>
        <v>744.68</v>
      </c>
      <c r="F26" s="36"/>
      <c r="G26" s="37">
        <f t="shared" si="8"/>
        <v>2193</v>
      </c>
      <c r="H26" s="38">
        <f t="shared" si="9"/>
        <v>2193</v>
      </c>
      <c r="I26" s="1781"/>
      <c r="J26" s="39"/>
      <c r="K26" s="1781">
        <f>规证!F16</f>
        <v>2193</v>
      </c>
      <c r="L26" s="39"/>
      <c r="M26" s="1781"/>
      <c r="N26" s="39"/>
      <c r="O26" s="39"/>
      <c r="P26" s="39"/>
      <c r="Q26" s="39"/>
      <c r="R26" s="39"/>
      <c r="S26" s="39"/>
      <c r="T26" s="39"/>
      <c r="U26" s="39"/>
      <c r="V26" s="39"/>
      <c r="W26" s="39"/>
      <c r="X26" s="39"/>
      <c r="Y26" s="39"/>
      <c r="Z26" s="39"/>
      <c r="AA26" s="39"/>
      <c r="AB26" s="39"/>
      <c r="AC26" s="35">
        <f t="shared" si="10"/>
        <v>0</v>
      </c>
      <c r="AD26" s="1782"/>
      <c r="AE26" s="40"/>
      <c r="AF26" s="1782"/>
      <c r="AG26" s="40"/>
      <c r="AH26" s="1782"/>
      <c r="AI26" s="40"/>
      <c r="AJ26" s="40"/>
      <c r="AK26" s="40"/>
      <c r="AL26" s="40"/>
      <c r="AM26" s="40"/>
      <c r="AN26" s="40"/>
      <c r="AO26" s="40"/>
      <c r="AP26" s="40"/>
      <c r="AQ26" s="40"/>
      <c r="AR26" s="40"/>
      <c r="AS26" s="40"/>
      <c r="AT26" s="41"/>
      <c r="AU26" s="1786"/>
      <c r="AV26" s="1497">
        <f t="shared" si="11"/>
        <v>0</v>
      </c>
      <c r="AW26" s="1497">
        <f t="shared" si="12"/>
        <v>0</v>
      </c>
      <c r="AX26" s="1497" t="str">
        <f t="shared" si="13"/>
        <v>S5</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5" t="str">
        <f>规证!A17</f>
        <v>P1</v>
      </c>
      <c r="D27" s="1780" t="s">
        <v>3355</v>
      </c>
      <c r="E27" s="35">
        <f t="shared" si="7"/>
        <v>203.98</v>
      </c>
      <c r="F27" s="36"/>
      <c r="G27" s="37">
        <f t="shared" si="8"/>
        <v>600.70000000000005</v>
      </c>
      <c r="H27" s="38">
        <f t="shared" si="9"/>
        <v>0</v>
      </c>
      <c r="I27" s="1781"/>
      <c r="J27" s="39"/>
      <c r="K27" s="1781"/>
      <c r="L27" s="39"/>
      <c r="M27" s="1781"/>
      <c r="N27" s="39"/>
      <c r="O27" s="39"/>
      <c r="P27" s="39"/>
      <c r="Q27" s="39"/>
      <c r="R27" s="39"/>
      <c r="S27" s="39"/>
      <c r="T27" s="39"/>
      <c r="U27" s="39"/>
      <c r="V27" s="39"/>
      <c r="W27" s="39"/>
      <c r="X27" s="39"/>
      <c r="Y27" s="39"/>
      <c r="Z27" s="39"/>
      <c r="AA27" s="39"/>
      <c r="AB27" s="39"/>
      <c r="AC27" s="35">
        <f t="shared" si="10"/>
        <v>600.70000000000005</v>
      </c>
      <c r="AD27" s="1782">
        <f>规证!G17+规证!I17</f>
        <v>600.70000000000005</v>
      </c>
      <c r="AE27" s="40"/>
      <c r="AF27" s="1782"/>
      <c r="AG27" s="40"/>
      <c r="AH27" s="1782"/>
      <c r="AI27" s="40"/>
      <c r="AJ27" s="40"/>
      <c r="AK27" s="40"/>
      <c r="AL27" s="40"/>
      <c r="AM27" s="40"/>
      <c r="AN27" s="40"/>
      <c r="AO27" s="40"/>
      <c r="AP27" s="40"/>
      <c r="AQ27" s="40"/>
      <c r="AR27" s="40"/>
      <c r="AS27" s="40"/>
      <c r="AT27" s="41"/>
      <c r="AU27" s="1786"/>
      <c r="AV27" s="1497">
        <f t="shared" si="11"/>
        <v>0</v>
      </c>
      <c r="AW27" s="1497">
        <f t="shared" si="12"/>
        <v>0</v>
      </c>
      <c r="AX27" s="1497" t="str">
        <f t="shared" si="13"/>
        <v>P1</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5" t="str">
        <f>规证!A18</f>
        <v>P2</v>
      </c>
      <c r="D28" s="1780" t="s">
        <v>3355</v>
      </c>
      <c r="E28" s="35">
        <f t="shared" si="7"/>
        <v>445.52</v>
      </c>
      <c r="F28" s="36"/>
      <c r="G28" s="37">
        <f t="shared" si="8"/>
        <v>1311.99</v>
      </c>
      <c r="H28" s="38">
        <f t="shared" si="9"/>
        <v>0</v>
      </c>
      <c r="I28" s="1781"/>
      <c r="J28" s="39"/>
      <c r="K28" s="1781"/>
      <c r="L28" s="39"/>
      <c r="M28" s="1781"/>
      <c r="N28" s="39"/>
      <c r="O28" s="39"/>
      <c r="P28" s="39"/>
      <c r="Q28" s="39"/>
      <c r="R28" s="39"/>
      <c r="S28" s="39"/>
      <c r="T28" s="39"/>
      <c r="U28" s="39"/>
      <c r="V28" s="39"/>
      <c r="W28" s="39"/>
      <c r="X28" s="39"/>
      <c r="Y28" s="39"/>
      <c r="Z28" s="39"/>
      <c r="AA28" s="39"/>
      <c r="AB28" s="39"/>
      <c r="AC28" s="35">
        <f t="shared" si="10"/>
        <v>1311.99</v>
      </c>
      <c r="AD28" s="1782">
        <f>规证!G18+规证!I18</f>
        <v>1311.99</v>
      </c>
      <c r="AE28" s="40"/>
      <c r="AF28" s="1782"/>
      <c r="AG28" s="40"/>
      <c r="AH28" s="1782"/>
      <c r="AI28" s="40"/>
      <c r="AJ28" s="40"/>
      <c r="AK28" s="40"/>
      <c r="AL28" s="40"/>
      <c r="AM28" s="40"/>
      <c r="AN28" s="40"/>
      <c r="AO28" s="40"/>
      <c r="AP28" s="40"/>
      <c r="AQ28" s="40"/>
      <c r="AR28" s="40"/>
      <c r="AS28" s="40"/>
      <c r="AT28" s="41"/>
      <c r="AU28" s="1786"/>
      <c r="AV28" s="1497">
        <f t="shared" si="11"/>
        <v>0</v>
      </c>
      <c r="AW28" s="1497">
        <f t="shared" si="12"/>
        <v>0</v>
      </c>
      <c r="AX28" s="1497" t="str">
        <f t="shared" si="13"/>
        <v>P2</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5" t="str">
        <f>规证!A19</f>
        <v>P3</v>
      </c>
      <c r="D29" s="1780" t="s">
        <v>3355</v>
      </c>
      <c r="E29" s="35">
        <f t="shared" si="7"/>
        <v>97.05</v>
      </c>
      <c r="F29" s="36"/>
      <c r="G29" s="37">
        <f t="shared" si="8"/>
        <v>285.81</v>
      </c>
      <c r="H29" s="38">
        <f t="shared" si="9"/>
        <v>0</v>
      </c>
      <c r="I29" s="1781"/>
      <c r="J29" s="39"/>
      <c r="K29" s="1781"/>
      <c r="L29" s="39"/>
      <c r="M29" s="1781"/>
      <c r="N29" s="39"/>
      <c r="O29" s="39"/>
      <c r="P29" s="39"/>
      <c r="Q29" s="39"/>
      <c r="R29" s="39"/>
      <c r="S29" s="39"/>
      <c r="T29" s="39"/>
      <c r="U29" s="39"/>
      <c r="V29" s="39"/>
      <c r="W29" s="39"/>
      <c r="X29" s="39"/>
      <c r="Y29" s="39"/>
      <c r="Z29" s="39"/>
      <c r="AA29" s="39"/>
      <c r="AB29" s="39"/>
      <c r="AC29" s="35">
        <f t="shared" si="10"/>
        <v>285.81</v>
      </c>
      <c r="AD29" s="1782"/>
      <c r="AE29" s="40"/>
      <c r="AF29" s="1782"/>
      <c r="AG29" s="40"/>
      <c r="AH29" s="1782">
        <f>规证!H19</f>
        <v>285.81</v>
      </c>
      <c r="AI29" s="40"/>
      <c r="AJ29" s="40"/>
      <c r="AK29" s="40"/>
      <c r="AL29" s="40"/>
      <c r="AM29" s="40"/>
      <c r="AN29" s="40"/>
      <c r="AO29" s="40"/>
      <c r="AP29" s="40"/>
      <c r="AQ29" s="40"/>
      <c r="AR29" s="40"/>
      <c r="AS29" s="40"/>
      <c r="AT29" s="41"/>
      <c r="AU29" s="1786"/>
      <c r="AV29" s="1497">
        <f t="shared" si="11"/>
        <v>0</v>
      </c>
      <c r="AW29" s="1497">
        <f t="shared" si="12"/>
        <v>0</v>
      </c>
      <c r="AX29" s="1497" t="str">
        <f t="shared" si="13"/>
        <v>P3</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5" t="str">
        <f>规证!A20</f>
        <v>P5</v>
      </c>
      <c r="D30" s="1780" t="s">
        <v>3355</v>
      </c>
      <c r="E30" s="35">
        <f t="shared" si="7"/>
        <v>234.41</v>
      </c>
      <c r="F30" s="36"/>
      <c r="G30" s="37">
        <f t="shared" si="8"/>
        <v>690.3</v>
      </c>
      <c r="H30" s="38">
        <f t="shared" si="9"/>
        <v>0</v>
      </c>
      <c r="I30" s="1781"/>
      <c r="J30" s="39"/>
      <c r="K30" s="1781"/>
      <c r="L30" s="39"/>
      <c r="M30" s="1781"/>
      <c r="N30" s="39"/>
      <c r="O30" s="39"/>
      <c r="P30" s="39"/>
      <c r="Q30" s="39"/>
      <c r="R30" s="39"/>
      <c r="S30" s="39"/>
      <c r="T30" s="39"/>
      <c r="U30" s="39"/>
      <c r="V30" s="39"/>
      <c r="W30" s="39"/>
      <c r="X30" s="39"/>
      <c r="Y30" s="39"/>
      <c r="Z30" s="39"/>
      <c r="AA30" s="39"/>
      <c r="AB30" s="39"/>
      <c r="AC30" s="35">
        <f t="shared" si="10"/>
        <v>690.3</v>
      </c>
      <c r="AD30" s="1782">
        <f>规证!G20+规证!I20</f>
        <v>690.3</v>
      </c>
      <c r="AE30" s="40"/>
      <c r="AF30" s="1782"/>
      <c r="AG30" s="40"/>
      <c r="AH30" s="1782"/>
      <c r="AI30" s="40"/>
      <c r="AJ30" s="40"/>
      <c r="AK30" s="40"/>
      <c r="AL30" s="40"/>
      <c r="AM30" s="40"/>
      <c r="AN30" s="40"/>
      <c r="AO30" s="40"/>
      <c r="AP30" s="40"/>
      <c r="AQ30" s="40"/>
      <c r="AR30" s="40"/>
      <c r="AS30" s="40"/>
      <c r="AT30" s="41"/>
      <c r="AU30" s="1786"/>
      <c r="AV30" s="1497">
        <f t="shared" si="11"/>
        <v>0</v>
      </c>
      <c r="AW30" s="1497">
        <f t="shared" si="12"/>
        <v>0</v>
      </c>
      <c r="AX30" s="1497" t="str">
        <f t="shared" si="13"/>
        <v>P5</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5" t="str">
        <f>规证!A21</f>
        <v>P6</v>
      </c>
      <c r="D31" s="1780" t="s">
        <v>3355</v>
      </c>
      <c r="E31" s="35">
        <f t="shared" si="7"/>
        <v>81.5</v>
      </c>
      <c r="F31" s="36"/>
      <c r="G31" s="37">
        <f t="shared" si="8"/>
        <v>240</v>
      </c>
      <c r="H31" s="38">
        <f t="shared" si="9"/>
        <v>0</v>
      </c>
      <c r="I31" s="1781"/>
      <c r="J31" s="39"/>
      <c r="K31" s="1781"/>
      <c r="L31" s="39"/>
      <c r="M31" s="1781"/>
      <c r="N31" s="39"/>
      <c r="O31" s="39"/>
      <c r="P31" s="39"/>
      <c r="Q31" s="39"/>
      <c r="R31" s="39"/>
      <c r="S31" s="39"/>
      <c r="T31" s="39"/>
      <c r="U31" s="39"/>
      <c r="V31" s="39"/>
      <c r="W31" s="39"/>
      <c r="X31" s="39"/>
      <c r="Y31" s="39"/>
      <c r="Z31" s="39"/>
      <c r="AA31" s="39"/>
      <c r="AB31" s="39"/>
      <c r="AC31" s="35">
        <f t="shared" si="10"/>
        <v>240</v>
      </c>
      <c r="AD31" s="1782">
        <f>规证!G21+规证!I21</f>
        <v>240</v>
      </c>
      <c r="AE31" s="40"/>
      <c r="AF31" s="1782"/>
      <c r="AG31" s="40"/>
      <c r="AH31" s="1782"/>
      <c r="AI31" s="40"/>
      <c r="AJ31" s="40"/>
      <c r="AK31" s="40"/>
      <c r="AL31" s="40"/>
      <c r="AM31" s="40"/>
      <c r="AN31" s="40"/>
      <c r="AO31" s="40"/>
      <c r="AP31" s="40"/>
      <c r="AQ31" s="40"/>
      <c r="AR31" s="40"/>
      <c r="AS31" s="40"/>
      <c r="AT31" s="41"/>
      <c r="AU31" s="1786"/>
      <c r="AV31" s="1497">
        <f t="shared" si="11"/>
        <v>0</v>
      </c>
      <c r="AW31" s="1497">
        <f t="shared" si="12"/>
        <v>0</v>
      </c>
      <c r="AX31" s="1497" t="str">
        <f t="shared" si="13"/>
        <v>P6</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55" t="str">
        <f>规证!A22</f>
        <v>P7</v>
      </c>
      <c r="D32" s="1780" t="s">
        <v>3355</v>
      </c>
      <c r="E32" s="35">
        <f t="shared" si="7"/>
        <v>67.91</v>
      </c>
      <c r="F32" s="36"/>
      <c r="G32" s="37">
        <f t="shared" si="8"/>
        <v>200</v>
      </c>
      <c r="H32" s="38">
        <f t="shared" si="9"/>
        <v>0</v>
      </c>
      <c r="I32" s="1781"/>
      <c r="J32" s="39"/>
      <c r="K32" s="1781"/>
      <c r="L32" s="39"/>
      <c r="M32" s="1781"/>
      <c r="N32" s="39"/>
      <c r="O32" s="39"/>
      <c r="P32" s="39"/>
      <c r="Q32" s="39"/>
      <c r="R32" s="39"/>
      <c r="S32" s="39"/>
      <c r="T32" s="39"/>
      <c r="U32" s="39"/>
      <c r="V32" s="39"/>
      <c r="W32" s="39"/>
      <c r="X32" s="39"/>
      <c r="Y32" s="39"/>
      <c r="Z32" s="39"/>
      <c r="AA32" s="39"/>
      <c r="AB32" s="39"/>
      <c r="AC32" s="35">
        <f t="shared" si="10"/>
        <v>200</v>
      </c>
      <c r="AD32" s="1782">
        <f>规证!G22+规证!I22</f>
        <v>200</v>
      </c>
      <c r="AE32" s="40"/>
      <c r="AF32" s="1782"/>
      <c r="AG32" s="40"/>
      <c r="AH32" s="1782"/>
      <c r="AI32" s="40"/>
      <c r="AJ32" s="40"/>
      <c r="AK32" s="40"/>
      <c r="AL32" s="40"/>
      <c r="AM32" s="40"/>
      <c r="AN32" s="40"/>
      <c r="AO32" s="40"/>
      <c r="AP32" s="40"/>
      <c r="AQ32" s="40"/>
      <c r="AR32" s="40"/>
      <c r="AS32" s="40"/>
      <c r="AT32" s="41"/>
      <c r="AU32" s="1786"/>
      <c r="AV32" s="1497">
        <f t="shared" si="11"/>
        <v>0</v>
      </c>
      <c r="AW32" s="1497">
        <f t="shared" si="12"/>
        <v>0</v>
      </c>
      <c r="AX32" s="1497" t="str">
        <f t="shared" si="13"/>
        <v>P7</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55" t="str">
        <f>规证!A23</f>
        <v>P8</v>
      </c>
      <c r="D33" s="1780" t="s">
        <v>3355</v>
      </c>
      <c r="E33" s="35">
        <f t="shared" si="7"/>
        <v>46.68</v>
      </c>
      <c r="F33" s="36"/>
      <c r="G33" s="37">
        <f t="shared" si="8"/>
        <v>137.46</v>
      </c>
      <c r="H33" s="38">
        <f t="shared" si="9"/>
        <v>0</v>
      </c>
      <c r="I33" s="1781"/>
      <c r="J33" s="39"/>
      <c r="K33" s="1781"/>
      <c r="L33" s="39"/>
      <c r="M33" s="1781"/>
      <c r="N33" s="39"/>
      <c r="O33" s="39"/>
      <c r="P33" s="39"/>
      <c r="Q33" s="39"/>
      <c r="R33" s="39"/>
      <c r="S33" s="39"/>
      <c r="T33" s="39"/>
      <c r="U33" s="39"/>
      <c r="V33" s="39"/>
      <c r="W33" s="39"/>
      <c r="X33" s="39"/>
      <c r="Y33" s="39"/>
      <c r="Z33" s="39"/>
      <c r="AA33" s="39"/>
      <c r="AB33" s="39"/>
      <c r="AC33" s="35">
        <f t="shared" si="10"/>
        <v>137.46</v>
      </c>
      <c r="AD33" s="1782">
        <f>规证!G23+规证!I23</f>
        <v>124.48</v>
      </c>
      <c r="AE33" s="40"/>
      <c r="AF33" s="1782"/>
      <c r="AG33" s="40"/>
      <c r="AH33" s="1782">
        <f>规证!H23</f>
        <v>12.98</v>
      </c>
      <c r="AI33" s="40"/>
      <c r="AJ33" s="40"/>
      <c r="AK33" s="40"/>
      <c r="AL33" s="40"/>
      <c r="AM33" s="40"/>
      <c r="AN33" s="40"/>
      <c r="AO33" s="40"/>
      <c r="AP33" s="40"/>
      <c r="AQ33" s="40"/>
      <c r="AR33" s="40"/>
      <c r="AS33" s="40"/>
      <c r="AT33" s="41"/>
      <c r="AU33" s="1786"/>
      <c r="AV33" s="1497">
        <f t="shared" si="11"/>
        <v>0</v>
      </c>
      <c r="AW33" s="1497">
        <f t="shared" si="12"/>
        <v>0</v>
      </c>
      <c r="AX33" s="1497" t="str">
        <f t="shared" si="13"/>
        <v>P8</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55" t="str">
        <f>规证!A24</f>
        <v>P9</v>
      </c>
      <c r="D34" s="1780" t="s">
        <v>3355</v>
      </c>
      <c r="E34" s="35">
        <f t="shared" si="7"/>
        <v>45.01</v>
      </c>
      <c r="F34" s="36"/>
      <c r="G34" s="37">
        <f t="shared" si="8"/>
        <v>132.54999999999998</v>
      </c>
      <c r="H34" s="38">
        <f t="shared" si="9"/>
        <v>0</v>
      </c>
      <c r="I34" s="1781"/>
      <c r="J34" s="39"/>
      <c r="K34" s="1781"/>
      <c r="L34" s="39"/>
      <c r="M34" s="1781"/>
      <c r="N34" s="39"/>
      <c r="O34" s="39"/>
      <c r="P34" s="39"/>
      <c r="Q34" s="39"/>
      <c r="R34" s="39"/>
      <c r="S34" s="39"/>
      <c r="T34" s="39"/>
      <c r="U34" s="39"/>
      <c r="V34" s="39"/>
      <c r="W34" s="39"/>
      <c r="X34" s="39"/>
      <c r="Y34" s="39"/>
      <c r="Z34" s="39"/>
      <c r="AA34" s="39"/>
      <c r="AB34" s="39"/>
      <c r="AC34" s="35">
        <f t="shared" si="10"/>
        <v>132.54999999999998</v>
      </c>
      <c r="AD34" s="1782">
        <f>规证!G24+规证!I24</f>
        <v>122.46</v>
      </c>
      <c r="AE34" s="40"/>
      <c r="AF34" s="1782"/>
      <c r="AG34" s="40"/>
      <c r="AH34" s="1782">
        <f>规证!H24</f>
        <v>10.09</v>
      </c>
      <c r="AI34" s="40"/>
      <c r="AJ34" s="40"/>
      <c r="AK34" s="40"/>
      <c r="AL34" s="40"/>
      <c r="AM34" s="40"/>
      <c r="AN34" s="40"/>
      <c r="AO34" s="40"/>
      <c r="AP34" s="40"/>
      <c r="AQ34" s="40"/>
      <c r="AR34" s="40"/>
      <c r="AS34" s="40"/>
      <c r="AT34" s="41"/>
      <c r="AU34" s="1786"/>
      <c r="AV34" s="1497">
        <f t="shared" si="11"/>
        <v>0</v>
      </c>
      <c r="AW34" s="1497">
        <f t="shared" si="12"/>
        <v>0</v>
      </c>
      <c r="AX34" s="1497" t="str">
        <f t="shared" si="13"/>
        <v>P9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56" t="str">
        <f>规证!A25</f>
        <v>地下室</v>
      </c>
      <c r="D35" s="1780" t="s">
        <v>3354</v>
      </c>
      <c r="E35" s="35">
        <f t="shared" si="7"/>
        <v>12877.89</v>
      </c>
      <c r="F35" s="36"/>
      <c r="G35" s="37">
        <f t="shared" si="8"/>
        <v>37923.82</v>
      </c>
      <c r="H35" s="38">
        <f t="shared" si="9"/>
        <v>37838.57</v>
      </c>
      <c r="I35" s="1781"/>
      <c r="J35" s="39"/>
      <c r="K35" s="1781"/>
      <c r="L35" s="39"/>
      <c r="M35" s="1781">
        <f>规证!K25</f>
        <v>37838.57</v>
      </c>
      <c r="N35" s="39"/>
      <c r="O35" s="39"/>
      <c r="P35" s="39"/>
      <c r="Q35" s="39"/>
      <c r="R35" s="39"/>
      <c r="S35" s="39"/>
      <c r="T35" s="39"/>
      <c r="U35" s="39"/>
      <c r="V35" s="39"/>
      <c r="W35" s="39"/>
      <c r="X35" s="39"/>
      <c r="Y35" s="39"/>
      <c r="Z35" s="39"/>
      <c r="AA35" s="39"/>
      <c r="AB35" s="39"/>
      <c r="AC35" s="35">
        <f t="shared" si="10"/>
        <v>85.25</v>
      </c>
      <c r="AD35" s="1782"/>
      <c r="AE35" s="40"/>
      <c r="AF35" s="1782"/>
      <c r="AG35" s="40"/>
      <c r="AH35" s="1782"/>
      <c r="AI35" s="40"/>
      <c r="AJ35" s="40"/>
      <c r="AK35" s="40"/>
      <c r="AL35" s="40"/>
      <c r="AM35" s="40"/>
      <c r="AN35" s="40">
        <f>规证!L25</f>
        <v>85.25</v>
      </c>
      <c r="AO35" s="40"/>
      <c r="AP35" s="40"/>
      <c r="AQ35" s="40"/>
      <c r="AR35" s="40"/>
      <c r="AS35" s="40"/>
      <c r="AT35" s="41"/>
      <c r="AU35" s="1786"/>
      <c r="AV35" s="1497">
        <f t="shared" si="11"/>
        <v>0</v>
      </c>
      <c r="AW35" s="1497">
        <f t="shared" si="12"/>
        <v>0</v>
      </c>
      <c r="AX35" s="1497" t="str">
        <f t="shared" si="13"/>
        <v>地下室</v>
      </c>
      <c r="AY35" s="42">
        <f t="shared" si="14"/>
        <v>12877.89</v>
      </c>
      <c r="AZ35" s="35">
        <f t="shared" si="15"/>
        <v>37923.82</v>
      </c>
      <c r="BA35" s="35">
        <f t="shared" si="16"/>
        <v>37838.57</v>
      </c>
      <c r="BB35" s="35">
        <f t="shared" si="17"/>
        <v>0</v>
      </c>
      <c r="BC35" s="35">
        <f t="shared" si="18"/>
        <v>0</v>
      </c>
      <c r="BD35" s="35">
        <f t="shared" si="19"/>
        <v>37838.57</v>
      </c>
      <c r="BE35" s="35">
        <f t="shared" si="20"/>
        <v>0</v>
      </c>
      <c r="BF35" s="35">
        <f t="shared" si="21"/>
        <v>0</v>
      </c>
      <c r="BG35" s="35">
        <f t="shared" si="22"/>
        <v>0</v>
      </c>
      <c r="BH35" s="35">
        <f t="shared" si="23"/>
        <v>0</v>
      </c>
      <c r="BI35" s="35">
        <f t="shared" si="24"/>
        <v>0</v>
      </c>
      <c r="BJ35" s="35">
        <f t="shared" si="25"/>
        <v>0</v>
      </c>
      <c r="BK35" s="35">
        <f t="shared" si="26"/>
        <v>0</v>
      </c>
      <c r="BL35" s="35">
        <f t="shared" si="27"/>
        <v>85.25</v>
      </c>
      <c r="BM35" s="35">
        <f t="shared" si="28"/>
        <v>0</v>
      </c>
      <c r="BN35" s="35">
        <f t="shared" si="29"/>
        <v>0</v>
      </c>
      <c r="BO35" s="35">
        <f t="shared" si="30"/>
        <v>0</v>
      </c>
      <c r="BP35" s="35">
        <f t="shared" si="31"/>
        <v>0</v>
      </c>
      <c r="BQ35" s="35">
        <f t="shared" si="32"/>
        <v>0</v>
      </c>
      <c r="BR35" s="35">
        <f t="shared" si="33"/>
        <v>85.25</v>
      </c>
      <c r="BS35" s="35">
        <f t="shared" si="34"/>
        <v>0</v>
      </c>
      <c r="BT35" s="43">
        <f t="shared" si="35"/>
        <v>0</v>
      </c>
    </row>
    <row r="36" spans="1:72">
      <c r="A36" s="9"/>
      <c r="B36" s="34"/>
      <c r="C36" s="3256" t="s">
        <v>3362</v>
      </c>
      <c r="D36" s="1785" t="s">
        <v>3354</v>
      </c>
      <c r="E36" s="35">
        <f t="shared" si="7"/>
        <v>506.76</v>
      </c>
      <c r="F36" s="36"/>
      <c r="G36" s="37">
        <f t="shared" si="8"/>
        <v>1492.35</v>
      </c>
      <c r="H36" s="38">
        <f t="shared" si="9"/>
        <v>1492.35</v>
      </c>
      <c r="I36" s="39"/>
      <c r="J36" s="39"/>
      <c r="K36" s="39">
        <f>规证!F3+规证!F4</f>
        <v>1492.35</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t="str">
        <f t="shared" si="13"/>
        <v>商业</v>
      </c>
      <c r="AY36" s="42">
        <f t="shared" si="14"/>
        <v>506.76</v>
      </c>
      <c r="AZ36" s="35">
        <f t="shared" si="15"/>
        <v>1492.35</v>
      </c>
      <c r="BA36" s="35">
        <f t="shared" si="16"/>
        <v>1492.35</v>
      </c>
      <c r="BB36" s="35">
        <f t="shared" si="17"/>
        <v>0</v>
      </c>
      <c r="BC36" s="35">
        <f t="shared" si="18"/>
        <v>1492.35</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55"/>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55"/>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28.5">
      <c r="A3" s="3337"/>
      <c r="B3" s="3337"/>
      <c r="C3" s="3337"/>
      <c r="D3" s="3338"/>
      <c r="E3" s="33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9" sqref="H3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8" t="s">
        <v>1757</v>
      </c>
      <c r="B2" s="3348"/>
      <c r="C2" s="3348"/>
      <c r="D2" s="904" t="s">
        <v>1733</v>
      </c>
      <c r="E2" s="1794" t="s">
        <v>1734</v>
      </c>
      <c r="F2" s="2852"/>
      <c r="G2" s="2843"/>
      <c r="H2" s="2844"/>
      <c r="I2" s="2517" t="s">
        <v>1758</v>
      </c>
      <c r="J2" s="2852"/>
      <c r="K2" s="2852"/>
      <c r="L2" s="2852"/>
      <c r="M2" s="2852"/>
      <c r="N2" s="2854"/>
      <c r="O2" s="2852"/>
      <c r="P2" s="2852"/>
    </row>
    <row r="3" spans="1:16" ht="15.75" thickBot="1">
      <c r="A3" s="3349" t="s">
        <v>1731</v>
      </c>
      <c r="B3" s="3349"/>
      <c r="C3" s="3349"/>
      <c r="D3" s="46">
        <f>'数据-基础表'!AY6</f>
        <v>13546.29</v>
      </c>
      <c r="E3" s="46">
        <f>'数据-基础表'!AZ5</f>
        <v>39892.17</v>
      </c>
      <c r="F3" s="2852"/>
      <c r="G3" s="1279"/>
      <c r="H3" s="1157" t="s">
        <v>1732</v>
      </c>
      <c r="I3" s="964">
        <f>ROUND('数据-基础表'!B3/'数据-基础表'!A3,2)</f>
        <v>2.94</v>
      </c>
      <c r="J3" s="2852"/>
      <c r="K3" s="2852"/>
      <c r="L3" s="2852"/>
      <c r="M3" s="2852"/>
      <c r="N3" s="2854"/>
      <c r="O3" s="2852"/>
      <c r="P3" s="2852"/>
    </row>
    <row r="4" spans="1:16" ht="15">
      <c r="A4" s="3350"/>
      <c r="B4" s="3351"/>
      <c r="C4" s="3352"/>
      <c r="D4" s="1796" t="s">
        <v>1733</v>
      </c>
      <c r="E4" s="1797" t="s">
        <v>1734</v>
      </c>
      <c r="F4" s="2852"/>
      <c r="G4" s="2845" t="s">
        <v>1759</v>
      </c>
      <c r="H4" s="1157" t="s">
        <v>1739</v>
      </c>
      <c r="I4" s="964">
        <f>ROUND(SUMIF('数据-基础表'!I9:AS9,"地上",'数据-基础表'!I5:AS5)/'数据-基础表'!A3,2)</f>
        <v>2.33</v>
      </c>
      <c r="J4" s="2852"/>
      <c r="K4" s="2852"/>
      <c r="L4" s="2852"/>
      <c r="M4" s="2852"/>
      <c r="N4" s="2854"/>
      <c r="O4" s="2852"/>
      <c r="P4" s="2852"/>
    </row>
    <row r="5" spans="1:16">
      <c r="A5" s="47" t="s">
        <v>1735</v>
      </c>
      <c r="B5" s="3353" t="s">
        <v>1736</v>
      </c>
      <c r="C5" s="3353"/>
      <c r="D5" s="48">
        <f>ROUND($D$3*E5/$E$3,2)</f>
        <v>0</v>
      </c>
      <c r="E5" s="49">
        <f>SUMIF('数据-基础表'!$11:$11,"住宅",'数据-基础表'!$5:$5)</f>
        <v>0</v>
      </c>
      <c r="F5" s="2852"/>
      <c r="G5" s="1279"/>
      <c r="H5" s="1157" t="s">
        <v>1732</v>
      </c>
      <c r="I5" s="964">
        <f>ROUND(E31/D31,2)</f>
        <v>2.94</v>
      </c>
      <c r="J5" s="2852"/>
      <c r="K5" s="2852"/>
      <c r="L5" s="2852"/>
      <c r="M5" s="2852"/>
      <c r="N5" s="2852"/>
      <c r="O5" s="2852"/>
      <c r="P5" s="2852"/>
    </row>
    <row r="6" spans="1:16" ht="15" thickBot="1">
      <c r="A6" s="1799"/>
      <c r="B6" s="3353" t="s">
        <v>1737</v>
      </c>
      <c r="C6" s="3353"/>
      <c r="D6" s="48">
        <f>ROUND($D$3*E6/$E$3,2)</f>
        <v>13546.29</v>
      </c>
      <c r="E6" s="49">
        <f>E3-E5</f>
        <v>39892.17</v>
      </c>
      <c r="F6" s="2852"/>
      <c r="G6" s="2846" t="s">
        <v>1738</v>
      </c>
      <c r="H6" s="1280" t="s">
        <v>1739</v>
      </c>
      <c r="I6" s="2847">
        <f>ROUND(F31/D31,2)</f>
        <v>0.15</v>
      </c>
      <c r="J6" s="2852"/>
      <c r="K6" s="2852"/>
      <c r="L6" s="2852"/>
      <c r="M6" s="2852"/>
      <c r="N6" s="2852"/>
      <c r="O6" s="2852"/>
      <c r="P6" s="2852"/>
    </row>
    <row r="7" spans="1:16" ht="15.75" thickBot="1">
      <c r="A7" s="3345"/>
      <c r="B7" s="3346"/>
      <c r="C7" s="3347"/>
      <c r="D7" s="1796" t="s">
        <v>1733</v>
      </c>
      <c r="E7" s="1800" t="s">
        <v>1740</v>
      </c>
      <c r="F7" s="2852"/>
      <c r="G7" s="2848" t="s">
        <v>1741</v>
      </c>
      <c r="H7" s="2849"/>
      <c r="I7" s="2850"/>
      <c r="J7" s="2852"/>
      <c r="K7" s="2852"/>
      <c r="L7" s="2852"/>
      <c r="M7" s="2852"/>
      <c r="N7" s="2852"/>
      <c r="O7" s="2852"/>
      <c r="P7" s="2852"/>
    </row>
    <row r="8" spans="1:16">
      <c r="A8" s="47" t="s">
        <v>1742</v>
      </c>
      <c r="B8" s="50" t="s">
        <v>1743</v>
      </c>
      <c r="C8" s="48" t="s">
        <v>1744</v>
      </c>
      <c r="D8" s="48">
        <f t="shared" ref="D8:D15" si="0">ROUND($D$3*E8/$E$3,2)</f>
        <v>668.4</v>
      </c>
      <c r="E8" s="51">
        <f>SUMIF('数据-基础表'!BB10:BK10,"地上",'数据-基础表'!BB5:BK5)</f>
        <v>1968.35</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12848.94</v>
      </c>
      <c r="E13" s="51">
        <f>SUMPRODUCT(('数据-基础表'!BB10:BK10="地下")*('数据-基础表'!BB11:BK11="车库")*('数据-基础表'!BB5:BK5))</f>
        <v>37838.57</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13517.34</v>
      </c>
      <c r="E16" s="53">
        <f>SUM(E8:E15)</f>
        <v>39806.92</v>
      </c>
      <c r="F16" s="2852"/>
      <c r="G16" s="2853"/>
      <c r="H16" s="1803" t="s">
        <v>1761</v>
      </c>
      <c r="I16" s="1804"/>
      <c r="J16" s="1273"/>
      <c r="K16" s="3342" t="s">
        <v>1761</v>
      </c>
      <c r="L16" s="3343"/>
      <c r="M16" s="3343"/>
      <c r="N16" s="3343"/>
      <c r="O16" s="3343"/>
      <c r="P16" s="3344"/>
    </row>
    <row r="17" spans="1:19" ht="15">
      <c r="A17" s="1805" t="s">
        <v>1762</v>
      </c>
      <c r="B17" s="1806" t="s">
        <v>1763</v>
      </c>
      <c r="C17" s="1807" t="s">
        <v>1764</v>
      </c>
      <c r="D17" s="1808" t="s">
        <v>1752</v>
      </c>
      <c r="E17" s="1809" t="s">
        <v>1753</v>
      </c>
      <c r="F17" s="1810"/>
      <c r="G17" s="1811"/>
      <c r="H17" s="1812" t="s">
        <v>1765</v>
      </c>
      <c r="I17" s="1813" t="s">
        <v>1750</v>
      </c>
      <c r="J17" s="1273"/>
      <c r="K17" s="3339" t="s">
        <v>1766</v>
      </c>
      <c r="L17" s="3340"/>
      <c r="M17" s="3341"/>
      <c r="N17" s="3339" t="s">
        <v>1767</v>
      </c>
      <c r="O17" s="3340"/>
      <c r="P17" s="334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57" t="s">
        <v>3379</v>
      </c>
      <c r="D19" s="48">
        <f>ROUND($D$3*E19/$E$3,2)</f>
        <v>668.4</v>
      </c>
      <c r="E19" s="56">
        <f t="shared" ref="E19:E26" si="1">SUM(F19:G19)</f>
        <v>1968.35</v>
      </c>
      <c r="F19" s="2991">
        <f>'数据-基础表'!K36+'数据-基础表'!K23</f>
        <v>1968.35</v>
      </c>
      <c r="G19" s="2993"/>
      <c r="H19" s="679">
        <f>ROUND($D$3*I19/$E$3,2)</f>
        <v>1.43</v>
      </c>
      <c r="I19" s="51">
        <f t="shared" ref="I19:I26" si="2">IF($I$17="自定义",P19,M19)</f>
        <v>4.22</v>
      </c>
      <c r="J19" s="1273"/>
      <c r="K19" s="1272">
        <f t="shared" ref="K19:K26" si="3">ROUND(E$28*E19/E$27,2)</f>
        <v>4.22</v>
      </c>
      <c r="L19" s="1157">
        <f t="shared" ref="L19:L26" si="4">ROUND(IF(COUNTIF(C19,"*住宅*")&gt;0,E$29*E19/E$32,0),2)</f>
        <v>0</v>
      </c>
      <c r="M19" s="1284">
        <f>K19+L19</f>
        <v>4.22</v>
      </c>
      <c r="N19" s="1823"/>
      <c r="O19" s="1824"/>
      <c r="P19" s="1284">
        <f>N19+O19</f>
        <v>0</v>
      </c>
      <c r="R19" s="1157">
        <f t="shared" ref="R19:S26" si="5">D19+H19</f>
        <v>669.82999999999993</v>
      </c>
      <c r="S19" s="1158">
        <f t="shared" si="5"/>
        <v>1972.57</v>
      </c>
    </row>
    <row r="20" spans="1:19">
      <c r="A20" s="1825"/>
      <c r="B20" s="50" t="s">
        <v>1779</v>
      </c>
      <c r="C20" s="3262" t="s">
        <v>3380</v>
      </c>
      <c r="D20" s="48">
        <f t="shared" ref="D20:D26" si="6">ROUND($D$3*E20/$E$3,2)</f>
        <v>12848.94</v>
      </c>
      <c r="E20" s="56">
        <f t="shared" si="1"/>
        <v>37838.57</v>
      </c>
      <c r="F20" s="2992"/>
      <c r="G20" s="2993">
        <f>'数据-基础表'!M5</f>
        <v>37838.57</v>
      </c>
      <c r="H20" s="679">
        <f t="shared" ref="H20:H26" si="7">ROUND($D$3*I20/$E$3,2)</f>
        <v>27.52</v>
      </c>
      <c r="I20" s="51">
        <f t="shared" si="2"/>
        <v>81.03</v>
      </c>
      <c r="J20" s="1273"/>
      <c r="K20" s="1272">
        <f t="shared" si="3"/>
        <v>81.03</v>
      </c>
      <c r="L20" s="1157">
        <f t="shared" si="4"/>
        <v>0</v>
      </c>
      <c r="M20" s="1284">
        <f t="shared" ref="M20:M26" si="8">K20+L20</f>
        <v>81.03</v>
      </c>
      <c r="N20" s="1823"/>
      <c r="O20" s="1824"/>
      <c r="P20" s="1284">
        <f t="shared" ref="P20:P26" si="9">N20+O20</f>
        <v>0</v>
      </c>
      <c r="R20" s="1157">
        <f t="shared" si="5"/>
        <v>12876.460000000001</v>
      </c>
      <c r="S20" s="1158">
        <f t="shared" si="5"/>
        <v>37919.599999999999</v>
      </c>
    </row>
    <row r="21" spans="1:19">
      <c r="A21" s="1825"/>
      <c r="B21" s="50" t="s">
        <v>1779</v>
      </c>
      <c r="C21" s="58"/>
      <c r="D21" s="48">
        <f t="shared" si="6"/>
        <v>0</v>
      </c>
      <c r="E21" s="56">
        <f t="shared" si="1"/>
        <v>0</v>
      </c>
      <c r="F21" s="2991"/>
      <c r="G21" s="2993"/>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2"/>
      <c r="G22" s="2993"/>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2"/>
      <c r="G23" s="2993"/>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2"/>
      <c r="G24" s="2993"/>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2"/>
      <c r="G25" s="2993"/>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2"/>
      <c r="G26" s="2993"/>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13517.34</v>
      </c>
      <c r="E27" s="1275">
        <f>IF(SUM(E19:E26)='数据-基础表'!BA5,SUM(E19:E26),IF(F27="地上面积有误","面积有误","地下面积有误"))</f>
        <v>39806.92</v>
      </c>
      <c r="F27" s="1274">
        <f>IF(SUM(F19:F26)=E8,SUM(F19:F26),"地上面积有误")</f>
        <v>1968.35</v>
      </c>
      <c r="G27" s="1276">
        <f>SUM(G19:G26)</f>
        <v>37838.57</v>
      </c>
      <c r="H27" s="1277">
        <f>SUM(H19:H26)</f>
        <v>28.95</v>
      </c>
      <c r="I27" s="1278">
        <f>SUM(I19:I26)</f>
        <v>85.25</v>
      </c>
      <c r="J27" s="1273"/>
      <c r="K27" s="1281">
        <f>SUM(K19:K26)</f>
        <v>85.25</v>
      </c>
      <c r="L27" s="1282">
        <f>SUM(L19:L26)</f>
        <v>0</v>
      </c>
      <c r="M27" s="1285">
        <f>SUM(M19:M26)</f>
        <v>85.25</v>
      </c>
      <c r="N27" s="1281">
        <f t="shared" ref="N27:O27" si="10">SUM(N19:N26)</f>
        <v>0</v>
      </c>
      <c r="O27" s="1282">
        <f t="shared" si="10"/>
        <v>0</v>
      </c>
      <c r="P27" s="1283">
        <f>SUM(P19:P26)</f>
        <v>0</v>
      </c>
      <c r="R27" s="1159">
        <f>IF(SUM(R19:R26)=$D$3,SUM(R19:R26),SUM(R19:R26)&amp;"误差"&amp;ROUND(SUM(R19:R26)-$D$3,2))</f>
        <v>13546.29</v>
      </c>
      <c r="S27" s="1157">
        <f>IF(SUM(S19:S26)=$E$3,SUM(S19:S26),SUM(S19:S26)&amp;"误差"&amp;ROUND(SUM(S19:S26)-E3,2))</f>
        <v>39892.17</v>
      </c>
    </row>
    <row r="28" spans="1:19">
      <c r="A28" s="1825"/>
      <c r="B28" s="50" t="s">
        <v>1781</v>
      </c>
      <c r="C28" s="1169" t="s">
        <v>1782</v>
      </c>
      <c r="D28" s="48">
        <f>ROUND($D$3*E28/$E$3,2)</f>
        <v>28.95</v>
      </c>
      <c r="E28" s="56">
        <f>SUM(F28:G28)</f>
        <v>85.25</v>
      </c>
      <c r="F28" s="60">
        <f>'数据-基础表'!BQ5+'数据-基础表'!BS5</f>
        <v>0</v>
      </c>
      <c r="G28" s="61">
        <f>'数据-基础表'!BR5+'数据-基础表'!BT5</f>
        <v>85.25</v>
      </c>
      <c r="H28" s="2852"/>
      <c r="I28" s="2852"/>
      <c r="J28" s="2852"/>
      <c r="K28" s="2852"/>
      <c r="L28" s="2852"/>
      <c r="M28" s="2852"/>
      <c r="N28" s="2852"/>
      <c r="O28" s="2852"/>
      <c r="P28" s="2852"/>
    </row>
    <row r="29" spans="1:19">
      <c r="A29" s="1825"/>
      <c r="B29" s="50" t="s">
        <v>1781</v>
      </c>
      <c r="C29" s="1829"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5"/>
      <c r="B30" s="50"/>
      <c r="C30" s="1830" t="s">
        <v>1780</v>
      </c>
      <c r="D30" s="1274">
        <f>SUM(D28:D29)</f>
        <v>28.95</v>
      </c>
      <c r="E30" s="1274">
        <f>SUM(E28:E29)</f>
        <v>85.25</v>
      </c>
      <c r="F30" s="1274">
        <f>SUM(F28:F29)</f>
        <v>0</v>
      </c>
      <c r="G30" s="1276">
        <f>SUM(G28:G29)</f>
        <v>85.25</v>
      </c>
      <c r="H30" s="2852"/>
      <c r="I30" s="2852"/>
      <c r="J30" s="2852"/>
      <c r="K30" s="2852"/>
      <c r="L30" s="2852"/>
      <c r="M30" s="2852"/>
      <c r="N30" s="2852"/>
      <c r="O30" s="2852"/>
      <c r="P30" s="2852"/>
    </row>
    <row r="31" spans="1:19" ht="15.75" thickBot="1">
      <c r="A31" s="1831"/>
      <c r="B31" s="1832"/>
      <c r="C31" s="944" t="s">
        <v>1784</v>
      </c>
      <c r="D31" s="685">
        <f>D27+D30</f>
        <v>13546.29</v>
      </c>
      <c r="E31" s="685">
        <f>E27+E30</f>
        <v>39892.17</v>
      </c>
      <c r="F31" s="686">
        <f>F27+F30</f>
        <v>1968.35</v>
      </c>
      <c r="G31" s="687">
        <f>G27+G30</f>
        <v>37923.82</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A58" sqref="A58:XFD208"/>
      <selection pane="topRight" activeCell="A58" sqref="A58:XFD208"/>
      <selection pane="bottomLeft" activeCell="A58" sqref="A58:XFD208"/>
      <selection pane="bottomRight" activeCell="Q24" sqref="Q24"/>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5"/>
      <c r="AO1" s="2865"/>
      <c r="AP1" s="2865"/>
      <c r="AQ1" s="2865"/>
      <c r="AR1" s="2865"/>
    </row>
    <row r="2" spans="1:67" s="1714" customFormat="1" ht="15.75" thickBot="1">
      <c r="A2" s="1838" t="s">
        <v>1787</v>
      </c>
      <c r="B2" s="1176">
        <f>项目基本情况!D3</f>
        <v>44623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7"/>
      <c r="AO2" s="2867"/>
      <c r="AP2" s="2867"/>
      <c r="AQ2" s="2867"/>
      <c r="AR2" s="2867"/>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7"/>
      <c r="AO3" s="2867"/>
      <c r="AP3" s="2867"/>
      <c r="AQ3" s="2867"/>
      <c r="AR3" s="2867"/>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1"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67"/>
      <c r="AO4" s="2867"/>
      <c r="AP4" s="2867"/>
      <c r="AQ4" s="2867"/>
      <c r="AR4" s="2867"/>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7" t="s">
        <v>1828</v>
      </c>
      <c r="AP5" s="1159" t="s">
        <v>1829</v>
      </c>
      <c r="AQ5" s="1866" t="s">
        <v>1830</v>
      </c>
      <c r="AR5" s="1866" t="s">
        <v>1831</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58610</v>
      </c>
      <c r="F6" s="68">
        <f>SUMIF(项目基本情况!D$12:I$12,C6,项目基本情况!D$15:I$15)</f>
        <v>38.32</v>
      </c>
      <c r="G6" s="69">
        <f>IF(ISERROR(ROUND(POWER(1+H6,D6-F6)*(POWER(1+H6,F6)-1)/(POWER(1+H6,D6)-1),3)),0,ROUND(POWER(1+H6,D6-F6)*(POWER(1+H6,F6)-1)/(POWER(1+H6,D6)-1),3))</f>
        <v>0.98199999999999998</v>
      </c>
      <c r="H6" s="741">
        <v>0.04</v>
      </c>
      <c r="I6" s="741">
        <v>4.4999999999999998E-2</v>
      </c>
      <c r="J6" s="70">
        <v>8.5000000000000006E-2</v>
      </c>
      <c r="K6" s="1161">
        <f>SUMIF('数据-汇总表'!C$19:C$33,A6,'数据-汇总表'!E$19:E$33)</f>
        <v>1968.35</v>
      </c>
      <c r="L6" s="742">
        <v>3000</v>
      </c>
      <c r="M6" s="71">
        <f t="shared" ref="M6:M14" si="0">ROUND(K6*L6/10000,0)</f>
        <v>591</v>
      </c>
      <c r="N6" s="740">
        <v>0.6</v>
      </c>
      <c r="O6" s="71">
        <f>IF($N$5="成新度","——",ROUND(M6*N6,0))</f>
        <v>355</v>
      </c>
      <c r="P6" s="72">
        <f>IF($N$5="成新度","——",M6-O6)</f>
        <v>236</v>
      </c>
      <c r="Q6" s="743">
        <v>0.15</v>
      </c>
      <c r="R6" s="73">
        <f ca="1">SUMIF('数据-汇总表'!C$19:C$33,A6,'数据-汇总表'!R$19:R$27)</f>
        <v>669.82999999999993</v>
      </c>
      <c r="S6" s="54">
        <f>IF('数据-汇总表'!$I$17="按面积比例",SUMIF('数据-汇总表'!C$19:C$33,A6,'数据-汇总表'!K$19:K$33),SUMIF('数据-汇总表'!C$19:C$33,A6,'数据-汇总表'!N$19:N$33))</f>
        <v>4.22</v>
      </c>
      <c r="T6" s="1306">
        <f>ROUND($L$14*S6/10000,0)</f>
        <v>1</v>
      </c>
      <c r="U6" s="74"/>
      <c r="V6" s="75"/>
      <c r="W6" s="75"/>
      <c r="X6" s="1171"/>
      <c r="Y6" s="76"/>
      <c r="Z6" s="77"/>
      <c r="AA6" s="70"/>
      <c r="AB6" s="70"/>
      <c r="AC6" s="1171"/>
      <c r="AD6" s="78"/>
      <c r="AE6" s="1172">
        <f ca="1">IF(AN6="",0,SUMIF(INDIRECT("'"&amp;AN6&amp;"'"&amp;"!E:E"),$AE$5,INDIRECT("'"&amp;AN6&amp;"'"&amp;"!F:F")))</f>
        <v>0</v>
      </c>
      <c r="AF6" s="1502"/>
      <c r="AG6" s="143">
        <f>IF(AF6="",0,AE6-AF6)</f>
        <v>0</v>
      </c>
      <c r="AH6" s="79"/>
      <c r="AI6" s="81"/>
      <c r="AJ6" s="82"/>
      <c r="AK6" s="83"/>
      <c r="AL6" s="84"/>
      <c r="AM6" s="85"/>
      <c r="AN6" s="1870"/>
      <c r="AO6" s="55" t="e">
        <f ca="1">SUMIF(INDIRECT("'"&amp;AN6&amp;"'"&amp;"!A:A"),"总价",INDIRECT("'"&amp;AN6&amp;"'"&amp;"!B:B"))</f>
        <v>#REF!</v>
      </c>
      <c r="AP6" s="1871">
        <f>IF(C6="住宅",K6*L6,0)</f>
        <v>0</v>
      </c>
      <c r="AQ6" s="55">
        <f>ROUND($L$14*$N$14*S6/10000,0)</f>
        <v>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地下室</v>
      </c>
      <c r="B7" s="1868" t="str">
        <f t="shared" ref="B7:B13" si="1">IF(A7=0,"","经营性")</f>
        <v>经营性</v>
      </c>
      <c r="C7" s="1869" t="s">
        <v>3360</v>
      </c>
      <c r="D7" s="967">
        <f>SUMIF(项目基本情况!D$12:I$12,C7,项目基本情况!D$14:I$14)</f>
        <v>70</v>
      </c>
      <c r="E7" s="966">
        <f>IF(B7="","",SUMIF(项目基本情况!D$12:I$12,C7,项目基本情况!D$13:I$13))</f>
        <v>62262</v>
      </c>
      <c r="F7" s="68">
        <f>SUMIF(项目基本情况!D$12:I$12,C7,项目基本情况!D$15:I$15)</f>
        <v>48.32</v>
      </c>
      <c r="G7" s="69">
        <f t="shared" ref="G7:G11" si="2">IF(ISERROR(ROUND(POWER(1+H7,D7-F7)*(POWER(1+H7,F7)-1)/(POWER(1+H7,D7)-1),3)),0,ROUND(POWER(1+H7,D7-F7)*(POWER(1+H7,F7)-1)/(POWER(1+H7,D7)-1),3))</f>
        <v>0.92300000000000004</v>
      </c>
      <c r="H7" s="70">
        <v>4.4999999999999998E-2</v>
      </c>
      <c r="I7" s="70">
        <v>0.05</v>
      </c>
      <c r="J7" s="70">
        <f>J6</f>
        <v>8.5000000000000006E-2</v>
      </c>
      <c r="K7" s="1161">
        <f>SUMIF('数据-汇总表'!C$19:C$33,A7,'数据-汇总表'!E$19:E$33)</f>
        <v>37838.57</v>
      </c>
      <c r="L7" s="742">
        <f>L6</f>
        <v>3000</v>
      </c>
      <c r="M7" s="71">
        <f t="shared" si="0"/>
        <v>11352</v>
      </c>
      <c r="N7" s="740">
        <v>0.22</v>
      </c>
      <c r="O7" s="71">
        <f t="shared" ref="O7:O14" si="3">IF($N$5="成新度","——",ROUND(M7*N7,0))</f>
        <v>2497</v>
      </c>
      <c r="P7" s="72">
        <f t="shared" ref="P7:P14" si="4">IF($N$5="成新度","——",M7-O7)</f>
        <v>8855</v>
      </c>
      <c r="Q7" s="743">
        <v>0.05</v>
      </c>
      <c r="R7" s="73">
        <f ca="1">SUMIF('数据-汇总表'!C$19:C$33,A7,'数据-汇总表'!R$19:R$27)</f>
        <v>12876.460000000001</v>
      </c>
      <c r="S7" s="54">
        <f>IF('数据-汇总表'!$I$17="按面积比例",SUMIF('数据-汇总表'!C$19:C$33,A7,'数据-汇总表'!K$19:K$33),SUMIF('数据-汇总表'!C$19:C$33,A7,'数据-汇总表'!N$19:N$33))</f>
        <v>81.03</v>
      </c>
      <c r="T7" s="1306">
        <f t="shared" ref="T7:T13" si="5">ROUND($L$14*S7/10000,0)</f>
        <v>24</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5</v>
      </c>
      <c r="AR7" s="55">
        <f t="shared" ref="AR7:AR13" si="11">ROUND($L$14*(1-$N$14)*S7/10000,0)</f>
        <v>19</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0"/>
      <c r="I8" s="70"/>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87"/>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1832</v>
      </c>
      <c r="B14" s="1868" t="s">
        <v>1833</v>
      </c>
      <c r="C14" s="1873" t="s">
        <v>1832</v>
      </c>
      <c r="D14" s="967"/>
      <c r="E14" s="966"/>
      <c r="F14" s="68"/>
      <c r="G14" s="69"/>
      <c r="H14" s="1160"/>
      <c r="I14" s="1160"/>
      <c r="J14" s="1160"/>
      <c r="K14" s="1161">
        <f>SUMIF('数据-汇总表'!C$19:C$33,A14,'数据-汇总表'!E$19:E$33)</f>
        <v>85.25</v>
      </c>
      <c r="L14" s="87">
        <v>3000</v>
      </c>
      <c r="M14" s="71">
        <f t="shared" si="0"/>
        <v>26</v>
      </c>
      <c r="N14" s="88">
        <f>N7</f>
        <v>0.22</v>
      </c>
      <c r="O14" s="71">
        <f t="shared" si="3"/>
        <v>6</v>
      </c>
      <c r="P14" s="72">
        <f t="shared" si="4"/>
        <v>20</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5"/>
      <c r="AO14" s="2867"/>
      <c r="AP14" s="2867"/>
      <c r="AQ14" s="2867"/>
      <c r="AR14" s="2867"/>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5"/>
      <c r="AO15" s="2867"/>
      <c r="AP15" s="2867"/>
      <c r="AQ15" s="2867"/>
      <c r="AR15" s="2867"/>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1836</v>
      </c>
      <c r="B16" s="93"/>
      <c r="C16" s="942"/>
      <c r="D16" s="1875"/>
      <c r="E16" s="93"/>
      <c r="F16" s="93"/>
      <c r="G16" s="94">
        <f>ROUND(SUMPRODUCT(G6:G13,K6:K13)/SUMPRODUCT((G6:G13&gt;0)*(K6:K13)),3)</f>
        <v>0.92600000000000005</v>
      </c>
      <c r="H16" s="95">
        <f>ROUND(SUMPRODUCT(H6:H13,K6:K13)/SUMPRODUCT((H6:H13&gt;0)*(K6:K13)),3)</f>
        <v>4.4999999999999998E-2</v>
      </c>
      <c r="I16" s="96"/>
      <c r="J16" s="96"/>
      <c r="K16" s="97">
        <f>SUM(K6:K15)</f>
        <v>39892.17</v>
      </c>
      <c r="L16" s="98">
        <f>ROUND(M16*10000/SUM(K6:K14),0)</f>
        <v>3000</v>
      </c>
      <c r="M16" s="98">
        <f>SUM(M6:M14)</f>
        <v>11969</v>
      </c>
      <c r="N16" s="99">
        <f>ROUND(SUMPRODUCT(M6:M14,N6:N14)/M16,3)</f>
        <v>0.23899999999999999</v>
      </c>
      <c r="O16" s="98">
        <f>SUM(O6:O14)</f>
        <v>2858</v>
      </c>
      <c r="P16" s="98">
        <f>SUM(P6:P14)</f>
        <v>9111</v>
      </c>
      <c r="Q16" s="100">
        <f>ROUND(SUMPRODUCT(Q6:Q13,K6:K13)/SUMPRODUCT((Q6:Q13&gt;0)*(K6:K13)),2)</f>
        <v>0.05</v>
      </c>
      <c r="R16" s="1165">
        <f ca="1">SUM(R6:R13)</f>
        <v>13546.29</v>
      </c>
      <c r="S16" s="101">
        <f>SUM(S6:S13)</f>
        <v>85.25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1837</v>
      </c>
      <c r="B18" s="2879"/>
      <c r="C18" s="2867"/>
      <c r="D18" s="2870"/>
      <c r="E18" s="2867"/>
      <c r="F18" s="2867"/>
      <c r="G18" s="2867"/>
      <c r="H18" s="2867"/>
      <c r="I18" s="2867"/>
      <c r="J18" s="2867"/>
      <c r="K18" s="3261" t="s">
        <v>3391</v>
      </c>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7" t="s">
        <v>1838</v>
      </c>
      <c r="B19" s="108">
        <v>0</v>
      </c>
      <c r="C19" s="2994" t="s">
        <v>2993</v>
      </c>
      <c r="D19" s="2870"/>
      <c r="E19" s="2867"/>
      <c r="F19" s="2867"/>
      <c r="G19" s="2867"/>
      <c r="H19" s="2867"/>
      <c r="I19" s="2867"/>
      <c r="J19" s="2867"/>
      <c r="K19" s="3261" t="s">
        <v>3392</v>
      </c>
      <c r="L19" s="2866">
        <v>1885</v>
      </c>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8" t="s">
        <v>1839</v>
      </c>
      <c r="B20" s="109">
        <v>2.5</v>
      </c>
      <c r="C20" s="2995" t="s">
        <v>2991</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9" t="s">
        <v>1840</v>
      </c>
      <c r="B21" s="109">
        <f>ROUND(B20*N16,2)</f>
        <v>0.6</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8" t="s">
        <v>1841</v>
      </c>
      <c r="B22" s="110">
        <f>B19+B20</f>
        <v>2.5</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9" t="s">
        <v>1842</v>
      </c>
      <c r="B23" s="110">
        <f>B19+B21</f>
        <v>0.6</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80" t="s">
        <v>1843</v>
      </c>
      <c r="B24" s="111">
        <f>B20-B21</f>
        <v>1.9</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2"/>
      <c r="B25" s="1842"/>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8" t="s">
        <v>1844</v>
      </c>
      <c r="B26" s="1881" t="s">
        <v>1845</v>
      </c>
      <c r="C26" s="2871" t="s">
        <v>1846</v>
      </c>
      <c r="D26" s="2870"/>
      <c r="E26" s="2867"/>
      <c r="F26" s="3258" t="s">
        <v>3367</v>
      </c>
      <c r="G26" s="3258" t="s">
        <v>3368</v>
      </c>
      <c r="H26" s="3258" t="s">
        <v>3369</v>
      </c>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3" customFormat="1" ht="27.75">
      <c r="A27" s="1882" t="s">
        <v>1847</v>
      </c>
      <c r="B27" s="112">
        <v>17</v>
      </c>
      <c r="C27" s="2996" t="s">
        <v>2995</v>
      </c>
      <c r="D27" s="2873"/>
      <c r="E27" s="2854"/>
      <c r="F27" s="2854">
        <v>2900780.1</v>
      </c>
      <c r="G27" s="2867">
        <f>规证!E26+规证!F26+规证!K26</f>
        <v>175519.3</v>
      </c>
      <c r="H27" s="2867">
        <f>ROUND(F27/G27,0)</f>
        <v>17</v>
      </c>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f>B27</f>
        <v>17</v>
      </c>
      <c r="C28" s="2874"/>
      <c r="D28" s="2873"/>
      <c r="E28" s="2854"/>
      <c r="F28" s="2854"/>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f ca="1">成本法!C9+成本法!C10</f>
        <v>68</v>
      </c>
      <c r="C29" s="2997" t="s">
        <v>2982</v>
      </c>
      <c r="D29" s="2873"/>
      <c r="E29" s="2854"/>
      <c r="F29" s="2854"/>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4"/>
      <c r="D30" s="2873"/>
      <c r="E30" s="2854"/>
      <c r="F30" s="2854"/>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2"/>
      <c r="D31" s="2873"/>
      <c r="E31" s="902"/>
      <c r="F31" s="902"/>
      <c r="G31" s="2854"/>
      <c r="H31" s="3260" t="s">
        <v>3374</v>
      </c>
      <c r="I31" s="3258" t="s">
        <v>3371</v>
      </c>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4"/>
      <c r="D32" s="2870"/>
      <c r="E32" s="902"/>
      <c r="F32" s="902"/>
      <c r="G32" s="3258" t="s">
        <v>3372</v>
      </c>
      <c r="H32" s="3258" t="s">
        <v>3373</v>
      </c>
      <c r="I32" s="3258" t="s">
        <v>3375</v>
      </c>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0.05</v>
      </c>
      <c r="C33" s="2998" t="s">
        <v>2983</v>
      </c>
      <c r="D33" s="2870"/>
      <c r="E33" s="902"/>
      <c r="F33" s="902"/>
      <c r="G33" s="2867">
        <f ca="1">成本法!C35</f>
        <v>143</v>
      </c>
      <c r="H33" s="2867">
        <v>150</v>
      </c>
      <c r="I33" s="2867">
        <f>ROUND(H33*K16*N16/10000,0)</f>
        <v>143</v>
      </c>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v>
      </c>
      <c r="C34" s="2998" t="s">
        <v>2984</v>
      </c>
      <c r="D34" s="2878" t="s">
        <v>2992</v>
      </c>
      <c r="E34" s="2876"/>
      <c r="F34" s="2867"/>
      <c r="G34" s="2867">
        <f ca="1">成本法!C36</f>
        <v>0</v>
      </c>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f>B30</f>
        <v>200</v>
      </c>
      <c r="C35" s="2998" t="s">
        <v>2985</v>
      </c>
      <c r="D35" s="2873"/>
      <c r="E35" s="2854"/>
      <c r="F35" s="2854"/>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2998" t="s">
        <v>2986</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6" t="s">
        <v>1857</v>
      </c>
      <c r="B37" s="120">
        <v>0.03</v>
      </c>
      <c r="C37" s="2998" t="s">
        <v>2987</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4" t="s">
        <v>1858</v>
      </c>
      <c r="B38" s="118">
        <v>0.03</v>
      </c>
      <c r="C38" s="2998" t="s">
        <v>2987</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7" t="s">
        <v>1859</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0" t="s">
        <v>3370</v>
      </c>
      <c r="B40" s="1210">
        <f ca="1">IF(A40="利息：取LPR",存贷款利率!G1,存贷款利率!G1+C40)</f>
        <v>4.2000000000000003E-2</v>
      </c>
      <c r="C40" s="3009">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2" t="s">
        <v>1860</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8" t="s">
        <v>1861</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8" t="s">
        <v>1862</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9" t="s">
        <v>1863</v>
      </c>
      <c r="B44" s="124">
        <v>7.0000000000000007E-2</v>
      </c>
      <c r="C44" s="2998" t="s">
        <v>2996</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9" t="s">
        <v>1864</v>
      </c>
      <c r="B45" s="122">
        <v>0.03</v>
      </c>
      <c r="C45" s="2997" t="s">
        <v>2988</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9" t="s">
        <v>1865</v>
      </c>
      <c r="B46" s="122">
        <v>0.02</v>
      </c>
      <c r="C46" s="2997" t="s">
        <v>2989</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90" t="s">
        <v>1866</v>
      </c>
      <c r="B47" s="125">
        <v>0</v>
      </c>
      <c r="C47" s="3000" t="s">
        <v>2997</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91" t="s">
        <v>1867</v>
      </c>
      <c r="B48" s="126">
        <v>0.03</v>
      </c>
      <c r="C48" s="2997" t="s">
        <v>2988</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7" t="s">
        <v>1868</v>
      </c>
      <c r="B49" s="122">
        <v>5.0000000000000001E-4</v>
      </c>
      <c r="C49" s="2997" t="s">
        <v>2990</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2" t="s">
        <v>1869</v>
      </c>
      <c r="B50" s="127">
        <v>1.2E-2</v>
      </c>
      <c r="C50" s="2854"/>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5" t="s">
        <v>1870</v>
      </c>
      <c r="B51" s="128">
        <v>0.12</v>
      </c>
      <c r="C51" s="2854"/>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2" t="s">
        <v>1871</v>
      </c>
      <c r="B52" s="129">
        <f>SUMIF(A54:A63,B53,B54:B63)</f>
        <v>0</v>
      </c>
      <c r="C52" s="2854"/>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4" t="s">
        <v>1872</v>
      </c>
      <c r="B53" s="1893"/>
      <c r="C53" s="2854" t="s">
        <v>1873</v>
      </c>
      <c r="D53" s="2999" t="s">
        <v>2994</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4" t="s">
        <v>1874</v>
      </c>
      <c r="B54" s="80"/>
      <c r="C54" s="2854">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4" t="s">
        <v>1875</v>
      </c>
      <c r="B55" s="80"/>
      <c r="C55" s="2854">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4" t="s">
        <v>1876</v>
      </c>
      <c r="B56" s="80"/>
      <c r="C56" s="2854">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4" t="s">
        <v>1877</v>
      </c>
      <c r="B57" s="80"/>
      <c r="C57" s="2854">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4" t="s">
        <v>1878</v>
      </c>
      <c r="B58" s="80"/>
      <c r="C58" s="2854">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4" t="s">
        <v>1879</v>
      </c>
      <c r="B59" s="80"/>
      <c r="C59" s="2854">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4" t="s">
        <v>1880</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4" t="s">
        <v>1881</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4" t="s">
        <v>1882</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5" t="s">
        <v>1883</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901" customFormat="1">
      <c r="A64" s="2857"/>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901" customFormat="1">
      <c r="A65" s="2857"/>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901" customFormat="1">
      <c r="A66" s="2857"/>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901" customFormat="1">
      <c r="A67" s="2857"/>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901" customFormat="1">
      <c r="A68" s="2857"/>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58" sqref="A58:XFD208"/>
      <selection pane="topRight" activeCell="A58" sqref="A58:XFD208"/>
      <selection pane="bottomLeft" activeCell="A58" sqref="A58:XFD208"/>
      <selection pane="bottomRight" activeCell="A58" sqref="A58:XFD208"/>
    </sheetView>
  </sheetViews>
  <sheetFormatPr defaultColWidth="9" defaultRowHeight="14.25"/>
  <cols>
    <col min="1" max="1" width="9.5" style="1841"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1"/>
  </cols>
  <sheetData>
    <row r="1" spans="1:29" s="2649" customFormat="1" ht="18.75" thickBot="1">
      <c r="A1" s="3354" t="s">
        <v>2974</v>
      </c>
      <c r="B1" s="3355"/>
      <c r="C1" s="3355"/>
      <c r="D1" s="3355"/>
      <c r="E1" s="3355"/>
      <c r="F1" s="3355"/>
      <c r="G1" s="3355"/>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2969</v>
      </c>
      <c r="D2" s="2653"/>
      <c r="E2" s="2650"/>
      <c r="F2" s="2654"/>
      <c r="G2" s="2652" t="s">
        <v>2970</v>
      </c>
      <c r="H2" s="907"/>
      <c r="I2" s="907"/>
      <c r="J2" s="907"/>
      <c r="K2" s="907"/>
      <c r="L2" s="907"/>
      <c r="M2" s="907"/>
      <c r="N2" s="907"/>
      <c r="O2" s="907"/>
      <c r="P2" s="907"/>
      <c r="Q2" s="907"/>
      <c r="R2" s="907"/>
    </row>
    <row r="3" spans="1:29" ht="48">
      <c r="A3" s="2633" t="s">
        <v>2971</v>
      </c>
      <c r="B3" s="2655" t="s">
        <v>2940</v>
      </c>
      <c r="C3" s="2656" t="s">
        <v>2972</v>
      </c>
      <c r="D3" s="2657"/>
      <c r="E3" s="2634" t="s">
        <v>2971</v>
      </c>
      <c r="F3" s="2658" t="s">
        <v>2941</v>
      </c>
      <c r="G3" s="2659" t="s">
        <v>2973</v>
      </c>
      <c r="H3" s="907"/>
      <c r="I3" s="907"/>
      <c r="J3" s="907"/>
      <c r="K3" s="907"/>
      <c r="L3" s="907"/>
      <c r="M3" s="907"/>
      <c r="N3" s="907"/>
      <c r="O3" s="907"/>
      <c r="P3" s="907"/>
      <c r="Q3" s="907"/>
      <c r="R3" s="907"/>
    </row>
    <row r="4" spans="1:29" ht="36.75">
      <c r="A4" s="2634"/>
      <c r="B4" s="329" t="s">
        <v>2942</v>
      </c>
      <c r="C4" s="2660" t="s">
        <v>2943</v>
      </c>
      <c r="D4" s="2657"/>
      <c r="E4" s="2661"/>
      <c r="F4" s="1527" t="s">
        <v>2944</v>
      </c>
      <c r="G4" s="2662" t="s">
        <v>2945</v>
      </c>
      <c r="H4" s="907"/>
      <c r="I4" s="907"/>
      <c r="J4" s="907"/>
      <c r="K4" s="907"/>
      <c r="L4" s="907"/>
      <c r="M4" s="907"/>
      <c r="N4" s="907"/>
      <c r="O4" s="907"/>
      <c r="P4" s="907"/>
      <c r="Q4" s="907"/>
      <c r="R4" s="907"/>
    </row>
    <row r="5" spans="1:29" ht="36.75">
      <c r="A5" s="2634"/>
      <c r="B5" s="329" t="s">
        <v>2946</v>
      </c>
      <c r="C5" s="2660" t="s">
        <v>2947</v>
      </c>
      <c r="D5" s="2657"/>
      <c r="E5" s="2661"/>
      <c r="F5" s="329" t="s">
        <v>2948</v>
      </c>
      <c r="G5" s="2662" t="s">
        <v>2949</v>
      </c>
      <c r="H5" s="907"/>
      <c r="I5" s="907"/>
      <c r="J5" s="907"/>
      <c r="K5" s="907"/>
      <c r="L5" s="907"/>
      <c r="M5" s="907"/>
      <c r="N5" s="907"/>
      <c r="O5" s="907"/>
      <c r="P5" s="907"/>
      <c r="Q5" s="907"/>
      <c r="R5" s="907"/>
    </row>
    <row r="6" spans="1:29" ht="36">
      <c r="A6" s="2634"/>
      <c r="B6" s="329" t="s">
        <v>2950</v>
      </c>
      <c r="C6" s="2662" t="s">
        <v>2945</v>
      </c>
      <c r="D6" s="2657"/>
      <c r="E6" s="2661"/>
      <c r="F6" s="329" t="s">
        <v>2951</v>
      </c>
      <c r="G6" s="2662" t="s">
        <v>2952</v>
      </c>
      <c r="H6" s="907"/>
      <c r="I6" s="907"/>
      <c r="J6" s="907"/>
      <c r="K6" s="907"/>
      <c r="L6" s="907"/>
      <c r="M6" s="907"/>
      <c r="N6" s="907"/>
      <c r="O6" s="907"/>
      <c r="P6" s="907"/>
      <c r="Q6" s="907"/>
      <c r="R6" s="907"/>
    </row>
    <row r="7" spans="1:29" ht="24.75" thickBot="1">
      <c r="A7" s="2634"/>
      <c r="B7" s="329" t="s">
        <v>2948</v>
      </c>
      <c r="C7" s="2662" t="s">
        <v>2949</v>
      </c>
      <c r="D7" s="2663"/>
      <c r="E7" s="2664"/>
      <c r="F7" s="2665" t="s">
        <v>2953</v>
      </c>
      <c r="G7" s="2666" t="s">
        <v>2954</v>
      </c>
      <c r="H7" s="907"/>
      <c r="I7" s="907"/>
      <c r="J7" s="907"/>
      <c r="K7" s="907"/>
      <c r="L7" s="907"/>
      <c r="M7" s="907"/>
      <c r="N7" s="907"/>
      <c r="O7" s="907"/>
      <c r="P7" s="907"/>
      <c r="Q7" s="907"/>
      <c r="R7" s="907"/>
    </row>
    <row r="8" spans="1:29">
      <c r="A8" s="2634"/>
      <c r="B8" s="329" t="s">
        <v>2951</v>
      </c>
      <c r="C8" s="2662" t="s">
        <v>2952</v>
      </c>
      <c r="D8" s="2663"/>
      <c r="E8" s="2663"/>
      <c r="F8" s="2667"/>
      <c r="G8" s="2667"/>
      <c r="H8" s="907"/>
      <c r="I8" s="907"/>
      <c r="J8" s="907"/>
      <c r="K8" s="907"/>
      <c r="L8" s="907"/>
      <c r="M8" s="907"/>
      <c r="N8" s="907"/>
      <c r="O8" s="907"/>
      <c r="P8" s="907"/>
      <c r="Q8" s="907"/>
      <c r="R8" s="907"/>
    </row>
    <row r="9" spans="1:29" ht="24">
      <c r="A9" s="2634"/>
      <c r="B9" s="329" t="s">
        <v>2955</v>
      </c>
      <c r="C9" s="2660" t="s">
        <v>2956</v>
      </c>
      <c r="D9" s="2657"/>
      <c r="E9" s="2663"/>
      <c r="F9" s="2667"/>
      <c r="G9" s="2667"/>
      <c r="H9" s="907"/>
      <c r="I9" s="907"/>
      <c r="J9" s="907"/>
      <c r="K9" s="907"/>
      <c r="L9" s="907"/>
      <c r="M9" s="907"/>
      <c r="N9" s="907"/>
      <c r="O9" s="907"/>
      <c r="P9" s="907"/>
      <c r="Q9" s="907"/>
      <c r="R9" s="907"/>
    </row>
    <row r="10" spans="1:29" s="2673" customFormat="1" ht="15" thickBot="1">
      <c r="A10" s="2635"/>
      <c r="B10" s="2668" t="s">
        <v>2957</v>
      </c>
      <c r="C10" s="2669"/>
      <c r="D10" s="2657"/>
      <c r="E10" s="2657"/>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2975</v>
      </c>
      <c r="B13" s="2676"/>
      <c r="C13" s="2676"/>
      <c r="D13" s="2674"/>
      <c r="E13" s="2676"/>
      <c r="F13" s="2676"/>
      <c r="G13" s="2676"/>
    </row>
    <row r="14" spans="1:29" ht="15" thickBot="1">
      <c r="A14" s="2686"/>
      <c r="B14" s="2686"/>
      <c r="C14" s="2687" t="s">
        <v>2958</v>
      </c>
      <c r="D14" s="2657"/>
      <c r="E14" s="2688"/>
      <c r="F14" s="2688"/>
      <c r="G14" s="2652" t="s">
        <v>2959</v>
      </c>
    </row>
    <row r="15" spans="1:29" ht="51">
      <c r="A15" s="2636" t="s">
        <v>2960</v>
      </c>
      <c r="B15" s="2689" t="s">
        <v>2940</v>
      </c>
      <c r="C15" s="2690" t="str">
        <f>C3</f>
        <v>估价对象周边居住用地比例、居住小区规模和社区发展完善程度，综合评价居住社区成熟度一般</v>
      </c>
      <c r="D15" s="2657"/>
      <c r="E15" s="2637" t="s">
        <v>2961</v>
      </c>
      <c r="F15" s="2689" t="s">
        <v>2962</v>
      </c>
      <c r="G15" s="2691" t="str">
        <f>G3</f>
        <v>估价对象位于XX开发区，园区建设成熟度XX，产业集聚程度XX</v>
      </c>
    </row>
    <row r="16" spans="1:29" ht="38.25">
      <c r="A16" s="2638"/>
      <c r="B16" s="2692" t="s">
        <v>2942</v>
      </c>
      <c r="C16" s="2693" t="str">
        <f>C4</f>
        <v>估价对象位于XX商圈，周边商业氛围成熟，人流量大，商业繁华度好</v>
      </c>
      <c r="D16" s="2657"/>
      <c r="E16" s="2639"/>
      <c r="F16" s="2694" t="s">
        <v>2944</v>
      </c>
      <c r="G16" s="2695" t="str">
        <f>G4</f>
        <v>估价对象周边道路状况、公共交通通达情况、停车便捷程度，综合评价交通便捷度较好</v>
      </c>
    </row>
    <row r="17" spans="1:18" ht="38.25">
      <c r="A17" s="2638"/>
      <c r="B17" s="2692" t="s">
        <v>2946</v>
      </c>
      <c r="C17" s="2693" t="str">
        <f>C5</f>
        <v>估价对象位于XX商圈，周边办公楼项目较多，入驻率高，办公集聚程度较好</v>
      </c>
      <c r="D17" s="2663"/>
      <c r="E17" s="2639"/>
      <c r="F17" s="2694" t="s">
        <v>2963</v>
      </c>
      <c r="G17" s="2696"/>
    </row>
    <row r="18" spans="1:18" ht="38.25">
      <c r="A18" s="2638"/>
      <c r="B18" s="2694" t="s">
        <v>2950</v>
      </c>
      <c r="C18" s="2695" t="str">
        <f>C6</f>
        <v>估价对象周边道路状况、公共交通通达情况、停车便捷程度，综合评价交通便捷度较好</v>
      </c>
      <c r="D18" s="2663"/>
      <c r="E18" s="2639"/>
      <c r="F18" s="2694" t="s">
        <v>2953</v>
      </c>
      <c r="G18" s="2695" t="str">
        <f>G7</f>
        <v>该园区内是否有污染型企业，绿化情况，卫生条件，整体环境状况判断</v>
      </c>
    </row>
    <row r="19" spans="1:18" ht="25.5">
      <c r="A19" s="2638"/>
      <c r="B19" s="2694" t="s">
        <v>2964</v>
      </c>
      <c r="C19" s="2696"/>
      <c r="D19" s="2657"/>
      <c r="E19" s="2639"/>
      <c r="F19" s="329" t="s">
        <v>2948</v>
      </c>
      <c r="G19" s="2695" t="str">
        <f>G5</f>
        <v>估价对象所在区域公共配套设施齐备情况</v>
      </c>
    </row>
    <row r="20" spans="1:18" ht="25.5">
      <c r="A20" s="2638"/>
      <c r="B20" s="2694" t="s">
        <v>2965</v>
      </c>
      <c r="C20" s="2693" t="str">
        <f>C9</f>
        <v>区域自然环境：；人文环境；综合评价环境状况一般</v>
      </c>
      <c r="D20" s="2663"/>
      <c r="E20" s="2639"/>
      <c r="F20" s="329" t="s">
        <v>2951</v>
      </c>
      <c r="G20" s="2695" t="str">
        <f>G6</f>
        <v>估价对象所在区域基础设施水平</v>
      </c>
    </row>
    <row r="21" spans="1:18" ht="25.5">
      <c r="A21" s="2638"/>
      <c r="B21" s="329" t="s">
        <v>2948</v>
      </c>
      <c r="C21" s="2695" t="str">
        <f>C7</f>
        <v>估价对象所在区域公共配套设施齐备情况</v>
      </c>
      <c r="D21" s="2657"/>
      <c r="E21" s="2639"/>
      <c r="F21" s="2694" t="s">
        <v>2966</v>
      </c>
      <c r="G21" s="2697"/>
    </row>
    <row r="22" spans="1:18" ht="13.5" customHeight="1">
      <c r="A22" s="2638"/>
      <c r="B22" s="329" t="s">
        <v>2951</v>
      </c>
      <c r="C22" s="2695" t="str">
        <f>C8</f>
        <v>估价对象所在区域基础设施水平</v>
      </c>
      <c r="D22" s="2657"/>
      <c r="E22" s="2639"/>
      <c r="F22" s="2694" t="s">
        <v>2957</v>
      </c>
      <c r="G22" s="2696"/>
    </row>
    <row r="23" spans="1:18" s="907" customFormat="1" ht="15" thickBot="1">
      <c r="A23" s="2638"/>
      <c r="B23" s="2694" t="s">
        <v>2966</v>
      </c>
      <c r="C23" s="2697"/>
      <c r="D23" s="1896"/>
      <c r="E23" s="2640"/>
      <c r="F23" s="2698" t="s">
        <v>2967</v>
      </c>
      <c r="G23" s="2699"/>
      <c r="H23" s="2683"/>
      <c r="I23" s="2684"/>
      <c r="J23" s="2683"/>
      <c r="K23" s="2683"/>
      <c r="L23" s="2684"/>
      <c r="M23" s="2683"/>
      <c r="N23" s="2683"/>
      <c r="O23" s="2684"/>
      <c r="P23" s="2683"/>
      <c r="Q23" s="2683"/>
      <c r="R23" s="2685"/>
    </row>
    <row r="24" spans="1:18" s="907" customFormat="1" ht="15" thickBot="1">
      <c r="A24" s="2641"/>
      <c r="B24" s="2698" t="s">
        <v>2968</v>
      </c>
      <c r="C24" s="2700">
        <f>C10</f>
        <v>0</v>
      </c>
      <c r="D24" s="1896"/>
      <c r="E24" s="2631"/>
      <c r="F24" s="2631"/>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H33" sqref="H33"/>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39892.160000000003</v>
      </c>
      <c r="C1" s="2880"/>
      <c r="D1" s="2880"/>
      <c r="E1" s="2880"/>
      <c r="F1" s="2880"/>
      <c r="G1" s="2881"/>
      <c r="H1" s="2882"/>
      <c r="I1" s="2882"/>
      <c r="J1" s="2882"/>
      <c r="K1" s="2882"/>
    </row>
    <row r="2" spans="1:11" ht="16.5">
      <c r="A2" s="2704" t="s">
        <v>1259</v>
      </c>
      <c r="B2" s="2704">
        <f>SUM(C14:C23)</f>
        <v>13546.29</v>
      </c>
      <c r="C2" s="2880"/>
      <c r="D2" s="2880"/>
      <c r="E2" s="2880"/>
      <c r="F2" s="2880"/>
      <c r="G2" s="2881"/>
      <c r="H2" s="2882"/>
      <c r="I2" s="2882"/>
      <c r="J2" s="2882"/>
      <c r="K2" s="2882"/>
    </row>
    <row r="3" spans="1:11" ht="16.5">
      <c r="A3" s="2704" t="s">
        <v>1268</v>
      </c>
      <c r="B3" s="2706">
        <f>项目基本情况!D3</f>
        <v>44623</v>
      </c>
      <c r="C3" s="2880"/>
      <c r="D3" s="2880"/>
      <c r="E3" s="2880"/>
      <c r="F3" s="2880"/>
      <c r="G3" s="2881"/>
      <c r="H3" s="2882"/>
      <c r="I3" s="2882"/>
      <c r="J3" s="2882"/>
      <c r="K3" s="2882"/>
    </row>
    <row r="4" spans="1:11" ht="33">
      <c r="A4" s="2704" t="s">
        <v>1267</v>
      </c>
      <c r="B4" s="2704" t="s">
        <v>1266</v>
      </c>
      <c r="C4" s="2704" t="s">
        <v>1265</v>
      </c>
      <c r="D4" s="2704" t="s">
        <v>1264</v>
      </c>
      <c r="E4" s="2880"/>
      <c r="F4" s="2881"/>
      <c r="G4" s="2881"/>
      <c r="H4" s="2882"/>
      <c r="I4" s="2882"/>
      <c r="J4" s="2882"/>
      <c r="K4" s="2882"/>
    </row>
    <row r="5" spans="1:11" ht="16.5">
      <c r="A5" s="2704" t="s">
        <v>1263</v>
      </c>
      <c r="B5" s="2704">
        <f>SUM(D14:D23)</f>
        <v>4260</v>
      </c>
      <c r="C5" s="2704">
        <f>ROUND(B5*10000/$B$1,0)</f>
        <v>1068</v>
      </c>
      <c r="D5" s="2704">
        <f>ROUND(B5*10000/$B$2,0)</f>
        <v>3145</v>
      </c>
      <c r="E5" s="2880"/>
      <c r="F5" s="2881"/>
      <c r="G5" s="2881"/>
      <c r="H5" s="2882"/>
      <c r="I5" s="2882"/>
      <c r="J5" s="2882"/>
      <c r="K5" s="2882"/>
    </row>
    <row r="6" spans="1:11" ht="16.5">
      <c r="A6" s="2704" t="s">
        <v>1262</v>
      </c>
      <c r="B6" s="2704">
        <f>SUM(G14:G23)</f>
        <v>4260</v>
      </c>
      <c r="C6" s="2704">
        <f>ROUND(B6*10000/$B$1,0)</f>
        <v>1068</v>
      </c>
      <c r="D6" s="2704">
        <f>ROUND(B6*10000/$B$2,0)</f>
        <v>3145</v>
      </c>
      <c r="E6" s="2880"/>
      <c r="F6" s="2881"/>
      <c r="G6" s="2881"/>
      <c r="H6" s="2882"/>
      <c r="I6" s="2882"/>
      <c r="J6" s="2882"/>
      <c r="K6" s="2882"/>
    </row>
    <row r="7" spans="1:11" ht="16.5">
      <c r="A7" s="2704" t="s">
        <v>1270</v>
      </c>
      <c r="B7" s="2704">
        <f>SUM(H14:H23)</f>
        <v>0</v>
      </c>
      <c r="C7" s="2704">
        <f>ROUND(B7*10000/$B$1,0)</f>
        <v>0</v>
      </c>
      <c r="D7" s="2704">
        <f>ROUND(B7*10000/$B$2,0)</f>
        <v>0</v>
      </c>
      <c r="E7" s="2880"/>
      <c r="F7" s="2881"/>
      <c r="G7" s="2881"/>
      <c r="H7" s="2882"/>
      <c r="I7" s="2882"/>
      <c r="J7" s="2882"/>
      <c r="K7" s="2882"/>
    </row>
    <row r="8" spans="1:11" ht="16.5">
      <c r="A8" s="2704" t="s">
        <v>1193</v>
      </c>
      <c r="B8" s="2704">
        <f>SUM(I14:I23)</f>
        <v>0</v>
      </c>
      <c r="C8" s="2704">
        <f>ROUND(B8*10000/$B$1,0)</f>
        <v>0</v>
      </c>
      <c r="D8" s="2704">
        <f>ROUND(B8*10000/$B$2,0)</f>
        <v>0</v>
      </c>
      <c r="E8" s="2880"/>
      <c r="F8" s="2881"/>
      <c r="G8" s="2881"/>
      <c r="H8" s="2882"/>
      <c r="I8" s="2882"/>
      <c r="J8" s="2882"/>
      <c r="K8" s="2882"/>
    </row>
    <row r="9" spans="1:11" ht="16.5">
      <c r="A9" s="2704" t="s">
        <v>1261</v>
      </c>
      <c r="B9" s="2712"/>
      <c r="C9" s="2880"/>
      <c r="D9" s="2880"/>
      <c r="E9" s="2880"/>
      <c r="F9" s="2881"/>
      <c r="G9" s="2881"/>
      <c r="H9" s="2882"/>
      <c r="I9" s="2882"/>
      <c r="J9" s="2882"/>
      <c r="K9" s="2882"/>
    </row>
    <row r="10" spans="1:11" ht="16.5">
      <c r="A10" s="2704" t="s">
        <v>1260</v>
      </c>
      <c r="B10" s="2712"/>
      <c r="C10" s="2880"/>
      <c r="D10" s="2880"/>
      <c r="E10" s="2880"/>
      <c r="F10" s="2881"/>
      <c r="G10" s="2881"/>
      <c r="H10" s="2882"/>
      <c r="I10" s="2882"/>
      <c r="J10" s="2882"/>
      <c r="K10" s="2882"/>
    </row>
    <row r="11" spans="1:11" ht="16.5">
      <c r="A11" s="2704" t="s">
        <v>1276</v>
      </c>
      <c r="B11" s="2712"/>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7" t="s">
        <v>1275</v>
      </c>
      <c r="B13" s="2708" t="s">
        <v>1272</v>
      </c>
      <c r="C13" s="2708" t="s">
        <v>1274</v>
      </c>
      <c r="D13" s="2708" t="s">
        <v>1273</v>
      </c>
      <c r="E13" s="2704" t="s">
        <v>1265</v>
      </c>
      <c r="F13" s="2704" t="s">
        <v>1264</v>
      </c>
      <c r="G13" s="2708" t="s">
        <v>1258</v>
      </c>
      <c r="H13" s="2708" t="s">
        <v>1269</v>
      </c>
      <c r="I13" s="2708" t="s">
        <v>1257</v>
      </c>
      <c r="J13" s="2881"/>
      <c r="K13" s="2882"/>
    </row>
    <row r="14" spans="1:11" ht="16.5">
      <c r="A14" s="2709" t="s">
        <v>1256</v>
      </c>
      <c r="B14" s="2710">
        <f>建安估算!Q27+建安估算!T27</f>
        <v>39892.160000000003</v>
      </c>
      <c r="C14" s="2710">
        <f>结果表!C118</f>
        <v>13546.29</v>
      </c>
      <c r="D14" s="2710">
        <f>ROUND(建安估算!X27,0)</f>
        <v>4260</v>
      </c>
      <c r="E14" s="2710">
        <f>ROUND(D14*10000/B14,0)</f>
        <v>1068</v>
      </c>
      <c r="F14" s="2710">
        <f>ROUND(D14*10000/C14,0)</f>
        <v>3145</v>
      </c>
      <c r="G14" s="2710">
        <f>D14</f>
        <v>4260</v>
      </c>
      <c r="H14" s="2710" t="str">
        <f>结果表!D124</f>
        <v>——</v>
      </c>
      <c r="I14" s="2710" t="str">
        <f>结果表!D126</f>
        <v>——</v>
      </c>
      <c r="J14" s="2881"/>
      <c r="K14" s="2882"/>
    </row>
    <row r="15" spans="1:11" ht="16.5">
      <c r="A15" s="2709" t="s">
        <v>1255</v>
      </c>
      <c r="B15" s="2711"/>
      <c r="C15" s="2711"/>
      <c r="D15" s="2711"/>
      <c r="E15" s="2710" t="e">
        <f t="shared" ref="E15:E23" si="0">ROUND(D15*10000/B15,0)</f>
        <v>#DIV/0!</v>
      </c>
      <c r="F15" s="2710" t="e">
        <f t="shared" ref="F15:F23" si="1">ROUND(D15*10000/C15,0)</f>
        <v>#DIV/0!</v>
      </c>
      <c r="G15" s="1471"/>
      <c r="H15" s="1471"/>
      <c r="I15" s="2711"/>
      <c r="J15" s="2881"/>
      <c r="K15" s="2882"/>
    </row>
    <row r="16" spans="1:11" ht="16.5">
      <c r="A16" s="2709" t="s">
        <v>1254</v>
      </c>
      <c r="B16" s="2711"/>
      <c r="C16" s="2711"/>
      <c r="D16" s="2711"/>
      <c r="E16" s="2710" t="e">
        <f t="shared" si="0"/>
        <v>#DIV/0!</v>
      </c>
      <c r="F16" s="2710" t="e">
        <f t="shared" si="1"/>
        <v>#DIV/0!</v>
      </c>
      <c r="G16" s="1471"/>
      <c r="H16" s="1471"/>
      <c r="I16" s="2711"/>
      <c r="J16" s="2882"/>
      <c r="K16" s="2882"/>
    </row>
    <row r="17" spans="1:11" ht="16.5">
      <c r="A17" s="2709" t="s">
        <v>1253</v>
      </c>
      <c r="B17" s="2711"/>
      <c r="C17" s="2711"/>
      <c r="D17" s="2711"/>
      <c r="E17" s="2710" t="e">
        <f t="shared" si="0"/>
        <v>#DIV/0!</v>
      </c>
      <c r="F17" s="2710" t="e">
        <f t="shared" si="1"/>
        <v>#DIV/0!</v>
      </c>
      <c r="G17" s="1471"/>
      <c r="H17" s="1471"/>
      <c r="I17" s="2711"/>
      <c r="J17" s="2882"/>
      <c r="K17" s="2882"/>
    </row>
    <row r="18" spans="1:11" ht="16.5">
      <c r="A18" s="2709" t="s">
        <v>1252</v>
      </c>
      <c r="B18" s="2711"/>
      <c r="C18" s="2711"/>
      <c r="D18" s="2711"/>
      <c r="E18" s="2710" t="e">
        <f t="shared" si="0"/>
        <v>#DIV/0!</v>
      </c>
      <c r="F18" s="2710" t="e">
        <f t="shared" si="1"/>
        <v>#DIV/0!</v>
      </c>
      <c r="G18" s="2711"/>
      <c r="H18" s="2711"/>
      <c r="I18" s="2711"/>
      <c r="J18" s="2882"/>
      <c r="K18" s="2882"/>
    </row>
    <row r="19" spans="1:11" ht="16.5">
      <c r="A19" s="2709" t="s">
        <v>1251</v>
      </c>
      <c r="B19" s="2711"/>
      <c r="C19" s="2711"/>
      <c r="D19" s="2711"/>
      <c r="E19" s="2710" t="e">
        <f t="shared" si="0"/>
        <v>#DIV/0!</v>
      </c>
      <c r="F19" s="2710" t="e">
        <f t="shared" si="1"/>
        <v>#DIV/0!</v>
      </c>
      <c r="G19" s="2711"/>
      <c r="H19" s="2711"/>
      <c r="I19" s="2711"/>
      <c r="J19" s="2882"/>
      <c r="K19" s="2882"/>
    </row>
    <row r="20" spans="1:11" ht="16.5">
      <c r="A20" s="2709" t="s">
        <v>1250</v>
      </c>
      <c r="B20" s="2711"/>
      <c r="C20" s="2711"/>
      <c r="D20" s="2711"/>
      <c r="E20" s="2710" t="e">
        <f t="shared" si="0"/>
        <v>#DIV/0!</v>
      </c>
      <c r="F20" s="2710" t="e">
        <f t="shared" si="1"/>
        <v>#DIV/0!</v>
      </c>
      <c r="G20" s="2711"/>
      <c r="H20" s="2711"/>
      <c r="I20" s="2711"/>
      <c r="J20" s="2882"/>
      <c r="K20" s="2882"/>
    </row>
    <row r="21" spans="1:11" ht="16.5">
      <c r="A21" s="2709" t="s">
        <v>1249</v>
      </c>
      <c r="B21" s="2711"/>
      <c r="C21" s="2711"/>
      <c r="D21" s="2711"/>
      <c r="E21" s="2710" t="e">
        <f t="shared" si="0"/>
        <v>#DIV/0!</v>
      </c>
      <c r="F21" s="2710" t="e">
        <f t="shared" si="1"/>
        <v>#DIV/0!</v>
      </c>
      <c r="G21" s="2711"/>
      <c r="H21" s="2711"/>
      <c r="I21" s="2711"/>
      <c r="J21" s="2882"/>
      <c r="K21" s="2882"/>
    </row>
    <row r="22" spans="1:11" ht="16.5">
      <c r="A22" s="2709" t="s">
        <v>1248</v>
      </c>
      <c r="B22" s="2711"/>
      <c r="C22" s="2711"/>
      <c r="D22" s="2711"/>
      <c r="E22" s="2710" t="e">
        <f t="shared" si="0"/>
        <v>#DIV/0!</v>
      </c>
      <c r="F22" s="2710" t="e">
        <f t="shared" si="1"/>
        <v>#DIV/0!</v>
      </c>
      <c r="G22" s="2711"/>
      <c r="H22" s="2711"/>
      <c r="I22" s="2711"/>
      <c r="J22" s="2882"/>
      <c r="K22" s="2882"/>
    </row>
    <row r="23" spans="1:11" ht="16.5">
      <c r="A23" s="2709" t="s">
        <v>1247</v>
      </c>
      <c r="B23" s="2711"/>
      <c r="C23" s="2711"/>
      <c r="D23" s="2711"/>
      <c r="E23" s="2712" t="e">
        <f t="shared" si="0"/>
        <v>#DIV/0!</v>
      </c>
      <c r="F23" s="2712" t="e">
        <f t="shared" si="1"/>
        <v>#DIV/0!</v>
      </c>
      <c r="G23" s="2711"/>
      <c r="H23" s="2711"/>
      <c r="I23" s="2711"/>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zoomScale="80" zoomScaleNormal="80" workbookViewId="0">
      <selection activeCell="M38" sqref="M38"/>
    </sheetView>
  </sheetViews>
  <sheetFormatPr defaultRowHeight="14.25"/>
  <cols>
    <col min="1" max="1" width="5.75" style="3633" customWidth="1"/>
    <col min="2" max="12" width="9" style="3633"/>
    <col min="13" max="13" width="6.125" style="3633" customWidth="1"/>
    <col min="14" max="14" width="9" style="3633"/>
    <col min="15" max="15" width="25.625" style="3633" customWidth="1"/>
    <col min="16" max="16384" width="9" style="3633"/>
  </cols>
  <sheetData>
    <row r="1" spans="1:22">
      <c r="A1" s="3630" t="s">
        <v>3393</v>
      </c>
      <c r="B1" s="3630" t="s">
        <v>3394</v>
      </c>
      <c r="C1" s="3630" t="s">
        <v>3395</v>
      </c>
      <c r="D1" s="3630" t="s">
        <v>3356</v>
      </c>
      <c r="E1" s="3630" t="s">
        <v>3396</v>
      </c>
      <c r="F1" s="3630"/>
      <c r="G1" s="3630"/>
      <c r="H1" s="3630"/>
      <c r="I1" s="3630"/>
      <c r="J1" s="3630" t="s">
        <v>3358</v>
      </c>
      <c r="K1" s="3630"/>
      <c r="L1" s="3630"/>
      <c r="M1" s="3630" t="s">
        <v>3397</v>
      </c>
      <c r="N1" s="3630" t="s">
        <v>1281</v>
      </c>
      <c r="O1" s="3630" t="s">
        <v>3398</v>
      </c>
      <c r="P1" s="3630"/>
      <c r="Q1" s="3631" t="s">
        <v>3399</v>
      </c>
      <c r="R1" s="3631" t="s">
        <v>3400</v>
      </c>
      <c r="S1" s="3631" t="s">
        <v>3400</v>
      </c>
      <c r="T1" s="3632" t="s">
        <v>3401</v>
      </c>
      <c r="U1" s="3632" t="s">
        <v>3401</v>
      </c>
      <c r="V1" s="3632" t="s">
        <v>3401</v>
      </c>
    </row>
    <row r="2" spans="1:22">
      <c r="A2" s="3630"/>
      <c r="B2" s="3630"/>
      <c r="C2" s="3630"/>
      <c r="D2" s="3630" t="s">
        <v>3402</v>
      </c>
      <c r="E2" s="3630" t="s">
        <v>3359</v>
      </c>
      <c r="F2" s="3630" t="s">
        <v>1283</v>
      </c>
      <c r="G2" s="3630" t="s">
        <v>3403</v>
      </c>
      <c r="H2" s="3630" t="s">
        <v>3404</v>
      </c>
      <c r="I2" s="3630" t="s">
        <v>3405</v>
      </c>
      <c r="J2" s="3630" t="s">
        <v>3406</v>
      </c>
      <c r="K2" s="3630" t="s">
        <v>48</v>
      </c>
      <c r="L2" s="3630" t="s">
        <v>3407</v>
      </c>
      <c r="M2" s="3630"/>
      <c r="N2" s="3630" t="s">
        <v>3396</v>
      </c>
      <c r="O2" s="3630"/>
      <c r="P2" s="3630" t="s">
        <v>3408</v>
      </c>
      <c r="Q2" s="3631" t="s">
        <v>3409</v>
      </c>
      <c r="R2" s="3631" t="s">
        <v>3410</v>
      </c>
      <c r="S2" s="3631" t="s">
        <v>3411</v>
      </c>
      <c r="T2" s="3632" t="s">
        <v>3412</v>
      </c>
      <c r="U2" s="3632" t="s">
        <v>3410</v>
      </c>
      <c r="V2" s="3632" t="s">
        <v>3411</v>
      </c>
    </row>
    <row r="3" spans="1:22" ht="28.5">
      <c r="A3" s="3630">
        <v>1</v>
      </c>
      <c r="B3" s="3633">
        <v>12504.13</v>
      </c>
      <c r="C3" s="3633">
        <v>12118.28</v>
      </c>
      <c r="D3" s="3633">
        <f>SUM(E3:I3)</f>
        <v>12504.13</v>
      </c>
      <c r="E3" s="3633">
        <v>11680.96</v>
      </c>
      <c r="F3" s="3634">
        <v>437.32</v>
      </c>
      <c r="G3" s="3633">
        <v>385.85</v>
      </c>
      <c r="M3" s="3633">
        <v>31</v>
      </c>
      <c r="N3" s="3633" t="s">
        <v>3413</v>
      </c>
      <c r="O3" s="3635" t="s">
        <v>3414</v>
      </c>
      <c r="P3" s="3633">
        <v>887.04</v>
      </c>
      <c r="Q3" s="3631">
        <f>ROUND(P3/$P$27*$B$25,2)</f>
        <v>2506.7399999999998</v>
      </c>
      <c r="R3" s="3636">
        <f>Z37</f>
        <v>0.8</v>
      </c>
      <c r="S3" s="3631">
        <f>ROUND(Q3*R3*$R$25,0)</f>
        <v>7018872</v>
      </c>
      <c r="T3" s="3632">
        <f>F3</f>
        <v>437.32</v>
      </c>
      <c r="U3" s="3637">
        <v>0.6</v>
      </c>
      <c r="V3" s="3632">
        <f>ROUND(U3*T3*$U$25,0)</f>
        <v>655980</v>
      </c>
    </row>
    <row r="4" spans="1:22" ht="42.75">
      <c r="A4" s="3630">
        <v>2</v>
      </c>
      <c r="B4" s="3633">
        <v>12976.45</v>
      </c>
      <c r="C4" s="3633">
        <v>12735.99</v>
      </c>
      <c r="D4" s="3633">
        <f t="shared" ref="D4:D25" si="0">SUM(E4:I4)</f>
        <v>12976.45</v>
      </c>
      <c r="E4" s="3633">
        <v>11680.960000000001</v>
      </c>
      <c r="F4" s="3634">
        <v>1055.03</v>
      </c>
      <c r="G4" s="3633">
        <v>240.46</v>
      </c>
      <c r="M4" s="3633">
        <v>31</v>
      </c>
      <c r="N4" s="3633" t="s">
        <v>3413</v>
      </c>
      <c r="O4" s="3635" t="s">
        <v>3415</v>
      </c>
      <c r="P4" s="3633">
        <v>1359.62</v>
      </c>
      <c r="Q4" s="3631">
        <f>ROUND(P4/$P$27*$B$25,2)</f>
        <v>3842.24</v>
      </c>
      <c r="R4" s="3636">
        <f>R3</f>
        <v>0.8</v>
      </c>
      <c r="S4" s="3631">
        <f t="shared" ref="S4:S24" si="1">ROUND(Q4*R4*$R$25,0)</f>
        <v>10758272</v>
      </c>
      <c r="T4" s="3632">
        <f>F4</f>
        <v>1055.03</v>
      </c>
      <c r="U4" s="3637">
        <f>U3</f>
        <v>0.6</v>
      </c>
      <c r="V4" s="3632">
        <f>ROUND(U4*T4*$U$25,0)</f>
        <v>1582545</v>
      </c>
    </row>
    <row r="5" spans="1:22">
      <c r="A5" s="3630">
        <v>3</v>
      </c>
      <c r="B5" s="3633">
        <v>13359.42</v>
      </c>
      <c r="C5" s="3633">
        <v>13359.42</v>
      </c>
      <c r="D5" s="3633">
        <f t="shared" si="0"/>
        <v>13359.42</v>
      </c>
      <c r="E5" s="3633">
        <v>13359.42</v>
      </c>
      <c r="M5" s="3633">
        <v>32</v>
      </c>
      <c r="N5" s="3633" t="s">
        <v>3359</v>
      </c>
      <c r="O5" s="3635" t="s">
        <v>3416</v>
      </c>
      <c r="P5" s="3633">
        <v>505.58</v>
      </c>
      <c r="Q5" s="3631">
        <f>ROUND(P5/$P$27*$B$25,2)</f>
        <v>1428.75</v>
      </c>
      <c r="R5" s="3636">
        <f>R4</f>
        <v>0.8</v>
      </c>
      <c r="S5" s="3631">
        <f t="shared" si="1"/>
        <v>4000500</v>
      </c>
      <c r="T5" s="3632"/>
      <c r="U5" s="3632"/>
      <c r="V5" s="3632"/>
    </row>
    <row r="6" spans="1:22">
      <c r="A6" s="3630">
        <v>5</v>
      </c>
      <c r="B6" s="3633">
        <v>13359.42</v>
      </c>
      <c r="C6" s="3633">
        <v>13359.42</v>
      </c>
      <c r="D6" s="3633">
        <f t="shared" si="0"/>
        <v>13359.42</v>
      </c>
      <c r="E6" s="3633">
        <v>13359.42</v>
      </c>
      <c r="M6" s="3633">
        <v>32</v>
      </c>
      <c r="N6" s="3633" t="s">
        <v>3359</v>
      </c>
      <c r="O6" s="3635" t="s">
        <v>3417</v>
      </c>
      <c r="P6" s="3633">
        <v>503.95</v>
      </c>
      <c r="Q6" s="3631">
        <f>ROUND(P6/$P$27*$B$25,2)</f>
        <v>1424.14</v>
      </c>
      <c r="R6" s="3636">
        <f>Z34</f>
        <v>0.28999999999999998</v>
      </c>
      <c r="S6" s="3631">
        <f t="shared" si="1"/>
        <v>1445502</v>
      </c>
      <c r="T6" s="3632"/>
      <c r="U6" s="3632"/>
      <c r="V6" s="3632"/>
    </row>
    <row r="7" spans="1:22" ht="28.5">
      <c r="A7" s="3630">
        <v>6</v>
      </c>
      <c r="B7" s="3633">
        <v>13372.56</v>
      </c>
      <c r="C7" s="3633">
        <v>12986.73</v>
      </c>
      <c r="D7" s="3633">
        <f t="shared" si="0"/>
        <v>13372.56</v>
      </c>
      <c r="E7" s="3633">
        <v>12986.73</v>
      </c>
      <c r="G7" s="3633">
        <v>385.83</v>
      </c>
      <c r="M7" s="3633">
        <v>32</v>
      </c>
      <c r="N7" s="3633" t="s">
        <v>3359</v>
      </c>
      <c r="O7" s="3635" t="s">
        <v>3418</v>
      </c>
      <c r="P7" s="3633">
        <v>470.66</v>
      </c>
      <c r="Q7" s="3631">
        <f>ROUND(P7/$P$27*$B$25,2)</f>
        <v>1330.07</v>
      </c>
      <c r="R7" s="3636">
        <f>Z35</f>
        <v>0.45</v>
      </c>
      <c r="S7" s="3631">
        <f t="shared" si="1"/>
        <v>2094860</v>
      </c>
      <c r="T7" s="3632"/>
      <c r="U7" s="3632"/>
      <c r="V7" s="3632"/>
    </row>
    <row r="8" spans="1:22">
      <c r="A8" s="3630">
        <v>7</v>
      </c>
      <c r="B8" s="3633">
        <v>12409.045</v>
      </c>
      <c r="C8" s="3633">
        <v>12409.045</v>
      </c>
      <c r="D8" s="3633">
        <f t="shared" si="0"/>
        <v>12409.045</v>
      </c>
      <c r="E8" s="3633">
        <v>12409.045</v>
      </c>
      <c r="M8" s="3633">
        <v>32</v>
      </c>
      <c r="N8" s="3633" t="s">
        <v>3359</v>
      </c>
      <c r="O8" s="3635" t="s">
        <v>3419</v>
      </c>
      <c r="P8" s="3633">
        <v>474.15</v>
      </c>
      <c r="Q8" s="3631">
        <f>ROUND(P8/$P$27*$B$25,2)</f>
        <v>1339.93</v>
      </c>
      <c r="R8" s="3636">
        <f>R5</f>
        <v>0.8</v>
      </c>
      <c r="S8" s="3631">
        <f t="shared" si="1"/>
        <v>3751804</v>
      </c>
      <c r="T8" s="3632"/>
      <c r="U8" s="3632"/>
      <c r="V8" s="3632"/>
    </row>
    <row r="9" spans="1:22" ht="28.5">
      <c r="A9" s="3630">
        <v>8</v>
      </c>
      <c r="B9" s="3633">
        <v>12418.59</v>
      </c>
      <c r="C9" s="3633">
        <v>12067.11</v>
      </c>
      <c r="D9" s="3633">
        <f t="shared" si="0"/>
        <v>12418.59</v>
      </c>
      <c r="E9" s="3633">
        <v>12067.11</v>
      </c>
      <c r="G9" s="3633">
        <v>351.48</v>
      </c>
      <c r="M9" s="3633">
        <v>32</v>
      </c>
      <c r="N9" s="3633" t="s">
        <v>3359</v>
      </c>
      <c r="O9" s="3635" t="s">
        <v>3420</v>
      </c>
      <c r="P9" s="3633">
        <v>422.42</v>
      </c>
      <c r="Q9" s="3631">
        <f>ROUND(P9/$P$27*$B$25,2)</f>
        <v>1193.74</v>
      </c>
      <c r="R9" s="3638">
        <f>R7/2</f>
        <v>0.22500000000000001</v>
      </c>
      <c r="S9" s="3631">
        <f t="shared" si="1"/>
        <v>940070</v>
      </c>
      <c r="T9" s="3632"/>
      <c r="U9" s="3632"/>
      <c r="V9" s="3632"/>
    </row>
    <row r="10" spans="1:22">
      <c r="A10" s="3630">
        <v>9</v>
      </c>
      <c r="B10" s="3633">
        <v>12419.78</v>
      </c>
      <c r="C10" s="3633">
        <v>12067.11</v>
      </c>
      <c r="D10" s="3633">
        <f t="shared" si="0"/>
        <v>12419.78</v>
      </c>
      <c r="E10" s="3633">
        <v>12067.11</v>
      </c>
      <c r="G10" s="3633">
        <v>352.67</v>
      </c>
      <c r="M10" s="3633">
        <v>32</v>
      </c>
      <c r="N10" s="3633" t="s">
        <v>3359</v>
      </c>
      <c r="O10" s="3635" t="s">
        <v>3421</v>
      </c>
      <c r="P10" s="3633">
        <v>423.08</v>
      </c>
      <c r="Q10" s="3631">
        <f>ROUND(P10/$P$27*$B$25,2)</f>
        <v>1195.6099999999999</v>
      </c>
      <c r="R10" s="3636">
        <f>R6</f>
        <v>0.28999999999999998</v>
      </c>
      <c r="S10" s="3631">
        <f t="shared" si="1"/>
        <v>1213544</v>
      </c>
      <c r="T10" s="3632"/>
      <c r="U10" s="3632"/>
      <c r="V10" s="3632"/>
    </row>
    <row r="11" spans="1:22">
      <c r="A11" s="3630">
        <v>10</v>
      </c>
      <c r="B11" s="3633">
        <v>14791.865</v>
      </c>
      <c r="C11" s="3633">
        <v>14791.865</v>
      </c>
      <c r="D11" s="3633">
        <f t="shared" si="0"/>
        <v>14791.865</v>
      </c>
      <c r="E11" s="3633">
        <v>14688.264999999999</v>
      </c>
      <c r="H11" s="3633">
        <v>103.6</v>
      </c>
      <c r="M11" s="3633">
        <v>31</v>
      </c>
      <c r="N11" s="3633" t="s">
        <v>3422</v>
      </c>
      <c r="O11" s="3635" t="s">
        <v>3423</v>
      </c>
      <c r="P11" s="3633">
        <v>518</v>
      </c>
      <c r="Q11" s="3631">
        <f>ROUND(P11/$P$27*$B$25,2)</f>
        <v>1463.85</v>
      </c>
      <c r="R11" s="3631">
        <v>0</v>
      </c>
      <c r="S11" s="3631">
        <f t="shared" si="1"/>
        <v>0</v>
      </c>
      <c r="T11" s="3632"/>
      <c r="U11" s="3632"/>
      <c r="V11" s="3632"/>
    </row>
    <row r="12" spans="1:22">
      <c r="A12" s="3630">
        <v>11</v>
      </c>
      <c r="B12" s="3633">
        <v>16436.259999999998</v>
      </c>
      <c r="C12" s="3633">
        <v>16436.259999999998</v>
      </c>
      <c r="D12" s="3633">
        <f t="shared" si="0"/>
        <v>16436.259999999998</v>
      </c>
      <c r="E12" s="3633">
        <v>15312.859999999997</v>
      </c>
      <c r="H12" s="3633">
        <v>234.45</v>
      </c>
      <c r="I12" s="3633">
        <v>888.95</v>
      </c>
      <c r="M12" s="3633">
        <v>31</v>
      </c>
      <c r="N12" s="3633" t="s">
        <v>3424</v>
      </c>
      <c r="O12" s="3635" t="s">
        <v>3425</v>
      </c>
      <c r="P12" s="3633">
        <v>1294.97</v>
      </c>
      <c r="Q12" s="3631">
        <f>ROUND(P12/$P$27*$B$25,2)</f>
        <v>3659.54</v>
      </c>
      <c r="R12" s="3631">
        <v>0</v>
      </c>
      <c r="S12" s="3631">
        <f t="shared" si="1"/>
        <v>0</v>
      </c>
      <c r="T12" s="3632"/>
      <c r="U12" s="3632"/>
      <c r="V12" s="3632"/>
    </row>
    <row r="13" spans="1:22">
      <c r="A13" s="3630" t="s">
        <v>3376</v>
      </c>
      <c r="B13" s="3633">
        <v>476</v>
      </c>
      <c r="C13" s="3633">
        <v>476</v>
      </c>
      <c r="D13" s="3633">
        <f t="shared" si="0"/>
        <v>476</v>
      </c>
      <c r="F13" s="3634">
        <v>476</v>
      </c>
      <c r="M13" s="3633">
        <v>2</v>
      </c>
      <c r="N13" s="3633" t="s">
        <v>1283</v>
      </c>
      <c r="O13" s="3635" t="s">
        <v>3426</v>
      </c>
      <c r="P13" s="3633">
        <v>238</v>
      </c>
      <c r="Q13" s="3631">
        <f>ROUND(P13/$P$27*$B$25,2)</f>
        <v>672.58</v>
      </c>
      <c r="R13" s="3636">
        <f>Z36</f>
        <v>0.67</v>
      </c>
      <c r="S13" s="3631">
        <f t="shared" si="1"/>
        <v>1577200</v>
      </c>
      <c r="T13" s="3632">
        <f>F13</f>
        <v>476</v>
      </c>
      <c r="U13" s="3637">
        <f>U4</f>
        <v>0.6</v>
      </c>
      <c r="V13" s="3632">
        <f>ROUND(U13*T13*$U$26,0)</f>
        <v>571200</v>
      </c>
    </row>
    <row r="14" spans="1:22">
      <c r="A14" s="3630" t="s">
        <v>3377</v>
      </c>
      <c r="B14" s="3633">
        <v>1714.5</v>
      </c>
      <c r="C14" s="3633">
        <v>1714.5</v>
      </c>
      <c r="D14" s="3633">
        <f t="shared" si="0"/>
        <v>1714.5</v>
      </c>
      <c r="F14" s="3633">
        <v>1714.5</v>
      </c>
      <c r="M14" s="3633">
        <v>2</v>
      </c>
      <c r="N14" s="3633" t="s">
        <v>1283</v>
      </c>
      <c r="O14" s="3635" t="s">
        <v>3427</v>
      </c>
      <c r="P14" s="3633">
        <v>883.71</v>
      </c>
      <c r="Q14" s="3631">
        <f>ROUND(P14/$P$27*$B$25,2)</f>
        <v>2497.33</v>
      </c>
      <c r="R14" s="3636">
        <f>R3</f>
        <v>0.8</v>
      </c>
      <c r="S14" s="3631">
        <f t="shared" si="1"/>
        <v>6992524</v>
      </c>
      <c r="T14" s="3632"/>
      <c r="U14" s="3632"/>
      <c r="V14" s="3632"/>
    </row>
    <row r="15" spans="1:22">
      <c r="A15" s="3630" t="s">
        <v>3428</v>
      </c>
      <c r="B15" s="3633">
        <v>2193</v>
      </c>
      <c r="C15" s="3633">
        <v>2193</v>
      </c>
      <c r="D15" s="3633">
        <f t="shared" si="0"/>
        <v>2193</v>
      </c>
      <c r="F15" s="3633">
        <v>2193</v>
      </c>
      <c r="M15" s="3633">
        <v>2</v>
      </c>
      <c r="N15" s="3633" t="s">
        <v>1283</v>
      </c>
      <c r="O15" s="3635" t="s">
        <v>3429</v>
      </c>
      <c r="P15" s="3633">
        <v>1125.96</v>
      </c>
      <c r="Q15" s="3631">
        <f>ROUND(P15/$P$27*$B$25,2)</f>
        <v>3181.92</v>
      </c>
      <c r="R15" s="3631">
        <v>0</v>
      </c>
      <c r="S15" s="3631">
        <f t="shared" si="1"/>
        <v>0</v>
      </c>
      <c r="T15" s="3632"/>
      <c r="U15" s="3632"/>
      <c r="V15" s="3632"/>
    </row>
    <row r="16" spans="1:22">
      <c r="A16" s="3630" t="s">
        <v>3430</v>
      </c>
      <c r="B16" s="3633">
        <v>2193</v>
      </c>
      <c r="C16" s="3633">
        <v>2193</v>
      </c>
      <c r="D16" s="3633">
        <f t="shared" si="0"/>
        <v>2193</v>
      </c>
      <c r="F16" s="3633">
        <v>2193</v>
      </c>
      <c r="M16" s="3633">
        <v>2</v>
      </c>
      <c r="N16" s="3633" t="s">
        <v>1283</v>
      </c>
      <c r="O16" s="3635" t="s">
        <v>3429</v>
      </c>
      <c r="P16" s="3633">
        <v>1096.5</v>
      </c>
      <c r="Q16" s="3631">
        <f>ROUND(P16/$P$27*$B$25,2)</f>
        <v>3098.67</v>
      </c>
      <c r="R16" s="3631">
        <v>0</v>
      </c>
      <c r="S16" s="3631">
        <f t="shared" si="1"/>
        <v>0</v>
      </c>
      <c r="T16" s="3632"/>
      <c r="U16" s="3632"/>
      <c r="V16" s="3632"/>
    </row>
    <row r="17" spans="1:24">
      <c r="A17" s="3630" t="s">
        <v>3431</v>
      </c>
      <c r="B17" s="3633">
        <v>600.70000000000005</v>
      </c>
      <c r="C17" s="3633">
        <v>600.70000000000005</v>
      </c>
      <c r="D17" s="3633">
        <f t="shared" si="0"/>
        <v>600.70000000000005</v>
      </c>
      <c r="I17" s="3633">
        <v>600.70000000000005</v>
      </c>
      <c r="M17" s="3633">
        <v>1</v>
      </c>
      <c r="N17" s="3633" t="s">
        <v>3407</v>
      </c>
      <c r="O17" s="3635" t="s">
        <v>3429</v>
      </c>
      <c r="P17" s="3633">
        <v>604.17999999999995</v>
      </c>
      <c r="Q17" s="3631">
        <f>ROUND(P17/$P$27*$B$25,2)</f>
        <v>1707.39</v>
      </c>
      <c r="R17" s="3631">
        <v>0</v>
      </c>
      <c r="S17" s="3631">
        <f t="shared" si="1"/>
        <v>0</v>
      </c>
      <c r="T17" s="3632"/>
      <c r="U17" s="3632"/>
      <c r="V17" s="3632"/>
    </row>
    <row r="18" spans="1:24">
      <c r="A18" s="3630" t="s">
        <v>3432</v>
      </c>
      <c r="B18" s="3633">
        <v>1311.99</v>
      </c>
      <c r="C18" s="3633">
        <v>1311.99</v>
      </c>
      <c r="D18" s="3633">
        <f t="shared" si="0"/>
        <v>1311.99</v>
      </c>
      <c r="I18" s="3633">
        <v>1311.99</v>
      </c>
      <c r="M18" s="3633">
        <v>1</v>
      </c>
      <c r="N18" s="3633" t="s">
        <v>3407</v>
      </c>
      <c r="O18" s="3635" t="s">
        <v>3429</v>
      </c>
      <c r="P18" s="3633">
        <v>1346.28</v>
      </c>
      <c r="Q18" s="3631">
        <f>ROUND(P18/$P$27*$B$25,2)</f>
        <v>3804.54</v>
      </c>
      <c r="R18" s="3631">
        <v>0</v>
      </c>
      <c r="S18" s="3631">
        <f t="shared" si="1"/>
        <v>0</v>
      </c>
      <c r="T18" s="3632"/>
      <c r="U18" s="3632"/>
      <c r="V18" s="3632"/>
    </row>
    <row r="19" spans="1:24">
      <c r="A19" s="3630" t="s">
        <v>3433</v>
      </c>
      <c r="B19" s="3633">
        <v>285.81</v>
      </c>
      <c r="C19" s="3633">
        <v>285.81</v>
      </c>
      <c r="D19" s="3633">
        <f t="shared" si="0"/>
        <v>285.81</v>
      </c>
      <c r="H19" s="3633">
        <v>285.81</v>
      </c>
      <c r="M19" s="3633">
        <v>2</v>
      </c>
      <c r="N19" s="3633" t="s">
        <v>3434</v>
      </c>
      <c r="O19" s="3635" t="s">
        <v>3435</v>
      </c>
      <c r="P19" s="3633">
        <v>196.87</v>
      </c>
      <c r="Q19" s="3631">
        <f>ROUND(P19/$P$27*$B$25,2)</f>
        <v>556.35</v>
      </c>
      <c r="R19" s="3631">
        <v>0</v>
      </c>
      <c r="S19" s="3631">
        <f t="shared" si="1"/>
        <v>0</v>
      </c>
      <c r="T19" s="3632"/>
      <c r="U19" s="3632"/>
      <c r="V19" s="3632"/>
    </row>
    <row r="20" spans="1:24">
      <c r="A20" s="3630" t="s">
        <v>3436</v>
      </c>
      <c r="B20" s="3633">
        <v>690.3</v>
      </c>
      <c r="C20" s="3633">
        <v>690.3</v>
      </c>
      <c r="D20" s="3633">
        <f t="shared" si="0"/>
        <v>690.3</v>
      </c>
      <c r="I20" s="3633">
        <v>690.3</v>
      </c>
      <c r="M20" s="3633">
        <v>2</v>
      </c>
      <c r="N20" s="3633" t="s">
        <v>3407</v>
      </c>
      <c r="O20" s="3635"/>
      <c r="P20" s="3633">
        <v>358.8</v>
      </c>
      <c r="Q20" s="3631">
        <f>ROUND(P20/$P$27*$B$25,2)</f>
        <v>1013.96</v>
      </c>
      <c r="R20" s="3631">
        <v>0</v>
      </c>
      <c r="S20" s="3631">
        <f t="shared" si="1"/>
        <v>0</v>
      </c>
      <c r="T20" s="3632"/>
      <c r="U20" s="3632"/>
      <c r="V20" s="3632"/>
    </row>
    <row r="21" spans="1:24">
      <c r="A21" s="3630" t="s">
        <v>3437</v>
      </c>
      <c r="B21" s="3633">
        <v>240</v>
      </c>
      <c r="C21" s="3633">
        <v>240</v>
      </c>
      <c r="D21" s="3633">
        <f t="shared" si="0"/>
        <v>240</v>
      </c>
      <c r="I21" s="3633">
        <v>240</v>
      </c>
      <c r="M21" s="3633">
        <v>1</v>
      </c>
      <c r="N21" s="3633" t="s">
        <v>3407</v>
      </c>
      <c r="O21" s="3635" t="s">
        <v>3429</v>
      </c>
      <c r="P21" s="3633">
        <v>240</v>
      </c>
      <c r="Q21" s="3631">
        <f>ROUND(P21/$P$27*$B$25,2)</f>
        <v>678.23</v>
      </c>
      <c r="R21" s="3631">
        <v>0</v>
      </c>
      <c r="S21" s="3631">
        <f t="shared" si="1"/>
        <v>0</v>
      </c>
      <c r="T21" s="3632"/>
      <c r="U21" s="3632"/>
      <c r="V21" s="3632"/>
    </row>
    <row r="22" spans="1:24">
      <c r="A22" s="3630" t="s">
        <v>3438</v>
      </c>
      <c r="B22" s="3633">
        <v>200</v>
      </c>
      <c r="C22" s="3633">
        <v>200</v>
      </c>
      <c r="D22" s="3633">
        <f t="shared" si="0"/>
        <v>200</v>
      </c>
      <c r="I22" s="3633">
        <v>200</v>
      </c>
      <c r="M22" s="3633">
        <v>1</v>
      </c>
      <c r="N22" s="3633" t="s">
        <v>3407</v>
      </c>
      <c r="O22" s="3635" t="s">
        <v>3429</v>
      </c>
      <c r="P22" s="3633">
        <v>200</v>
      </c>
      <c r="Q22" s="3631">
        <f>ROUND(P22/$P$27*$B$25,2)</f>
        <v>565.19000000000005</v>
      </c>
      <c r="R22" s="3631">
        <v>0</v>
      </c>
      <c r="S22" s="3631">
        <f t="shared" si="1"/>
        <v>0</v>
      </c>
      <c r="T22" s="3632"/>
      <c r="U22" s="3632"/>
      <c r="V22" s="3632"/>
    </row>
    <row r="23" spans="1:24">
      <c r="A23" s="3630" t="s">
        <v>3439</v>
      </c>
      <c r="B23" s="3633">
        <v>137.46</v>
      </c>
      <c r="C23" s="3633">
        <v>12.98</v>
      </c>
      <c r="D23" s="3633">
        <f t="shared" si="0"/>
        <v>137.46</v>
      </c>
      <c r="G23" s="3633">
        <v>124.48</v>
      </c>
      <c r="H23" s="3633">
        <v>12.98</v>
      </c>
      <c r="M23" s="3633">
        <v>1</v>
      </c>
      <c r="N23" s="3633" t="s">
        <v>3440</v>
      </c>
      <c r="O23" s="3635"/>
      <c r="P23" s="3633">
        <v>137.46</v>
      </c>
      <c r="Q23" s="3631">
        <f>ROUND(P23/$P$27*$B$25,2)</f>
        <v>388.46</v>
      </c>
      <c r="R23" s="3631">
        <v>0</v>
      </c>
      <c r="S23" s="3631">
        <f t="shared" si="1"/>
        <v>0</v>
      </c>
      <c r="T23" s="3632"/>
      <c r="U23" s="3632"/>
      <c r="V23" s="3632"/>
    </row>
    <row r="24" spans="1:24">
      <c r="A24" s="3630" t="s">
        <v>3441</v>
      </c>
      <c r="B24" s="3633">
        <v>132.55000000000001</v>
      </c>
      <c r="C24" s="3633">
        <v>10.09</v>
      </c>
      <c r="D24" s="3633">
        <f t="shared" si="0"/>
        <v>132.54999999999998</v>
      </c>
      <c r="G24" s="3633">
        <v>122.46</v>
      </c>
      <c r="H24" s="3633">
        <v>10.09</v>
      </c>
      <c r="M24" s="3633">
        <v>1</v>
      </c>
      <c r="N24" s="3633" t="s">
        <v>3440</v>
      </c>
      <c r="O24" s="3635"/>
      <c r="P24" s="3633">
        <v>132.55000000000001</v>
      </c>
      <c r="Q24" s="3631">
        <f>ROUND(P24/$P$27*$B$25,2)</f>
        <v>374.58</v>
      </c>
      <c r="R24" s="3631">
        <v>0</v>
      </c>
      <c r="S24" s="3631">
        <f t="shared" si="1"/>
        <v>0</v>
      </c>
      <c r="T24" s="3632"/>
      <c r="U24" s="3632"/>
      <c r="V24" s="3632"/>
    </row>
    <row r="25" spans="1:24">
      <c r="A25" s="3630" t="s">
        <v>3363</v>
      </c>
      <c r="B25" s="3633">
        <v>37923.82</v>
      </c>
      <c r="C25" s="3633">
        <v>0</v>
      </c>
      <c r="D25" s="3633">
        <f t="shared" si="0"/>
        <v>0</v>
      </c>
      <c r="J25" s="3633">
        <v>37923.82</v>
      </c>
      <c r="K25" s="3633">
        <v>37838.57</v>
      </c>
      <c r="L25" s="3633">
        <v>85.25</v>
      </c>
      <c r="M25" s="3633">
        <v>1</v>
      </c>
      <c r="N25" s="3633" t="s">
        <v>3442</v>
      </c>
      <c r="O25" s="3635"/>
      <c r="R25" s="3630">
        <v>3500</v>
      </c>
      <c r="T25" s="3633" t="s">
        <v>3461</v>
      </c>
      <c r="U25" s="3630">
        <v>2500</v>
      </c>
      <c r="V25" s="3633">
        <f>V3+V4</f>
        <v>2238525</v>
      </c>
    </row>
    <row r="26" spans="1:24">
      <c r="A26" s="3630"/>
      <c r="O26" s="3635"/>
      <c r="R26" s="3630"/>
      <c r="T26" s="3633" t="s">
        <v>3462</v>
      </c>
      <c r="U26" s="3630">
        <v>2000</v>
      </c>
      <c r="V26" s="3633">
        <f>V13</f>
        <v>571200</v>
      </c>
    </row>
    <row r="27" spans="1:24">
      <c r="A27" s="3639" t="s">
        <v>3443</v>
      </c>
      <c r="B27" s="3639">
        <f>SUM(B3:B25)</f>
        <v>182146.64999999997</v>
      </c>
      <c r="C27" s="3639">
        <f t="shared" ref="C27:L27" si="2">SUM(C3:C25)</f>
        <v>142259.6</v>
      </c>
      <c r="D27" s="3639">
        <f t="shared" si="2"/>
        <v>144222.82999999996</v>
      </c>
      <c r="E27" s="3639">
        <f t="shared" si="2"/>
        <v>129611.87999999999</v>
      </c>
      <c r="F27" s="3639">
        <f t="shared" si="2"/>
        <v>8068.85</v>
      </c>
      <c r="G27" s="3639">
        <f t="shared" si="2"/>
        <v>1963.2300000000002</v>
      </c>
      <c r="H27" s="3639">
        <f t="shared" si="2"/>
        <v>646.92999999999995</v>
      </c>
      <c r="I27" s="3639">
        <f t="shared" si="2"/>
        <v>3931.9400000000005</v>
      </c>
      <c r="J27" s="3639">
        <f t="shared" si="2"/>
        <v>37923.82</v>
      </c>
      <c r="K27" s="3639">
        <f t="shared" si="2"/>
        <v>37838.57</v>
      </c>
      <c r="L27" s="3639">
        <f t="shared" si="2"/>
        <v>85.25</v>
      </c>
      <c r="M27" s="3639"/>
      <c r="N27" s="3639"/>
      <c r="O27" s="3639"/>
      <c r="P27" s="3639">
        <v>13419.779999999999</v>
      </c>
      <c r="Q27" s="3639">
        <f>SUM(Q3:Q24)</f>
        <v>37923.810000000005</v>
      </c>
      <c r="R27" s="3639">
        <f>ROUND(S27*10000/Q27,0)</f>
        <v>1049</v>
      </c>
      <c r="S27" s="3639">
        <f>SUM(S3:S24)/10000</f>
        <v>3979.3148000000001</v>
      </c>
      <c r="T27" s="3639">
        <f>SUM(T3:T24)</f>
        <v>1968.35</v>
      </c>
      <c r="U27" s="3639">
        <f>ROUND(V27*10000/T27,0)</f>
        <v>1427</v>
      </c>
      <c r="V27" s="3639">
        <f>SUM(V25:V26)/10000</f>
        <v>280.97250000000003</v>
      </c>
      <c r="W27" s="3639"/>
      <c r="X27" s="3639">
        <f>V27+S27</f>
        <v>4260.2873</v>
      </c>
    </row>
    <row r="28" spans="1:24">
      <c r="P28" s="3633" t="s">
        <v>3435</v>
      </c>
      <c r="S28" s="3633" t="s">
        <v>3435</v>
      </c>
      <c r="V28" s="3633" t="s">
        <v>3435</v>
      </c>
      <c r="X28" s="3633" t="s">
        <v>3435</v>
      </c>
    </row>
    <row r="29" spans="1:24">
      <c r="B29" s="3634"/>
      <c r="C29" s="3633" t="s">
        <v>3444</v>
      </c>
    </row>
    <row r="30" spans="1:24">
      <c r="B30" s="3640"/>
      <c r="C30" s="3633" t="s">
        <v>3445</v>
      </c>
      <c r="R30" s="3633" t="s">
        <v>3446</v>
      </c>
      <c r="S30" s="3633">
        <f>G38-2846+S41</f>
        <v>5457.5583999999999</v>
      </c>
      <c r="V30" s="3633">
        <f>G39+G40+G41</f>
        <v>285.73250000000002</v>
      </c>
      <c r="X30" s="3633">
        <f>V30+S30</f>
        <v>5743.2909</v>
      </c>
    </row>
    <row r="31" spans="1:24">
      <c r="B31" s="3641" t="s">
        <v>3435</v>
      </c>
      <c r="C31" s="3633" t="s">
        <v>3447</v>
      </c>
    </row>
    <row r="32" spans="1:24">
      <c r="E32" s="3633" t="s">
        <v>3435</v>
      </c>
      <c r="R32" s="3633" t="s">
        <v>3448</v>
      </c>
      <c r="S32" s="3633">
        <f>S30-S27</f>
        <v>1478.2435999999998</v>
      </c>
      <c r="X32" s="3633">
        <f>X30-X27</f>
        <v>1483.0036</v>
      </c>
    </row>
    <row r="33" spans="5:26">
      <c r="E33" s="3633" t="s">
        <v>3435</v>
      </c>
      <c r="Z33" s="3633" t="s">
        <v>3449</v>
      </c>
    </row>
    <row r="34" spans="5:26" ht="48.75" customHeight="1">
      <c r="E34" s="3633" t="s">
        <v>3435</v>
      </c>
      <c r="Y34" s="3642">
        <v>0.09</v>
      </c>
      <c r="Z34" s="3642">
        <f>ROUND($Z$37/$Y$37*Y34,2)</f>
        <v>0.28999999999999998</v>
      </c>
    </row>
    <row r="35" spans="5:26">
      <c r="E35" s="3633" t="s">
        <v>3435</v>
      </c>
      <c r="Y35" s="3642">
        <v>0.14000000000000001</v>
      </c>
      <c r="Z35" s="3642">
        <f>ROUND($Z$37/$Y$37*Y35,2)</f>
        <v>0.45</v>
      </c>
    </row>
    <row r="36" spans="5:26">
      <c r="E36" s="3633" t="s">
        <v>3435</v>
      </c>
      <c r="Q36" s="3633">
        <f>25292*1200</f>
        <v>30350400</v>
      </c>
      <c r="Y36" s="3642">
        <v>0.21</v>
      </c>
      <c r="Z36" s="3642">
        <f>ROUND($Z$37/$Y$37*Y36,2)</f>
        <v>0.67</v>
      </c>
    </row>
    <row r="37" spans="5:26">
      <c r="Q37" s="3633">
        <f>58814570-Q36</f>
        <v>28464170</v>
      </c>
      <c r="Y37" s="3642">
        <v>0.25</v>
      </c>
      <c r="Z37" s="3643">
        <v>0.8</v>
      </c>
    </row>
    <row r="38" spans="5:26">
      <c r="F38" s="3633" t="s">
        <v>3450</v>
      </c>
      <c r="G38" s="3633">
        <v>5457.5983999999999</v>
      </c>
    </row>
    <row r="39" spans="5:26">
      <c r="F39" s="3633" t="s">
        <v>3451</v>
      </c>
      <c r="G39" s="3633">
        <v>65.597999999999999</v>
      </c>
    </row>
    <row r="40" spans="5:26">
      <c r="F40" s="3633" t="s">
        <v>3451</v>
      </c>
      <c r="G40" s="3633">
        <v>158.25450000000001</v>
      </c>
      <c r="P40" s="3633" t="s">
        <v>3452</v>
      </c>
      <c r="Q40" s="3633">
        <v>25292</v>
      </c>
      <c r="R40" s="3633" t="s">
        <v>3453</v>
      </c>
      <c r="S40" s="3633">
        <v>5881</v>
      </c>
    </row>
    <row r="41" spans="5:26">
      <c r="F41" s="3633" t="s">
        <v>3451</v>
      </c>
      <c r="G41" s="3633">
        <v>61.88</v>
      </c>
      <c r="P41" s="3633" t="s">
        <v>3454</v>
      </c>
      <c r="Q41" s="3630">
        <v>1200</v>
      </c>
      <c r="R41" s="3633" t="s">
        <v>3455</v>
      </c>
      <c r="S41" s="3633">
        <f>S40-Q42</f>
        <v>2845.96</v>
      </c>
    </row>
    <row r="42" spans="5:26">
      <c r="F42" s="3633" t="s">
        <v>3443</v>
      </c>
      <c r="G42" s="3633">
        <f>SUM(G38:G41)</f>
        <v>5743.3308999999999</v>
      </c>
      <c r="P42" s="3633" t="s">
        <v>3456</v>
      </c>
      <c r="Q42" s="3633">
        <f>Q40*Q41/10000</f>
        <v>3035.04</v>
      </c>
    </row>
  </sheetData>
  <phoneticPr fontId="141" type="noConversion"/>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7:X13"/>
  <sheetViews>
    <sheetView zoomScale="90" zoomScaleNormal="90" workbookViewId="0">
      <selection activeCell="V41" sqref="V41"/>
    </sheetView>
  </sheetViews>
  <sheetFormatPr defaultRowHeight="13.5"/>
  <cols>
    <col min="1" max="16384" width="9" style="3644"/>
  </cols>
  <sheetData>
    <row r="7" spans="22:24">
      <c r="V7" s="3644" t="s">
        <v>3457</v>
      </c>
      <c r="W7" s="3645">
        <v>0.6</v>
      </c>
    </row>
    <row r="9" spans="22:24">
      <c r="V9" s="3644" t="s">
        <v>3458</v>
      </c>
      <c r="W9" s="3644" t="s">
        <v>3459</v>
      </c>
      <c r="X9" s="3644" t="s">
        <v>3460</v>
      </c>
    </row>
    <row r="10" spans="22:24">
      <c r="V10" s="3644">
        <v>28500</v>
      </c>
      <c r="W10" s="3644">
        <v>66759</v>
      </c>
      <c r="X10" s="3644">
        <f>ROUND(V10*$W$7*10000/W10,0)</f>
        <v>2561</v>
      </c>
    </row>
    <row r="11" spans="22:24">
      <c r="V11" s="3644">
        <v>32100</v>
      </c>
      <c r="W11" s="3644">
        <v>55305</v>
      </c>
      <c r="X11" s="3644">
        <f>ROUND(V11*$W$7*10000/W11,0)</f>
        <v>3483</v>
      </c>
    </row>
    <row r="12" spans="22:24">
      <c r="V12" s="3644">
        <v>55000</v>
      </c>
      <c r="W12" s="3644">
        <v>223123</v>
      </c>
      <c r="X12" s="3644">
        <f>ROUND(V12*$W$7*10000/W12,0)</f>
        <v>1479</v>
      </c>
    </row>
    <row r="13" spans="22:24">
      <c r="V13" s="3644">
        <v>22000</v>
      </c>
      <c r="W13" s="3644">
        <v>63000</v>
      </c>
      <c r="X13" s="3644">
        <f>ROUND(V13*$W$7*10000/W13,0)</f>
        <v>2095</v>
      </c>
    </row>
  </sheetData>
  <phoneticPr fontId="141"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4" t="str">
        <f>项目基本情况!B1</f>
        <v>福建省福州市长乐区鹤上镇京岭路北侧、道庆路西侧房地产市场价值预评估</v>
      </c>
      <c r="C37" s="3264"/>
      <c r="D37" s="3264"/>
      <c r="E37" s="3264"/>
      <c r="F37" s="3264"/>
      <c r="G37" s="3264"/>
      <c r="H37" s="3264"/>
      <c r="I37" s="3264"/>
    </row>
    <row r="38" spans="1:9">
      <c r="A38" s="953"/>
      <c r="B38" s="953"/>
    </row>
    <row r="39" spans="1:9">
      <c r="A39" s="951" t="s">
        <v>818</v>
      </c>
      <c r="B39" s="951" t="s">
        <v>820</v>
      </c>
    </row>
    <row r="40" spans="1:9">
      <c r="A40" s="951"/>
      <c r="B40" s="1629" t="str">
        <f>项目基本情况!B5</f>
        <v>民生信托</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D32" sqref="D32"/>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1889</v>
      </c>
      <c r="B1" s="1902"/>
      <c r="C1" s="1903"/>
      <c r="D1" s="1902"/>
      <c r="E1" s="1902"/>
      <c r="F1" s="1904" t="s">
        <v>1890</v>
      </c>
      <c r="G1" s="1716"/>
      <c r="H1" s="1905" t="str">
        <f>IF(G1="现房","——","估价对象范围")</f>
        <v>估价对象范围</v>
      </c>
      <c r="I1" s="1906"/>
    </row>
    <row r="2" spans="1:12" ht="21.75" customHeight="1" thickBot="1">
      <c r="A2" s="3426" t="str">
        <f>项目基本情况!S2</f>
        <v>福建省福州市长乐区鹤上镇京岭路北侧、道庆路西侧房地产</v>
      </c>
      <c r="B2" s="3427"/>
      <c r="C2" s="3427"/>
      <c r="D2" s="3427"/>
      <c r="E2" s="3427"/>
      <c r="F2" s="3427"/>
      <c r="G2" s="3427"/>
      <c r="H2" s="3427"/>
      <c r="I2" s="3428"/>
    </row>
    <row r="3" spans="1:12" ht="12.75">
      <c r="A3" s="3430" t="s">
        <v>1891</v>
      </c>
      <c r="B3" s="3431"/>
      <c r="C3" s="3431"/>
      <c r="D3" s="3431"/>
      <c r="E3" s="3431"/>
      <c r="F3" s="3431"/>
      <c r="G3" s="3431"/>
      <c r="H3" s="3431"/>
      <c r="I3" s="3431"/>
    </row>
    <row r="4" spans="1:12" ht="14.25">
      <c r="A4" s="1909" t="s">
        <v>1892</v>
      </c>
      <c r="B4" s="1910" t="s">
        <v>1893</v>
      </c>
      <c r="C4" s="1911" t="s">
        <v>3389</v>
      </c>
      <c r="D4" s="1911" t="s">
        <v>3389</v>
      </c>
      <c r="E4" s="3435" t="s">
        <v>1894</v>
      </c>
      <c r="F4" s="3436"/>
      <c r="G4" s="3436"/>
      <c r="H4" s="3436"/>
      <c r="I4" s="343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1" t="s">
        <v>1895</v>
      </c>
      <c r="B5" s="3429">
        <v>25</v>
      </c>
      <c r="C5" s="3432"/>
      <c r="D5" s="3420"/>
      <c r="E5" s="136" t="s">
        <v>1896</v>
      </c>
      <c r="F5" s="1912"/>
      <c r="G5" s="1912"/>
      <c r="H5" s="1912"/>
      <c r="I5" s="1527"/>
    </row>
    <row r="6" spans="1:12" ht="12.75">
      <c r="A6" s="3371"/>
      <c r="B6" s="3429"/>
      <c r="C6" s="3434"/>
      <c r="D6" s="3420"/>
      <c r="E6" s="136" t="s">
        <v>1897</v>
      </c>
      <c r="F6" s="1912"/>
      <c r="G6" s="1912"/>
      <c r="H6" s="1912"/>
      <c r="I6" s="1527"/>
    </row>
    <row r="7" spans="1:12" ht="12.75">
      <c r="A7" s="3371"/>
      <c r="B7" s="3429"/>
      <c r="C7" s="3433"/>
      <c r="D7" s="3420"/>
      <c r="E7" s="136" t="s">
        <v>1898</v>
      </c>
      <c r="F7" s="1912"/>
      <c r="G7" s="1912"/>
      <c r="H7" s="1912"/>
      <c r="I7" s="1527"/>
    </row>
    <row r="8" spans="1:12" ht="12.75">
      <c r="A8" s="3371" t="s">
        <v>1899</v>
      </c>
      <c r="B8" s="3429">
        <v>15</v>
      </c>
      <c r="C8" s="3432"/>
      <c r="D8" s="3420"/>
      <c r="E8" s="136" t="s">
        <v>1900</v>
      </c>
      <c r="F8" s="1912"/>
      <c r="G8" s="1912"/>
      <c r="H8" s="1912"/>
      <c r="I8" s="1527"/>
    </row>
    <row r="9" spans="1:12" ht="12.75">
      <c r="A9" s="3371"/>
      <c r="B9" s="3429"/>
      <c r="C9" s="3433"/>
      <c r="D9" s="3420"/>
      <c r="E9" s="136" t="s">
        <v>1901</v>
      </c>
      <c r="F9" s="1912"/>
      <c r="G9" s="1912"/>
      <c r="H9" s="1912"/>
      <c r="I9" s="1527"/>
    </row>
    <row r="10" spans="1:12" ht="12.75">
      <c r="A10" s="3371" t="s">
        <v>1902</v>
      </c>
      <c r="B10" s="3429">
        <v>15</v>
      </c>
      <c r="C10" s="3432"/>
      <c r="D10" s="3420"/>
      <c r="E10" s="136" t="s">
        <v>1903</v>
      </c>
      <c r="F10" s="1912"/>
      <c r="G10" s="1912"/>
      <c r="H10" s="1912"/>
      <c r="I10" s="1527"/>
    </row>
    <row r="11" spans="1:12" ht="12.75">
      <c r="A11" s="3371"/>
      <c r="B11" s="3429"/>
      <c r="C11" s="3433"/>
      <c r="D11" s="3420"/>
      <c r="E11" s="136" t="s">
        <v>1904</v>
      </c>
      <c r="F11" s="1912"/>
      <c r="G11" s="1912"/>
      <c r="H11" s="1912"/>
      <c r="I11" s="1527"/>
    </row>
    <row r="12" spans="1:12" ht="12.75">
      <c r="A12" s="3371" t="s">
        <v>1905</v>
      </c>
      <c r="B12" s="3429">
        <v>15</v>
      </c>
      <c r="C12" s="3432"/>
      <c r="D12" s="3420"/>
      <c r="E12" s="136" t="s">
        <v>1906</v>
      </c>
      <c r="F12" s="1912"/>
      <c r="G12" s="1912"/>
      <c r="H12" s="1912"/>
      <c r="I12" s="1527"/>
    </row>
    <row r="13" spans="1:12" ht="12.75">
      <c r="A13" s="3371"/>
      <c r="B13" s="3429"/>
      <c r="C13" s="3433"/>
      <c r="D13" s="3420"/>
      <c r="E13" s="136" t="s">
        <v>1907</v>
      </c>
      <c r="F13" s="1912"/>
      <c r="G13" s="1912"/>
      <c r="H13" s="1912"/>
      <c r="I13" s="1527"/>
    </row>
    <row r="14" spans="1:12" ht="12.75">
      <c r="A14" s="3371" t="s">
        <v>1908</v>
      </c>
      <c r="B14" s="3429">
        <v>30</v>
      </c>
      <c r="C14" s="3432">
        <v>5</v>
      </c>
      <c r="D14" s="3420">
        <v>5</v>
      </c>
      <c r="E14" s="136" t="s">
        <v>1909</v>
      </c>
      <c r="F14" s="1912"/>
      <c r="G14" s="1912"/>
      <c r="H14" s="1912"/>
      <c r="I14" s="1527"/>
    </row>
    <row r="15" spans="1:12" ht="12.75">
      <c r="A15" s="3371"/>
      <c r="B15" s="3429"/>
      <c r="C15" s="3434"/>
      <c r="D15" s="3420"/>
      <c r="E15" s="136" t="s">
        <v>1910</v>
      </c>
      <c r="F15" s="1912"/>
      <c r="G15" s="1912"/>
      <c r="H15" s="1912"/>
      <c r="I15" s="1527"/>
    </row>
    <row r="16" spans="1:12" ht="12.75">
      <c r="A16" s="3371"/>
      <c r="B16" s="3429"/>
      <c r="C16" s="3433"/>
      <c r="D16" s="3420"/>
      <c r="E16" s="136" t="s">
        <v>1911</v>
      </c>
      <c r="F16" s="1912"/>
      <c r="G16" s="1912"/>
      <c r="H16" s="1912"/>
      <c r="I16" s="1527"/>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451" t="s">
        <v>2815</v>
      </c>
      <c r="F18" s="3452"/>
      <c r="G18" s="3452"/>
      <c r="H18" s="3452"/>
      <c r="I18" s="3452"/>
      <c r="K18" s="308" t="s">
        <v>1916</v>
      </c>
      <c r="L18" s="308">
        <f>IF(C1="",'数据-汇总表'!E3,SUMIF(项目类型,C1,'数据-汇总表'!E17:E26)+SUMIF(项目类型,C1,'数据-汇总表'!I17:I26))</f>
        <v>39892.17</v>
      </c>
      <c r="M18" s="308">
        <f>IF(C1="",'数据-汇总表'!E3,SUMIF(项目类型,C1,'数据-汇总表'!E17:E26))</f>
        <v>39892.17</v>
      </c>
    </row>
    <row r="19" spans="1:36" ht="15">
      <c r="A19" s="1916" t="s">
        <v>1917</v>
      </c>
      <c r="B19" s="1917" t="s">
        <v>1918</v>
      </c>
      <c r="C19" s="139">
        <f ca="1">SUMIF(INDIRECT("'"&amp;C4&amp;"'"&amp;"!A:A"),结果表!B19,INDIRECT("'"&amp;C4&amp;"'"&amp;"!B:B"))</f>
        <v>3870</v>
      </c>
      <c r="D19" s="140">
        <f ca="1">SUMIF(INDIRECT("'"&amp;D4&amp;"'"&amp;"!A:A"),结果表!B19,INDIRECT("'"&amp;D4&amp;"'"&amp;"!B:B"))</f>
        <v>3870</v>
      </c>
      <c r="E19" s="1916" t="s">
        <v>1919</v>
      </c>
      <c r="F19" s="1917" t="s">
        <v>1918</v>
      </c>
      <c r="G19" s="141">
        <f ca="1">ROUND(C19*$C$18+D19*$D$18,0)</f>
        <v>3870</v>
      </c>
      <c r="H19" s="1918" t="s">
        <v>1920</v>
      </c>
      <c r="I19" s="134"/>
      <c r="K19" s="308" t="s">
        <v>1921</v>
      </c>
      <c r="L19" s="308">
        <f>IF(C1="",'数据-汇总表'!D3,SUMIF(项目类型,C1,'数据-汇总表'!D17:D26)+SUMIF(项目类型,C1,'数据-汇总表'!H17:H27))</f>
        <v>13546.29</v>
      </c>
      <c r="M19" s="308">
        <f>IF(C1="",'数据-汇总表'!D3,SUMIF(项目类型,C1,'数据-汇总表'!D17:D26))</f>
        <v>13546.29</v>
      </c>
    </row>
    <row r="20" spans="1:36" ht="15">
      <c r="A20" s="1919"/>
      <c r="B20" s="1157" t="s">
        <v>1922</v>
      </c>
      <c r="C20" s="142">
        <f ca="1">SUMIF(INDIRECT("'"&amp;C4&amp;"'"&amp;"!A:A"),结果表!B20,INDIRECT("'"&amp;C4&amp;"'"&amp;"!B:B"))</f>
        <v>970</v>
      </c>
      <c r="D20" s="143">
        <f ca="1">SUMIF(INDIRECT("'"&amp;D4&amp;"'"&amp;"!A:A"),结果表!B20,INDIRECT("'"&amp;D4&amp;"'"&amp;"!B:B"))</f>
        <v>970</v>
      </c>
      <c r="E20" s="1919"/>
      <c r="F20" s="1157" t="s">
        <v>1922</v>
      </c>
      <c r="G20" s="144">
        <f ca="1">ROUND(C20*$C$18+D20*$D$18,0)</f>
        <v>970</v>
      </c>
      <c r="H20" s="917" t="s">
        <v>1923</v>
      </c>
      <c r="I20" s="134"/>
    </row>
    <row r="21" spans="1:36" ht="15" customHeight="1" thickBot="1">
      <c r="A21" s="937"/>
      <c r="B21" s="1920" t="s">
        <v>1924</v>
      </c>
      <c r="C21" s="728">
        <f ca="1">ROUND(C19*10000/L19,0)</f>
        <v>2857</v>
      </c>
      <c r="D21" s="729">
        <f ca="1">ROUND(D19*10000/L19,0)</f>
        <v>2857</v>
      </c>
      <c r="E21" s="937"/>
      <c r="F21" s="1920" t="s">
        <v>1924</v>
      </c>
      <c r="G21" s="145">
        <f ca="1">ROUND(G19*10000/L19,0)</f>
        <v>2857</v>
      </c>
      <c r="H21" s="1921" t="s">
        <v>1923</v>
      </c>
      <c r="I21" s="134"/>
    </row>
    <row r="22" spans="1:36" ht="15" thickBot="1">
      <c r="A22" s="1843" t="s">
        <v>1925</v>
      </c>
      <c r="B22" s="1922"/>
      <c r="C22" s="1923"/>
      <c r="D22" s="730">
        <f ca="1">IF(C19&lt;D19,D19/C19-1,C19/D19-1)</f>
        <v>0</v>
      </c>
      <c r="E22" s="134"/>
      <c r="F22" s="134"/>
      <c r="G22" s="134"/>
      <c r="H22" s="134"/>
      <c r="I22" s="134"/>
    </row>
    <row r="23" spans="1:36" ht="13.5" thickBot="1">
      <c r="A23" s="1902"/>
      <c r="B23" s="1902"/>
      <c r="C23" s="1902"/>
      <c r="D23" s="1902"/>
      <c r="E23" s="134"/>
      <c r="F23" s="134"/>
      <c r="G23" s="134"/>
      <c r="H23" s="134"/>
      <c r="I23" s="134"/>
    </row>
    <row r="24" spans="1:36" ht="14.25">
      <c r="A24" s="3444" t="s">
        <v>1926</v>
      </c>
      <c r="B24" s="1917" t="s">
        <v>1918</v>
      </c>
      <c r="C24" s="141">
        <f>IF(B30=0,0,D30)</f>
        <v>0</v>
      </c>
      <c r="D24" s="1924"/>
      <c r="E24" s="134"/>
      <c r="F24" s="134"/>
      <c r="G24" s="134"/>
      <c r="H24" s="134"/>
      <c r="I24" s="134"/>
    </row>
    <row r="25" spans="1:36" ht="14.25">
      <c r="A25" s="3445"/>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2816</v>
      </c>
      <c r="F30" s="134"/>
      <c r="G30" s="134"/>
      <c r="H30" s="134"/>
      <c r="I30" s="134"/>
    </row>
    <row r="31" spans="1:36" s="2496" customFormat="1" ht="26.45" customHeight="1" thickTop="1" thickBot="1">
      <c r="A31" s="2491"/>
      <c r="B31" s="2492"/>
      <c r="C31" s="2492"/>
      <c r="D31" s="2492"/>
      <c r="E31" s="2492"/>
      <c r="F31" s="2492"/>
      <c r="G31" s="2492"/>
      <c r="H31" s="2492"/>
      <c r="I31" s="2493" t="s">
        <v>2817</v>
      </c>
      <c r="J31" s="2883"/>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3870</v>
      </c>
      <c r="D32" s="1930" t="s">
        <v>3390</v>
      </c>
      <c r="E32" s="134"/>
      <c r="F32" s="134"/>
      <c r="G32" s="134"/>
      <c r="H32" s="134"/>
      <c r="I32" s="134"/>
    </row>
    <row r="33" spans="1:15" ht="15">
      <c r="A33" s="894" t="s">
        <v>1933</v>
      </c>
      <c r="B33" s="1931"/>
      <c r="C33" s="1932"/>
      <c r="D33" s="1933"/>
      <c r="E33" s="1934" t="s">
        <v>1934</v>
      </c>
      <c r="F33" s="1935" t="str">
        <f>IF(D32="楼面单价","取值（单价）","取值（总价）")</f>
        <v>取值（总价）</v>
      </c>
      <c r="G33" s="134"/>
      <c r="H33" s="134"/>
      <c r="I33" s="134"/>
    </row>
    <row r="34" spans="1:15" ht="15">
      <c r="A34" s="1936"/>
      <c r="B34" s="1937" t="s">
        <v>1935</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1936</v>
      </c>
      <c r="F34" s="1470"/>
      <c r="G34" s="134"/>
      <c r="H34" s="134"/>
      <c r="I34" s="134"/>
    </row>
    <row r="35" spans="1:15" ht="15.75" thickBot="1">
      <c r="A35" s="1939"/>
      <c r="B35" s="1940" t="s">
        <v>1937</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1938</v>
      </c>
      <c r="F35" s="159"/>
      <c r="G35" s="134"/>
      <c r="H35" s="134"/>
      <c r="I35" s="134"/>
    </row>
    <row r="36" spans="1:15" ht="15.75" thickBot="1">
      <c r="A36" s="3421" t="s">
        <v>1939</v>
      </c>
      <c r="B36" s="1942" t="s">
        <v>1940</v>
      </c>
      <c r="C36" s="150"/>
      <c r="D36" s="1943"/>
      <c r="E36" s="1944"/>
      <c r="F36" s="1945"/>
      <c r="G36" s="134"/>
      <c r="H36" s="134"/>
      <c r="I36" s="134"/>
    </row>
    <row r="37" spans="1:15" ht="15.75" thickBot="1">
      <c r="A37" s="3422"/>
      <c r="B37" s="1829" t="s">
        <v>1941</v>
      </c>
      <c r="C37" s="152"/>
      <c r="D37" s="1273"/>
      <c r="E37" s="1273"/>
      <c r="F37" s="1945"/>
      <c r="G37" s="134"/>
      <c r="H37" s="134"/>
      <c r="I37" s="134"/>
    </row>
    <row r="38" spans="1:15" ht="15.75" thickBot="1">
      <c r="A38" s="3423"/>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441" t="s">
        <v>1953</v>
      </c>
      <c r="B45" s="3442"/>
      <c r="C45" s="3443"/>
      <c r="D45" s="160">
        <f ca="1">ROUND(H101*F45,0)</f>
        <v>3870</v>
      </c>
      <c r="E45" s="161" t="s">
        <v>1954</v>
      </c>
      <c r="F45" s="162">
        <v>1</v>
      </c>
      <c r="G45" s="163" t="s">
        <v>1955</v>
      </c>
      <c r="H45" s="134"/>
      <c r="I45" s="134"/>
      <c r="J45" s="3358" t="s">
        <v>1956</v>
      </c>
      <c r="K45" s="3358"/>
      <c r="L45" s="3358"/>
      <c r="M45" s="3358"/>
      <c r="N45" s="3358"/>
      <c r="O45" s="3358"/>
    </row>
    <row r="46" spans="1:15" ht="14.25" customHeight="1">
      <c r="A46" s="3438" t="s">
        <v>1957</v>
      </c>
      <c r="B46" s="3439"/>
      <c r="C46" s="3439"/>
      <c r="D46" s="3439"/>
      <c r="E46" s="3439"/>
      <c r="F46" s="3439"/>
      <c r="G46" s="3440"/>
      <c r="H46" s="1961"/>
      <c r="I46" s="164"/>
      <c r="J46" s="2715">
        <v>1</v>
      </c>
      <c r="K46" s="3359" t="s">
        <v>1958</v>
      </c>
      <c r="L46" s="3359"/>
      <c r="M46" s="3360"/>
      <c r="N46" s="3360"/>
      <c r="O46" s="3360"/>
    </row>
    <row r="47" spans="1:15" ht="12" customHeight="1">
      <c r="A47" s="165" t="s">
        <v>1959</v>
      </c>
      <c r="B47" s="166"/>
      <c r="C47" s="167"/>
      <c r="D47" s="1219" t="s">
        <v>1960</v>
      </c>
      <c r="E47" s="308" t="s">
        <v>1961</v>
      </c>
      <c r="F47" s="168" t="s">
        <v>1962</v>
      </c>
      <c r="G47" s="2738" t="s">
        <v>1963</v>
      </c>
      <c r="H47" s="2739"/>
      <c r="I47" s="164"/>
      <c r="J47" s="2715">
        <v>2</v>
      </c>
      <c r="K47" s="3359" t="s">
        <v>1964</v>
      </c>
      <c r="L47" s="3359"/>
      <c r="M47" s="3361">
        <f>'数据-取费表'!B2</f>
        <v>44623</v>
      </c>
      <c r="N47" s="3361"/>
      <c r="O47" s="3361"/>
    </row>
    <row r="48" spans="1:15" ht="25.5">
      <c r="A48" s="3424" t="s">
        <v>1965</v>
      </c>
      <c r="B48" s="3425"/>
      <c r="C48" s="3425"/>
      <c r="D48" s="2516" t="b">
        <f>IF(H48="情况1",0,IF(H48="情况2",D52,IF(H48="情况3",D53,IF(H48="情况4",D54))))</f>
        <v>0</v>
      </c>
      <c r="E48" s="2526" t="str">
        <f>IF(H48="情况4","(销售额-原购置价)×税（费）率","销售额×税（费）率")</f>
        <v>销售额×税（费）率</v>
      </c>
      <c r="F48" s="2740">
        <f>IF(H48="情况1","免征",'数据-取费表'!B41)</f>
        <v>5.6000000000000001E-2</v>
      </c>
      <c r="G48" s="2741" t="s">
        <v>1966</v>
      </c>
      <c r="H48" s="2742"/>
      <c r="I48" s="1961"/>
      <c r="J48" s="2715">
        <v>3</v>
      </c>
      <c r="K48" s="3359" t="s">
        <v>1967</v>
      </c>
      <c r="L48" s="3359"/>
      <c r="M48" s="3362">
        <f ca="1">H101</f>
        <v>3870</v>
      </c>
      <c r="N48" s="3362"/>
      <c r="O48" s="3362"/>
    </row>
    <row r="49" spans="1:35" ht="25.5" customHeight="1">
      <c r="A49" s="2525" t="s">
        <v>1968</v>
      </c>
      <c r="B49" s="3407" t="s">
        <v>1969</v>
      </c>
      <c r="C49" s="3407"/>
      <c r="D49" s="1745">
        <v>0</v>
      </c>
      <c r="E49" s="330" t="s">
        <v>1970</v>
      </c>
      <c r="F49" s="2616" t="s">
        <v>34</v>
      </c>
      <c r="G49" s="3390"/>
      <c r="H49" s="2497" t="s">
        <v>2818</v>
      </c>
      <c r="I49" s="2498"/>
      <c r="J49" s="2715">
        <v>4</v>
      </c>
      <c r="K49" s="3359" t="str">
        <f>IF(项目基本情况!E8="房地产抵押价值","房地产抵押价值","抵押担保权已注销时的房地产抵押价值")</f>
        <v>抵押担保权已注销时的房地产抵押价值</v>
      </c>
      <c r="L49" s="3359"/>
      <c r="M49" s="3362" t="str">
        <f>IF(项目基本情况!E8="房地产抵押价值",H107,H109)</f>
        <v>——</v>
      </c>
      <c r="N49" s="3362"/>
      <c r="O49" s="3362"/>
    </row>
    <row r="50" spans="1:35" ht="25.5" customHeight="1">
      <c r="A50" s="2743"/>
      <c r="B50" s="3407" t="s">
        <v>1971</v>
      </c>
      <c r="C50" s="3407"/>
      <c r="D50" s="2744"/>
      <c r="E50" s="338"/>
      <c r="F50" s="2616"/>
      <c r="G50" s="3391"/>
      <c r="H50" s="2499" t="s">
        <v>2819</v>
      </c>
      <c r="I50" s="2498"/>
      <c r="J50" s="3358" t="s">
        <v>1972</v>
      </c>
      <c r="K50" s="3358"/>
      <c r="L50" s="3358"/>
      <c r="M50" s="3358"/>
      <c r="N50" s="3358"/>
      <c r="O50" s="3358"/>
    </row>
    <row r="51" spans="1:35" ht="20.45" customHeight="1">
      <c r="A51" s="2745"/>
      <c r="B51" s="3407" t="s">
        <v>1973</v>
      </c>
      <c r="C51" s="3407"/>
      <c r="D51" s="1219"/>
      <c r="E51" s="333"/>
      <c r="F51" s="2616"/>
      <c r="G51" s="3392"/>
      <c r="H51" s="2499" t="s">
        <v>2820</v>
      </c>
      <c r="I51" s="2498"/>
      <c r="J51" s="2716" t="s">
        <v>1974</v>
      </c>
      <c r="K51" s="3359" t="s">
        <v>1975</v>
      </c>
      <c r="L51" s="3359"/>
      <c r="M51" s="2716" t="s">
        <v>1976</v>
      </c>
      <c r="N51" s="2716" t="s">
        <v>1977</v>
      </c>
      <c r="O51" s="2716" t="s">
        <v>1978</v>
      </c>
    </row>
    <row r="52" spans="1:35" ht="24" customHeight="1">
      <c r="A52" s="2527" t="s">
        <v>1979</v>
      </c>
      <c r="B52" s="3407" t="s">
        <v>1980</v>
      </c>
      <c r="C52" s="3407"/>
      <c r="D52" s="1219">
        <f ca="1">ROUND(D45*'数据-取费表'!B41/(1+'数据-取费表'!C42),0)</f>
        <v>206</v>
      </c>
      <c r="E52" s="2526" t="s">
        <v>1981</v>
      </c>
      <c r="F52" s="2746">
        <f>'数据-取费表'!B41</f>
        <v>5.6000000000000001E-2</v>
      </c>
      <c r="G52" s="2747"/>
      <c r="H52" s="2736"/>
      <c r="I52" s="1962"/>
      <c r="J52" s="2715">
        <v>1</v>
      </c>
      <c r="K52" s="3384" t="s">
        <v>1982</v>
      </c>
      <c r="L52" s="3384"/>
      <c r="M52" s="2717" t="b">
        <f>D48</f>
        <v>0</v>
      </c>
      <c r="N52" s="2715" t="str">
        <f>E48</f>
        <v>销售额×税（费）率</v>
      </c>
      <c r="O52" s="2718">
        <f>F48</f>
        <v>5.6000000000000001E-2</v>
      </c>
    </row>
    <row r="53" spans="1:35" ht="12" customHeight="1">
      <c r="A53" s="2527" t="s">
        <v>1983</v>
      </c>
      <c r="B53" s="3408" t="s">
        <v>2979</v>
      </c>
      <c r="C53" s="3409"/>
      <c r="D53" s="1219">
        <f ca="1">ROUND(D45*'数据-取费表'!B41/(1+'数据-取费表'!C42),0)</f>
        <v>206</v>
      </c>
      <c r="E53" s="2526" t="s">
        <v>1981</v>
      </c>
      <c r="F53" s="2746">
        <f>'数据-取费表'!B41</f>
        <v>5.6000000000000001E-2</v>
      </c>
      <c r="G53" s="2747"/>
      <c r="H53" s="2736"/>
      <c r="I53" s="1962"/>
      <c r="J53" s="2715">
        <v>2</v>
      </c>
      <c r="K53" s="3384" t="s">
        <v>1984</v>
      </c>
      <c r="L53" s="3384"/>
      <c r="M53" s="2717">
        <f t="shared" ref="M53:O54" ca="1" si="0">D55</f>
        <v>2</v>
      </c>
      <c r="N53" s="2715" t="str">
        <f t="shared" si="0"/>
        <v>销售额×税（费）率</v>
      </c>
      <c r="O53" s="2718" t="str">
        <f t="shared" si="0"/>
        <v>免征</v>
      </c>
    </row>
    <row r="54" spans="1:35" ht="12" customHeight="1">
      <c r="A54" s="2527" t="s">
        <v>1985</v>
      </c>
      <c r="B54" s="3408" t="s">
        <v>2980</v>
      </c>
      <c r="C54" s="3409"/>
      <c r="D54" s="1219">
        <f ca="1">C68</f>
        <v>206</v>
      </c>
      <c r="E54" s="333" t="s">
        <v>1986</v>
      </c>
      <c r="F54" s="2746">
        <f>'数据-取费表'!B41</f>
        <v>5.6000000000000001E-2</v>
      </c>
      <c r="G54" s="2747"/>
      <c r="H54" s="2748"/>
      <c r="I54" s="1962"/>
      <c r="J54" s="2715">
        <v>3</v>
      </c>
      <c r="K54" s="3384" t="s">
        <v>1987</v>
      </c>
      <c r="L54" s="3384"/>
      <c r="M54" s="2717">
        <f t="shared" ca="1" si="0"/>
        <v>2191</v>
      </c>
      <c r="N54" s="2715" t="str">
        <f t="shared" si="0"/>
        <v>增值额×税（费）率</v>
      </c>
      <c r="O54" s="2719" t="str">
        <f t="shared" si="0"/>
        <v>免征</v>
      </c>
    </row>
    <row r="55" spans="1:35" ht="24" customHeight="1">
      <c r="A55" s="3447" t="s">
        <v>1988</v>
      </c>
      <c r="B55" s="3425"/>
      <c r="C55" s="3425"/>
      <c r="D55" s="2516">
        <f ca="1">IF(H55="个人住宅",0,ROUND(D45*I55,0))</f>
        <v>2</v>
      </c>
      <c r="E55" s="2526" t="s">
        <v>1989</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37</v>
      </c>
      <c r="N55" s="2197" t="str">
        <f>E59</f>
        <v>差额计税</v>
      </c>
      <c r="O55" s="2721">
        <f>F59</f>
        <v>0.01</v>
      </c>
    </row>
    <row r="56" spans="1:35" ht="24.75">
      <c r="A56" s="3447" t="s">
        <v>1990</v>
      </c>
      <c r="B56" s="3425"/>
      <c r="C56" s="3425"/>
      <c r="D56" s="2516">
        <f ca="1">IF(H56="个人住宅",D57,D58)</f>
        <v>2191</v>
      </c>
      <c r="E56" s="2526" t="s">
        <v>1991</v>
      </c>
      <c r="F56" s="2746" t="str">
        <f>IF(H56="正常",F58,"免征")</f>
        <v>免征</v>
      </c>
      <c r="G56" s="2749" t="s">
        <v>1992</v>
      </c>
      <c r="H56" s="2750"/>
      <c r="I56" s="1963"/>
      <c r="J56" s="2715" t="str">
        <f>IF(项目基本情况!K6="上海银行",IF(J55="",4,J55+1),"")</f>
        <v/>
      </c>
      <c r="K56" s="3365" t="str">
        <f>IF(项目基本情况!K6="上海银行","其他处置费用","")</f>
        <v/>
      </c>
      <c r="L56" s="3366"/>
      <c r="M56" s="2717" t="str">
        <f>IF(项目基本情况!K6="上海银行",M69,"")</f>
        <v/>
      </c>
      <c r="N56" s="3365" t="str">
        <f>IF(项目基本情况!K6="上海银行","包含处置中涉及的律师、诉讼、拍卖、评估等费用","")</f>
        <v/>
      </c>
      <c r="O56" s="3368"/>
    </row>
    <row r="57" spans="1:35" ht="12.75">
      <c r="A57" s="2527" t="s">
        <v>1968</v>
      </c>
      <c r="B57" s="3408" t="s">
        <v>1993</v>
      </c>
      <c r="C57" s="3409"/>
      <c r="D57" s="1745">
        <v>0</v>
      </c>
      <c r="E57" s="330" t="s">
        <v>1970</v>
      </c>
      <c r="F57" s="308"/>
      <c r="G57" s="2747"/>
      <c r="H57" s="2751"/>
      <c r="I57" s="1963"/>
      <c r="J57" s="3384">
        <f>IF(AND(J55="",J56=""),4,IF(项目基本情况!K6="上海银行",结果表!J56+1,结果表!J55+1))</f>
        <v>5</v>
      </c>
      <c r="K57" s="3384" t="s">
        <v>1994</v>
      </c>
      <c r="L57" s="2722" t="s">
        <v>1995</v>
      </c>
      <c r="M57" s="2723"/>
      <c r="N57" s="2724">
        <f ca="1">SUMIF(M52:M56,"&lt;9e307")</f>
        <v>2230</v>
      </c>
      <c r="O57" s="2725"/>
      <c r="P57" s="2884" t="e">
        <f ca="1">N57/M49</f>
        <v>#VALUE!</v>
      </c>
    </row>
    <row r="58" spans="1:35" ht="24.75">
      <c r="A58" s="2527" t="s">
        <v>1979</v>
      </c>
      <c r="B58" s="3408" t="s">
        <v>1996</v>
      </c>
      <c r="C58" s="3407"/>
      <c r="D58" s="2516">
        <f ca="1">IF(H58="转让取得",C81,C97)</f>
        <v>2191</v>
      </c>
      <c r="E58" s="2526" t="s">
        <v>1991</v>
      </c>
      <c r="F58" s="308" t="s">
        <v>34</v>
      </c>
      <c r="G58" s="2747"/>
      <c r="H58" s="2750"/>
      <c r="I58" s="1963"/>
      <c r="J58" s="3384"/>
      <c r="K58" s="3384"/>
      <c r="L58" s="2722" t="s">
        <v>1997</v>
      </c>
      <c r="M58" s="2726"/>
      <c r="N58" s="2727" t="str">
        <f ca="1">NUMBERSTRING(INT(N57*10000),2)&amp;"元整"</f>
        <v>贰仟贰佰叁拾万元整</v>
      </c>
      <c r="O58" s="2728"/>
    </row>
    <row r="59" spans="1:35" ht="24.75" thickBot="1">
      <c r="A59" s="3388" t="s">
        <v>1998</v>
      </c>
      <c r="B59" s="3389"/>
      <c r="C59" s="3389"/>
      <c r="D59" s="2752">
        <f ca="1">IF(H59="非个人房产","——",IF(H59="个人住宅（满五唯一有凭证）",0,IF(H59="个人其他（无凭证）",ROUND(D45*F59,0),ROUND(C67*F59,0))))</f>
        <v>37</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1992</v>
      </c>
      <c r="H59" s="2501"/>
      <c r="I59" s="2500" t="s">
        <v>2821</v>
      </c>
      <c r="J59" s="3386">
        <f>J57+1</f>
        <v>6</v>
      </c>
      <c r="K59" s="3384" t="s">
        <v>1999</v>
      </c>
      <c r="L59" s="2715" t="s">
        <v>1995</v>
      </c>
      <c r="M59" s="2729"/>
      <c r="N59" s="2730" t="e">
        <f ca="1">M49-N57</f>
        <v>#VALUE!</v>
      </c>
      <c r="O59" s="2731"/>
    </row>
    <row r="60" spans="1:35" ht="12" customHeight="1">
      <c r="A60" s="1964"/>
      <c r="B60" s="1902"/>
      <c r="C60" s="1902"/>
      <c r="D60" s="1902"/>
      <c r="E60" s="1733"/>
      <c r="F60" s="1963"/>
      <c r="G60" s="1963"/>
      <c r="H60" s="1965"/>
      <c r="I60" s="134"/>
      <c r="J60" s="3387"/>
      <c r="K60" s="3384"/>
      <c r="L60" s="2722" t="s">
        <v>1997</v>
      </c>
      <c r="M60" s="2726"/>
      <c r="N60" s="2727" t="e">
        <f ca="1">NUMBERSTRING(INT(N59*10000),2)&amp;"元整"</f>
        <v>#VALUE!</v>
      </c>
      <c r="O60" s="2728"/>
    </row>
    <row r="61" spans="1:35" ht="13.5" thickBot="1">
      <c r="A61" s="3446" t="s">
        <v>2000</v>
      </c>
      <c r="B61" s="3446"/>
      <c r="C61" s="3446"/>
      <c r="D61" s="3446"/>
      <c r="E61" s="3446"/>
      <c r="F61" s="1963"/>
      <c r="G61" s="1963"/>
      <c r="H61" s="1965"/>
      <c r="I61" s="134"/>
      <c r="J61" s="2715">
        <f>J59+1</f>
        <v>7</v>
      </c>
      <c r="K61" s="3384" t="s">
        <v>2001</v>
      </c>
      <c r="L61" s="3384"/>
      <c r="M61" s="2732"/>
      <c r="N61" s="2733" t="e">
        <f ca="1">ROUND(N59*10000/'数据-汇总表'!E3,0)</f>
        <v>#VALUE!</v>
      </c>
      <c r="O61" s="2734"/>
    </row>
    <row r="62" spans="1:35" ht="12.75">
      <c r="A62" s="3403" t="s">
        <v>2002</v>
      </c>
      <c r="B62" s="3404"/>
      <c r="C62" s="2178"/>
      <c r="D62" s="2178" t="s">
        <v>2003</v>
      </c>
      <c r="E62" s="171" t="s">
        <v>2004</v>
      </c>
      <c r="F62" s="1963"/>
      <c r="G62" s="1963"/>
      <c r="H62" s="1965"/>
      <c r="I62" s="134"/>
    </row>
    <row r="63" spans="1:35" ht="12.75">
      <c r="A63" s="178" t="s">
        <v>775</v>
      </c>
      <c r="B63" s="172" t="s">
        <v>2005</v>
      </c>
      <c r="C63" s="2756">
        <f ca="1">ROUND((C64+C65)/(1+'数据-取费表'!C42),0)</f>
        <v>3686</v>
      </c>
      <c r="D63" s="172"/>
      <c r="E63" s="173"/>
      <c r="F63" s="1963"/>
      <c r="G63" s="1963"/>
      <c r="H63" s="1965"/>
      <c r="I63" s="134"/>
      <c r="J63" s="3367" t="s">
        <v>2006</v>
      </c>
      <c r="K63" s="1472" t="s">
        <v>2007</v>
      </c>
      <c r="L63" s="1472" t="e">
        <f>IF(M49&gt;10000,M49*0.5%,IF(AND(M49&gt;1000,M49&lt;=10000),M49*1%,IF(AND(M49&gt;100,M49&lt;=1000),M49*3%,IF(AND(M49&gt;10,M49&lt;=100),M49*5%,M49*8%))))</f>
        <v>#VALUE!</v>
      </c>
      <c r="M63" s="308" t="e">
        <f>ROUND(L63,1)</f>
        <v>#VALUE!</v>
      </c>
      <c r="N63" s="2735"/>
      <c r="Z63" s="1907"/>
      <c r="AI63" s="1908"/>
    </row>
    <row r="64" spans="1:35" ht="14.25" customHeight="1">
      <c r="A64" s="174" t="s">
        <v>770</v>
      </c>
      <c r="B64" s="175" t="s">
        <v>2008</v>
      </c>
      <c r="C64" s="2757">
        <f ca="1">D45</f>
        <v>3870</v>
      </c>
      <c r="D64" s="175" t="s">
        <v>32</v>
      </c>
      <c r="E64" s="177"/>
      <c r="F64" s="1963"/>
      <c r="G64" s="1963"/>
      <c r="H64" s="1965"/>
      <c r="I64" s="134"/>
      <c r="J64" s="3367"/>
      <c r="K64" s="1472" t="s">
        <v>2009</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36" t="s">
        <v>2010</v>
      </c>
      <c r="Z64" s="1907"/>
      <c r="AI64" s="1908"/>
    </row>
    <row r="65" spans="1:35" ht="14.25" customHeight="1">
      <c r="A65" s="174" t="s">
        <v>771</v>
      </c>
      <c r="B65" s="175" t="s">
        <v>2011</v>
      </c>
      <c r="C65" s="2758"/>
      <c r="D65" s="175"/>
      <c r="E65" s="177"/>
      <c r="F65" s="1963"/>
      <c r="G65" s="1963"/>
      <c r="H65" s="1965"/>
      <c r="I65" s="134"/>
      <c r="J65" s="3367"/>
      <c r="K65" s="1472" t="s">
        <v>2012</v>
      </c>
      <c r="L65" s="1472" t="e">
        <f>IF(M49&gt;1000,M49*0.1%,IF(AND(M49&gt;500,M49&lt;=1000),M49*0.5%,IF(AND(M49&gt;50,M49&lt;=500),M49*1%,IF(AND(M49&gt;1,M49&lt;=50),M49*1.5%))))</f>
        <v>#VALUE!</v>
      </c>
      <c r="M65" s="308" t="e">
        <f t="shared" si="1"/>
        <v>#VALUE!</v>
      </c>
      <c r="N65" s="2736" t="s">
        <v>2010</v>
      </c>
      <c r="Z65" s="1907"/>
      <c r="AI65" s="1908"/>
    </row>
    <row r="66" spans="1:35" ht="14.25" customHeight="1">
      <c r="A66" s="178" t="s">
        <v>772</v>
      </c>
      <c r="B66" s="179" t="s">
        <v>2013</v>
      </c>
      <c r="C66" s="2759"/>
      <c r="D66" s="179" t="s">
        <v>32</v>
      </c>
      <c r="E66" s="1479" t="s">
        <v>1277</v>
      </c>
      <c r="F66" s="1963"/>
      <c r="G66" s="1963"/>
      <c r="H66" s="1965"/>
      <c r="I66" s="134"/>
      <c r="J66" s="3367"/>
      <c r="K66" s="1472" t="s">
        <v>2014</v>
      </c>
      <c r="L66" s="1472" t="e">
        <f>M49*0.5%</f>
        <v>#VALUE!</v>
      </c>
      <c r="M66" s="308" t="e">
        <f>IF(L66&gt;0.5,0.5,ROUND(L66,0))</f>
        <v>#VALUE!</v>
      </c>
      <c r="N66" s="2736" t="s">
        <v>2015</v>
      </c>
      <c r="Z66" s="1907"/>
      <c r="AI66" s="1908"/>
    </row>
    <row r="67" spans="1:35" ht="14.25" customHeight="1">
      <c r="A67" s="178" t="s">
        <v>773</v>
      </c>
      <c r="B67" s="179" t="s">
        <v>2016</v>
      </c>
      <c r="C67" s="2760">
        <f ca="1">C63-C66</f>
        <v>3686</v>
      </c>
      <c r="D67" s="175" t="s">
        <v>32</v>
      </c>
      <c r="E67" s="177"/>
      <c r="F67" s="1963"/>
      <c r="G67" s="1963"/>
      <c r="H67" s="1965"/>
      <c r="I67" s="134"/>
      <c r="J67" s="3367"/>
      <c r="K67" s="1472" t="s">
        <v>2017</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5"/>
      <c r="Z67" s="1907"/>
      <c r="AI67" s="1908"/>
    </row>
    <row r="68" spans="1:35" ht="14.25" customHeight="1" thickBot="1">
      <c r="A68" s="181" t="s">
        <v>774</v>
      </c>
      <c r="B68" s="182" t="s">
        <v>2018</v>
      </c>
      <c r="C68" s="2761">
        <f ca="1">IF(C67&lt;=0,0,ROUND(C67*D68,0))</f>
        <v>206</v>
      </c>
      <c r="D68" s="2762">
        <f>'数据-取费表'!B41</f>
        <v>5.6000000000000001E-2</v>
      </c>
      <c r="E68" s="184"/>
      <c r="F68" s="1963"/>
      <c r="G68" s="1963"/>
      <c r="H68" s="1965"/>
      <c r="I68" s="134"/>
      <c r="J68" s="3367"/>
      <c r="K68" s="1472" t="s">
        <v>2019</v>
      </c>
      <c r="L68" s="1472" t="e">
        <f>IF(M49&gt;10000,M49*0.5%,IF(AND(M49&gt;5000,M49&lt;=10000),M49*1%,IF(AND(M49&gt;1000,M49&lt;=5000),M49*2%,IF(AND(M49&gt;200,M49&lt;=1000),M49*3%,M49*5%))))</f>
        <v>#VALUE!</v>
      </c>
      <c r="M68" s="308" t="e">
        <f>ROUND(L68,1)</f>
        <v>#VALUE!</v>
      </c>
      <c r="N68" s="2735"/>
      <c r="Z68" s="1907"/>
      <c r="AI68" s="1908"/>
    </row>
    <row r="69" spans="1:35" s="1927" customFormat="1" ht="16.5" customHeight="1">
      <c r="A69" s="1966"/>
      <c r="B69" s="1967"/>
      <c r="C69" s="1968"/>
      <c r="D69" s="1969"/>
      <c r="E69" s="1970"/>
      <c r="F69" s="1733"/>
      <c r="G69" s="1733"/>
      <c r="H69" s="1732"/>
      <c r="I69" s="1902"/>
      <c r="J69" s="3367"/>
      <c r="K69" s="1472" t="s">
        <v>2020</v>
      </c>
      <c r="L69" s="1472"/>
      <c r="M69" s="308" t="e">
        <f>ROUND(SUM(M63:M68),0)</f>
        <v>#VALUE!</v>
      </c>
      <c r="N69" s="2737" t="e">
        <f>M69/M49</f>
        <v>#VALUE!</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1" t="s">
        <v>2021</v>
      </c>
      <c r="B70" s="3412"/>
      <c r="C70" s="3412"/>
      <c r="D70" s="3412"/>
      <c r="E70" s="3412"/>
      <c r="F70" s="3412"/>
      <c r="G70" s="3412"/>
      <c r="H70" s="3412"/>
      <c r="I70" s="1971"/>
      <c r="J70" s="2885"/>
      <c r="K70" s="2885"/>
      <c r="L70" s="2885"/>
      <c r="M70" s="2885"/>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3" t="s">
        <v>2002</v>
      </c>
      <c r="B71" s="3404"/>
      <c r="C71" s="2178"/>
      <c r="D71" s="2178" t="s">
        <v>2003</v>
      </c>
      <c r="E71" s="185" t="s">
        <v>2004</v>
      </c>
      <c r="F71" s="186"/>
      <c r="G71" s="186"/>
      <c r="H71" s="187"/>
      <c r="I71" s="1975"/>
      <c r="J71" s="2885"/>
      <c r="K71" s="2885"/>
      <c r="L71" s="2885"/>
      <c r="M71" s="2885"/>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0">
        <f ca="1">ROUND(D45/(1+'数据-取费表'!C42),0)</f>
        <v>3686</v>
      </c>
      <c r="D72" s="175" t="s">
        <v>32</v>
      </c>
      <c r="E72" s="2523"/>
      <c r="F72" s="2522"/>
      <c r="G72" s="2522"/>
      <c r="H72" s="188"/>
      <c r="I72" s="1975"/>
      <c r="J72" s="2885"/>
      <c r="K72" s="2885"/>
      <c r="L72" s="2885"/>
      <c r="M72" s="2885"/>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0">
        <f ca="1">C74+C78</f>
        <v>22</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3"/>
      <c r="D75" s="175" t="s">
        <v>32</v>
      </c>
      <c r="E75" s="190" t="s">
        <v>2026</v>
      </c>
      <c r="F75" s="2764"/>
      <c r="G75" s="190" t="s">
        <v>2027</v>
      </c>
      <c r="H75" s="2765"/>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6">
        <v>0.05</v>
      </c>
      <c r="E76" s="3408" t="s">
        <v>2029</v>
      </c>
      <c r="F76" s="3407"/>
      <c r="G76" s="3407"/>
      <c r="H76" s="341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67">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68">
        <f ca="1">ROUND(D45*D78/(1+'数据-取费表'!C42),0)</f>
        <v>22</v>
      </c>
      <c r="D78" s="2769">
        <f>'数据-取费表'!B43</f>
        <v>6.000000000000001E-3</v>
      </c>
      <c r="E78" s="3400" t="s">
        <v>2033</v>
      </c>
      <c r="F78" s="3401"/>
      <c r="G78" s="3401"/>
      <c r="H78" s="340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0">
        <f ca="1">C72-C73</f>
        <v>3664</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0">
        <f ca="1">IF(C79&lt;=0,0,C79/C73)</f>
        <v>166.54545454545453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1">
        <f ca="1">ROUND(IF(C79&lt;=0,0,IF(C80&gt;=200%,C79*60%-C73*35%,IF(C80&gt;=100%,C79*50%-C73*15%,IF(C80&gt;=50%,C79*40%-C73*5%,IF(C80&lt;50%,C79*30%,0))))),0)</f>
        <v>2191</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1" t="s">
        <v>2037</v>
      </c>
      <c r="B83" s="3412"/>
      <c r="C83" s="3412"/>
      <c r="D83" s="3412"/>
      <c r="E83" s="3412"/>
      <c r="F83" s="3412"/>
      <c r="G83" s="3412"/>
      <c r="H83" s="341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3" t="s">
        <v>2002</v>
      </c>
      <c r="B84" s="3404"/>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0">
        <f ca="1">ROUND(D45/(1+'数据-取费表'!C42),0)</f>
        <v>3686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0">
        <f ca="1">IF(H88="仅含出让金",C87+C90+C91+C92+C93+C94,C87+C91+C92+C93+C94)</f>
        <v>22</v>
      </c>
      <c r="D86" s="2773"/>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68">
        <f>C88+C89</f>
        <v>0</v>
      </c>
      <c r="D87" s="2769"/>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4"/>
      <c r="D88" s="2769"/>
      <c r="E88" s="199" t="s">
        <v>2040</v>
      </c>
      <c r="F88" s="2519"/>
      <c r="G88" s="200" t="s">
        <v>2041</v>
      </c>
      <c r="H88" s="1979"/>
      <c r="I88" s="1976"/>
      <c r="J88" s="2713" t="s">
        <v>2976</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68">
        <f>ROUND(C88*D89,0)</f>
        <v>0</v>
      </c>
      <c r="D89" s="2769">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4"/>
      <c r="D90" s="2769"/>
      <c r="E90" s="199" t="str">
        <f>IF(H88="-","土地取得成本中已包含该笔费用"," ")</f>
        <v xml:space="preserve"> </v>
      </c>
      <c r="F90" s="2519"/>
      <c r="G90" s="3369" t="s">
        <v>2813</v>
      </c>
      <c r="H90" s="3370"/>
      <c r="I90" s="1976"/>
      <c r="J90" s="2713" t="s">
        <v>2977</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68">
        <f>IF(H91="——",成本法!C33,I91)</f>
        <v>0</v>
      </c>
      <c r="D91" s="2769"/>
      <c r="E91" s="3400" t="s">
        <v>2046</v>
      </c>
      <c r="F91" s="3401"/>
      <c r="G91" s="340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68">
        <f>ROUND((C87+C90+C91)*D92,0)</f>
        <v>0</v>
      </c>
      <c r="D92" s="2775"/>
      <c r="E92" s="3400" t="s">
        <v>2049</v>
      </c>
      <c r="F92" s="3401"/>
      <c r="G92" s="3401"/>
      <c r="H92" s="3402"/>
      <c r="I92" s="1976"/>
      <c r="J92" s="2714" t="s">
        <v>2978</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68">
        <f ca="1">ROUND(D45*D93/(1+'数据-取费表'!C42),0)</f>
        <v>22</v>
      </c>
      <c r="D93" s="2769">
        <f>'数据-取费表'!B43</f>
        <v>6.000000000000001E-3</v>
      </c>
      <c r="E93" s="3400" t="s">
        <v>2033</v>
      </c>
      <c r="F93" s="3401"/>
      <c r="G93" s="3401"/>
      <c r="H93" s="340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4">
        <f>ROUND((C87+C90+C91)*D94,0)</f>
        <v>0</v>
      </c>
      <c r="D94" s="2769">
        <v>0.2</v>
      </c>
      <c r="E94" s="3448" t="s">
        <v>2053</v>
      </c>
      <c r="F94" s="3449"/>
      <c r="G94" s="3449"/>
      <c r="H94" s="345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0">
        <f ca="1">ROUND(C85-C86,0)</f>
        <v>3664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0">
        <f ca="1">IF(C95&lt;=0,0,C95/C86)</f>
        <v>166.54545454545453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1">
        <f ca="1">ROUND(IF(C95&lt;=0,0,IF(C96&gt;=200%,C95*60%-C86*35%,IF(C96&gt;=100%,C95*50%-C86*15%,IF(C96&gt;=50%,C95*40%-C86*5%,IF(C96&lt;50%,C95*30%,0))))),0)</f>
        <v>2191</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2054</v>
      </c>
      <c r="B99" s="1902"/>
      <c r="C99" s="1902"/>
      <c r="D99" s="1902"/>
      <c r="E99" s="1733"/>
      <c r="F99" s="1733"/>
      <c r="G99" s="1733"/>
      <c r="H99" s="1732"/>
      <c r="I99" s="134"/>
    </row>
    <row r="100" spans="1:35" ht="18.75" customHeight="1">
      <c r="A100" s="3350" t="s">
        <v>2055</v>
      </c>
      <c r="B100" s="3351"/>
      <c r="C100" s="3351"/>
      <c r="D100" s="3385"/>
      <c r="E100" s="3351" t="s">
        <v>2056</v>
      </c>
      <c r="F100" s="3351"/>
      <c r="G100" s="3351"/>
      <c r="H100" s="3385"/>
      <c r="I100" s="134"/>
    </row>
    <row r="101" spans="1:35" ht="18.75" customHeight="1">
      <c r="A101" s="3393" t="s">
        <v>2057</v>
      </c>
      <c r="B101" s="3394"/>
      <c r="C101" s="2777" t="str">
        <f>C4</f>
        <v>成本法</v>
      </c>
      <c r="D101" s="2778" t="str">
        <f>D4</f>
        <v>成本法</v>
      </c>
      <c r="E101" s="3363" t="s">
        <v>2058</v>
      </c>
      <c r="F101" s="3364"/>
      <c r="G101" s="1982" t="s">
        <v>2059</v>
      </c>
      <c r="H101" s="2787">
        <f ca="1">H118</f>
        <v>3870</v>
      </c>
      <c r="I101" s="134"/>
    </row>
    <row r="102" spans="1:35" ht="18.75" customHeight="1">
      <c r="A102" s="3395" t="s">
        <v>2060</v>
      </c>
      <c r="B102" s="2776" t="s">
        <v>2059</v>
      </c>
      <c r="C102" s="2777">
        <f ca="1">C19</f>
        <v>3870</v>
      </c>
      <c r="D102" s="2778">
        <f ca="1">D19</f>
        <v>3870</v>
      </c>
      <c r="E102" s="3363"/>
      <c r="F102" s="3364"/>
      <c r="G102" s="1982" t="s">
        <v>2061</v>
      </c>
      <c r="H102" s="2747">
        <f ca="1">I118</f>
        <v>970</v>
      </c>
      <c r="I102" s="134"/>
    </row>
    <row r="103" spans="1:35" ht="42.75" customHeight="1">
      <c r="A103" s="3395"/>
      <c r="B103" s="2776" t="s">
        <v>2061</v>
      </c>
      <c r="C103" s="2779">
        <f ca="1">C20</f>
        <v>970</v>
      </c>
      <c r="D103" s="2780">
        <f ca="1">D20</f>
        <v>970</v>
      </c>
      <c r="E103" s="3356" t="s">
        <v>2062</v>
      </c>
      <c r="F103" s="3357"/>
      <c r="G103" s="1983" t="s">
        <v>2063</v>
      </c>
      <c r="H103" s="2787">
        <f>IF(D36="正常操作",H104+H105+H106,H105+H106)</f>
        <v>0</v>
      </c>
      <c r="I103" s="134"/>
    </row>
    <row r="104" spans="1:35" ht="18.75" customHeight="1">
      <c r="A104" s="3395" t="s">
        <v>2064</v>
      </c>
      <c r="B104" s="2781" t="s">
        <v>2059</v>
      </c>
      <c r="C104" s="2782">
        <f ca="1">H118</f>
        <v>3870</v>
      </c>
      <c r="D104" s="2783"/>
      <c r="E104" s="1829" t="s">
        <v>2065</v>
      </c>
      <c r="F104" s="1821"/>
      <c r="G104" s="1983" t="s">
        <v>2063</v>
      </c>
      <c r="H104" s="2788">
        <f>IF(D36="同一抵押权人同一抵押物续贷",C36&amp;"（续贷，未扣减，详见特别提示）",C36)</f>
        <v>0</v>
      </c>
      <c r="I104" s="134"/>
    </row>
    <row r="105" spans="1:35" ht="18.75" customHeight="1" thickBot="1">
      <c r="A105" s="3405"/>
      <c r="B105" s="2784" t="s">
        <v>2061</v>
      </c>
      <c r="C105" s="2785">
        <f ca="1">I118</f>
        <v>970</v>
      </c>
      <c r="D105" s="2786"/>
      <c r="E105" s="1829" t="s">
        <v>2066</v>
      </c>
      <c r="F105" s="1821"/>
      <c r="G105" s="1983" t="s">
        <v>2063</v>
      </c>
      <c r="H105" s="2789">
        <f>C37</f>
        <v>0</v>
      </c>
      <c r="I105" s="134"/>
    </row>
    <row r="106" spans="1:35" ht="18.75" customHeight="1">
      <c r="A106" s="1902" t="s">
        <v>2067</v>
      </c>
      <c r="B106" s="1902"/>
      <c r="C106" s="1902"/>
      <c r="D106" s="1902"/>
      <c r="E106" s="1984" t="s">
        <v>2068</v>
      </c>
      <c r="F106" s="1821"/>
      <c r="G106" s="1983" t="s">
        <v>2063</v>
      </c>
      <c r="H106" s="2789">
        <f>C38</f>
        <v>0</v>
      </c>
      <c r="I106" s="134"/>
    </row>
    <row r="107" spans="1:35" ht="18.75" customHeight="1">
      <c r="A107" s="134"/>
      <c r="B107" s="134"/>
      <c r="C107" s="134"/>
      <c r="D107" s="134"/>
      <c r="E107" s="3396" t="str">
        <f>IF(项目基本情况!E8="已注销","——","3.房地产抵押价值")</f>
        <v>3.房地产抵押价值</v>
      </c>
      <c r="F107" s="3364"/>
      <c r="G107" s="1982" t="s">
        <v>2059</v>
      </c>
      <c r="H107" s="2787">
        <f ca="1">IF(E107="——","——",H101-H103)</f>
        <v>3870</v>
      </c>
      <c r="I107" s="134"/>
    </row>
    <row r="108" spans="1:35" ht="18.75" customHeight="1">
      <c r="A108" s="134"/>
      <c r="B108" s="134"/>
      <c r="C108" s="134"/>
      <c r="D108" s="134"/>
      <c r="E108" s="3396"/>
      <c r="F108" s="3364"/>
      <c r="G108" s="1982" t="s">
        <v>2061</v>
      </c>
      <c r="H108" s="2747">
        <f ca="1">ROUND(H107*10000/'数据-汇总表'!E3,0)</f>
        <v>970</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64"/>
      <c r="G109" s="1982" t="s">
        <v>2059</v>
      </c>
      <c r="H109" s="2790" t="str">
        <f>IF(E109="——","——",H101-H105-H106)</f>
        <v>——</v>
      </c>
      <c r="I109" s="134"/>
    </row>
    <row r="110" spans="1:35" ht="18.75" customHeight="1">
      <c r="A110" s="134"/>
      <c r="B110" s="134"/>
      <c r="C110" s="134"/>
      <c r="D110" s="134"/>
      <c r="E110" s="3396"/>
      <c r="F110" s="3364"/>
      <c r="G110" s="1982" t="s">
        <v>2061</v>
      </c>
      <c r="H110" s="2747" t="str">
        <f>IF(H109="——","——",ROUND(H109*10000/'数据-汇总表'!E3,0))</f>
        <v>——</v>
      </c>
      <c r="I110" s="134"/>
    </row>
    <row r="111" spans="1:35" ht="18.75" customHeight="1">
      <c r="A111" s="134"/>
      <c r="B111" s="134"/>
      <c r="C111" s="134"/>
      <c r="D111" s="134"/>
      <c r="E111" s="3397" t="str">
        <f>IF(项目基本情况!E9="抵押净值",IF(OR(项目基本情况!E8="已注销",项目基本情况!E8="房地产抵押价值"),"4.抵押净值","5.抵押净值"),"——")</f>
        <v>——</v>
      </c>
      <c r="F111" s="3383"/>
      <c r="G111" s="1982" t="s">
        <v>2059</v>
      </c>
      <c r="H111" s="2787" t="str">
        <f>IF(E111="——","——",N59)</f>
        <v>——</v>
      </c>
      <c r="I111" s="134"/>
    </row>
    <row r="112" spans="1:35" ht="18.75" customHeight="1" thickBot="1">
      <c r="A112" s="134"/>
      <c r="B112" s="134"/>
      <c r="C112" s="134"/>
      <c r="D112" s="134"/>
      <c r="E112" s="3398"/>
      <c r="F112" s="3399"/>
      <c r="G112" s="1985" t="s">
        <v>2061</v>
      </c>
      <c r="H112" s="2791" t="str">
        <f>IF(E111="——","——",N61)</f>
        <v>——</v>
      </c>
      <c r="I112" s="134"/>
    </row>
    <row r="113" spans="1:27" ht="18.75" customHeight="1">
      <c r="A113" s="134"/>
      <c r="B113" s="134"/>
      <c r="C113" s="134"/>
      <c r="D113" s="134"/>
      <c r="E113" s="3406" t="s">
        <v>2067</v>
      </c>
      <c r="F113" s="3406"/>
      <c r="G113" s="3406"/>
      <c r="H113" s="3406"/>
      <c r="I113" s="134"/>
    </row>
    <row r="114" spans="1:27" ht="3.75" customHeight="1">
      <c r="A114" s="1902"/>
      <c r="B114" s="1902"/>
      <c r="C114" s="1902"/>
      <c r="D114" s="1902"/>
      <c r="E114" s="1964"/>
      <c r="F114" s="1964"/>
      <c r="G114" s="1964"/>
      <c r="H114" s="1964"/>
      <c r="I114" s="1902"/>
    </row>
    <row r="115" spans="1:27" ht="18.75" customHeight="1">
      <c r="A115" s="3417" t="s">
        <v>2069</v>
      </c>
      <c r="B115" s="3418"/>
      <c r="C115" s="3418"/>
      <c r="D115" s="3418"/>
      <c r="E115" s="3418"/>
      <c r="F115" s="3418"/>
      <c r="G115" s="3418"/>
      <c r="H115" s="3418"/>
      <c r="I115" s="3419"/>
    </row>
    <row r="116" spans="1:27" ht="27" customHeight="1">
      <c r="A116" s="3371" t="s">
        <v>2070</v>
      </c>
      <c r="B116" s="3375" t="s">
        <v>2071</v>
      </c>
      <c r="C116" s="3375" t="s">
        <v>2072</v>
      </c>
      <c r="D116" s="3381" t="s">
        <v>2073</v>
      </c>
      <c r="E116" s="3382"/>
      <c r="F116" s="3413" t="s">
        <v>2074</v>
      </c>
      <c r="G116" s="3413"/>
      <c r="H116" s="3371" t="s">
        <v>2075</v>
      </c>
      <c r="I116" s="3371"/>
    </row>
    <row r="117" spans="1:27" ht="18.75" customHeight="1">
      <c r="A117" s="3371"/>
      <c r="B117" s="3376"/>
      <c r="C117" s="3376"/>
      <c r="D117" s="2521" t="s">
        <v>2076</v>
      </c>
      <c r="E117" s="2521" t="s">
        <v>2077</v>
      </c>
      <c r="F117" s="2521" t="s">
        <v>2076</v>
      </c>
      <c r="G117" s="2521" t="s">
        <v>2078</v>
      </c>
      <c r="H117" s="2521" t="s">
        <v>2076</v>
      </c>
      <c r="I117" s="2521" t="s">
        <v>2078</v>
      </c>
    </row>
    <row r="118" spans="1:27" ht="24.75" customHeight="1">
      <c r="A118" s="2792" t="str">
        <f>项目基本情况!S2</f>
        <v>福建省福州市长乐区鹤上镇京岭路北侧、道庆路西侧房地产</v>
      </c>
      <c r="B118" s="2521">
        <f>M18</f>
        <v>39892.17</v>
      </c>
      <c r="C118" s="2521">
        <f>M19</f>
        <v>13546.29</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3870</v>
      </c>
      <c r="I118" s="2521">
        <f ca="1">ROUND(IF(D32="楼面单价",C32,H118*10000/B118),0)</f>
        <v>970</v>
      </c>
    </row>
    <row r="119" spans="1:27" ht="18.75" customHeight="1">
      <c r="A119" s="3371" t="s">
        <v>2079</v>
      </c>
      <c r="B119" s="3371"/>
      <c r="C119" s="3371"/>
      <c r="D119" s="3377" t="e">
        <f ca="1">NUMBERSTRING(INT(D118*10000),2)&amp;"元整"</f>
        <v>#REF!</v>
      </c>
      <c r="E119" s="3378"/>
      <c r="F119" s="3377" t="e">
        <f ca="1">NUMBERSTRING(INT(F118*10000),2)&amp;"元整"</f>
        <v>#REF!</v>
      </c>
      <c r="G119" s="3378"/>
      <c r="H119" s="3377" t="str">
        <f ca="1">NUMBERSTRING(INT(H118*10000),2)&amp;"元整"</f>
        <v>叁仟捌佰柒拾万元整</v>
      </c>
      <c r="I119" s="3378"/>
    </row>
    <row r="120" spans="1:27" ht="18.75" customHeight="1">
      <c r="A120" s="3372" t="str">
        <f>IF(项目基本情况!B9="房地产市场价值","",MID(E103,3,LEN(E103)-2))</f>
        <v/>
      </c>
      <c r="B120" s="3373"/>
      <c r="C120" s="3374"/>
      <c r="D120" s="3372">
        <f>H103</f>
        <v>0</v>
      </c>
      <c r="E120" s="3373"/>
      <c r="F120" s="3373"/>
      <c r="G120" s="3373"/>
      <c r="H120" s="3373"/>
      <c r="I120" s="3374"/>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14" t="s">
        <v>2079</v>
      </c>
      <c r="B121" s="3415"/>
      <c r="C121" s="3416"/>
      <c r="D121" s="3377" t="str">
        <f>IF(D120=0,"零元整",NUMBERSTRING(INT(D120*10000),2)&amp;"元整")</f>
        <v>零元整</v>
      </c>
      <c r="E121" s="3379"/>
      <c r="F121" s="3379"/>
      <c r="G121" s="3379"/>
      <c r="H121" s="3379"/>
      <c r="I121" s="3378"/>
      <c r="AA121" s="734"/>
    </row>
    <row r="122" spans="1:27" ht="18.75" customHeight="1">
      <c r="A122" s="3383" t="str">
        <f>IF(项目基本情况!B9="房地产市场价值","",MID(E107,3,LEN(E107)-2))</f>
        <v/>
      </c>
      <c r="B122" s="3383"/>
      <c r="C122" s="3383"/>
      <c r="D122" s="3372">
        <f ca="1">H107</f>
        <v>3870</v>
      </c>
      <c r="E122" s="3373"/>
      <c r="F122" s="3373"/>
      <c r="G122" s="3373"/>
      <c r="H122" s="3373"/>
      <c r="I122" s="3374"/>
      <c r="AA122" s="734"/>
    </row>
    <row r="123" spans="1:27" ht="18.75" customHeight="1">
      <c r="A123" s="3371" t="s">
        <v>2079</v>
      </c>
      <c r="B123" s="3371"/>
      <c r="C123" s="3371"/>
      <c r="D123" s="3377" t="str">
        <f ca="1">NUMBERSTRING(INT(D122*10000),2)&amp;"元整"</f>
        <v>叁仟捌佰柒拾万元整</v>
      </c>
      <c r="E123" s="3379"/>
      <c r="F123" s="3379"/>
      <c r="G123" s="3379"/>
      <c r="H123" s="3379"/>
      <c r="I123" s="3378"/>
      <c r="AA123" s="734"/>
    </row>
    <row r="124" spans="1:27" ht="18.75" customHeight="1">
      <c r="A124" s="3383" t="str">
        <f>IF(项目基本情况!B9="房地产市场价值","",MID(E109,3,LEN(E109)-2))</f>
        <v/>
      </c>
      <c r="B124" s="3383"/>
      <c r="C124" s="3383"/>
      <c r="D124" s="3372" t="str">
        <f>H109</f>
        <v>——</v>
      </c>
      <c r="E124" s="3373"/>
      <c r="F124" s="3373"/>
      <c r="G124" s="3373"/>
      <c r="H124" s="3373"/>
      <c r="I124" s="3374"/>
      <c r="AA124" s="734"/>
    </row>
    <row r="125" spans="1:27" ht="18.75" customHeight="1">
      <c r="A125" s="3371" t="s">
        <v>2079</v>
      </c>
      <c r="B125" s="3371"/>
      <c r="C125" s="3371"/>
      <c r="D125" s="3377" t="e">
        <f>NUMBERSTRING(INT(D124*10000),2)&amp;"元整"</f>
        <v>#VALUE!</v>
      </c>
      <c r="E125" s="3379"/>
      <c r="F125" s="3379"/>
      <c r="G125" s="3379"/>
      <c r="H125" s="3379"/>
      <c r="I125" s="3378"/>
      <c r="AA125" s="734"/>
    </row>
    <row r="126" spans="1:27" ht="18.75" customHeight="1">
      <c r="A126" s="3383" t="str">
        <f>IF(项目基本情况!B9="房地产市场价值","",MID(E111,3,LEN(E111)-2))</f>
        <v/>
      </c>
      <c r="B126" s="3383"/>
      <c r="C126" s="3383"/>
      <c r="D126" s="3372" t="str">
        <f>H111</f>
        <v>——</v>
      </c>
      <c r="E126" s="3373"/>
      <c r="F126" s="3373"/>
      <c r="G126" s="3373"/>
      <c r="H126" s="3373"/>
      <c r="I126" s="3374"/>
      <c r="AA126" s="734"/>
    </row>
    <row r="127" spans="1:27" ht="18.75" customHeight="1">
      <c r="A127" s="3371" t="s">
        <v>2079</v>
      </c>
      <c r="B127" s="3371"/>
      <c r="C127" s="3371"/>
      <c r="D127" s="3377" t="e">
        <f>NUMBERSTRING(INT(D126*10000),2)&amp;"元整"</f>
        <v>#VALUE!</v>
      </c>
      <c r="E127" s="3379"/>
      <c r="F127" s="3379"/>
      <c r="G127" s="3379"/>
      <c r="H127" s="3379"/>
      <c r="I127" s="3378"/>
      <c r="AA127" s="734"/>
    </row>
    <row r="128" spans="1:27" ht="21.75" customHeight="1">
      <c r="A128" s="3380" t="s">
        <v>2080</v>
      </c>
      <c r="B128" s="3380"/>
      <c r="C128" s="3380"/>
      <c r="D128" s="3380"/>
      <c r="E128" s="3380"/>
      <c r="F128" s="3380"/>
      <c r="G128" s="3380"/>
      <c r="H128" s="3380"/>
      <c r="I128" s="3380"/>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2506</v>
      </c>
      <c r="B1" s="355"/>
      <c r="C1" s="356" t="s">
        <v>2507</v>
      </c>
      <c r="D1" s="695"/>
      <c r="E1" s="695"/>
      <c r="F1" s="694" t="s">
        <v>2405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t="e">
        <f>F66</f>
        <v>#DIV/0!</v>
      </c>
      <c r="C2" s="1038"/>
      <c r="D2" s="1038"/>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2091</v>
      </c>
      <c r="B3" s="566" t="e">
        <f>ROUND(IF(D3="",B2*10000/'数据-汇总表'!E3,B2*10000/D3),0)</f>
        <v>#DIV/0!</v>
      </c>
      <c r="C3" s="209" t="s">
        <v>2508</v>
      </c>
      <c r="D3" s="1327"/>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30" ht="15">
      <c r="A4" s="361" t="s">
        <v>2407</v>
      </c>
      <c r="B4" s="362"/>
      <c r="C4" s="3471" t="s">
        <v>2408</v>
      </c>
      <c r="D4" s="3472"/>
      <c r="E4" s="3473" t="s">
        <v>2409</v>
      </c>
      <c r="F4" s="3474"/>
      <c r="G4" s="3471" t="s">
        <v>2410</v>
      </c>
      <c r="H4" s="3472"/>
      <c r="I4" s="3471" t="s">
        <v>2411</v>
      </c>
      <c r="J4" s="3472"/>
      <c r="K4" s="567" t="s">
        <v>2412</v>
      </c>
      <c r="L4" s="2909"/>
      <c r="M4" s="2910"/>
      <c r="N4" s="2910"/>
      <c r="O4" s="2910"/>
      <c r="P4" s="3475" t="s">
        <v>2413</v>
      </c>
      <c r="Q4" s="3476"/>
      <c r="R4" s="3458" t="s">
        <v>2409</v>
      </c>
      <c r="S4" s="3459"/>
      <c r="T4" s="3458" t="s">
        <v>2410</v>
      </c>
      <c r="U4" s="3459"/>
      <c r="V4" s="3483" t="s">
        <v>2411</v>
      </c>
      <c r="W4" s="3483"/>
      <c r="X4" s="1509"/>
      <c r="Y4" s="3458" t="s">
        <v>2413</v>
      </c>
      <c r="Z4" s="3459"/>
      <c r="AA4" s="3453" t="s">
        <v>2409</v>
      </c>
      <c r="AB4" s="3454" t="s">
        <v>2410</v>
      </c>
      <c r="AC4" s="3453" t="s">
        <v>2411</v>
      </c>
    </row>
    <row r="5" spans="1:30" ht="15">
      <c r="A5" s="364"/>
      <c r="B5" s="365"/>
      <c r="C5" s="3464" t="s">
        <v>2304</v>
      </c>
      <c r="D5" s="3465"/>
      <c r="E5" s="3462" t="s">
        <v>2305</v>
      </c>
      <c r="F5" s="3463"/>
      <c r="G5" s="3464" t="s">
        <v>2306</v>
      </c>
      <c r="H5" s="3465"/>
      <c r="I5" s="3464" t="s">
        <v>2307</v>
      </c>
      <c r="J5" s="3465"/>
      <c r="K5" s="567"/>
      <c r="L5" s="2909"/>
      <c r="M5" s="2910"/>
      <c r="N5" s="2910"/>
      <c r="O5" s="2910"/>
      <c r="P5" s="3477"/>
      <c r="Q5" s="3478"/>
      <c r="R5" s="3460"/>
      <c r="S5" s="3461"/>
      <c r="T5" s="3460"/>
      <c r="U5" s="3461"/>
      <c r="V5" s="3483"/>
      <c r="W5" s="3483"/>
      <c r="X5" s="1509"/>
      <c r="Y5" s="3460"/>
      <c r="Z5" s="3461"/>
      <c r="AA5" s="3454"/>
      <c r="AB5" s="3454"/>
      <c r="AC5" s="3454"/>
    </row>
    <row r="6" spans="1:30" ht="15.75" thickBot="1">
      <c r="A6" s="366"/>
      <c r="B6" s="367"/>
      <c r="C6" s="3466" t="s">
        <v>2308</v>
      </c>
      <c r="D6" s="3467"/>
      <c r="E6" s="3468" t="s">
        <v>2308</v>
      </c>
      <c r="F6" s="3469"/>
      <c r="G6" s="3466" t="s">
        <v>2308</v>
      </c>
      <c r="H6" s="3467"/>
      <c r="I6" s="3466" t="s">
        <v>2308</v>
      </c>
      <c r="J6" s="3467"/>
      <c r="K6" s="567" t="s">
        <v>2309</v>
      </c>
      <c r="L6" s="2909"/>
      <c r="M6" s="2910"/>
      <c r="N6" s="2910"/>
      <c r="O6" s="2910"/>
      <c r="P6" s="3479"/>
      <c r="Q6" s="3480"/>
      <c r="R6" s="3460"/>
      <c r="S6" s="3461"/>
      <c r="T6" s="3481"/>
      <c r="U6" s="3482"/>
      <c r="V6" s="3483"/>
      <c r="W6" s="3483"/>
      <c r="X6" s="1509"/>
      <c r="Y6" s="3481"/>
      <c r="Z6" s="3482"/>
      <c r="AA6" s="3455"/>
      <c r="AB6" s="3455"/>
      <c r="AC6" s="3455"/>
    </row>
    <row r="7" spans="1:30" s="113" customFormat="1" ht="15.75" thickBot="1">
      <c r="A7" s="368" t="s">
        <v>2310</v>
      </c>
      <c r="B7" s="369"/>
      <c r="C7" s="370">
        <f>'数据-取费表'!B2</f>
        <v>44623</v>
      </c>
      <c r="D7" s="371">
        <v>100</v>
      </c>
      <c r="E7" s="372"/>
      <c r="F7" s="373">
        <f>SUMIF(70:70,YEAR(E7)&amp;"-"&amp;INT((MONTH(E7)+2)/3),71:71)</f>
        <v>0</v>
      </c>
      <c r="G7" s="2129"/>
      <c r="H7" s="371">
        <f>SUMIF(70:70,YEAR(G7)&amp;"-"&amp;INT((MONTH(G7)+2)/3),71:71)</f>
        <v>0</v>
      </c>
      <c r="I7" s="2129"/>
      <c r="J7" s="371">
        <f>SUMIF(70:70,YEAR(I7)&amp;"-"&amp;INT((MONTH(I7)+2)/3),71:71)</f>
        <v>0</v>
      </c>
      <c r="K7" s="568"/>
      <c r="L7" s="2911"/>
      <c r="M7" s="2912"/>
      <c r="N7" s="2912"/>
      <c r="O7" s="2912"/>
      <c r="P7" s="3456" t="s">
        <v>2311</v>
      </c>
      <c r="Q7" s="3484"/>
      <c r="R7" s="710" t="s">
        <v>17</v>
      </c>
      <c r="S7" s="711">
        <f t="shared" ref="S7:S15" si="0">F7</f>
        <v>0</v>
      </c>
      <c r="T7" s="710" t="s">
        <v>17</v>
      </c>
      <c r="U7" s="711">
        <f t="shared" ref="U7:U15" si="1">H7</f>
        <v>0</v>
      </c>
      <c r="V7" s="710" t="s">
        <v>17</v>
      </c>
      <c r="W7" s="711">
        <f t="shared" ref="W7:W15" si="2">J7</f>
        <v>0</v>
      </c>
      <c r="X7" s="712"/>
      <c r="Y7" s="3456" t="s">
        <v>2311</v>
      </c>
      <c r="Z7" s="3457"/>
      <c r="AA7" s="713" t="e">
        <f>D7/F7</f>
        <v>#DIV/0!</v>
      </c>
      <c r="AB7" s="713" t="e">
        <f>D7/H7</f>
        <v>#DIV/0!</v>
      </c>
      <c r="AC7" s="713" t="e">
        <f>D7/J7</f>
        <v>#DIV/0!</v>
      </c>
    </row>
    <row r="8" spans="1:30" s="113" customFormat="1" ht="15.75" thickBot="1">
      <c r="A8" s="368" t="s">
        <v>2312</v>
      </c>
      <c r="B8" s="369"/>
      <c r="C8" s="374" t="s">
        <v>2313</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56" t="s">
        <v>2314</v>
      </c>
      <c r="Q8" s="3457"/>
      <c r="R8" s="710" t="s">
        <v>17</v>
      </c>
      <c r="S8" s="711">
        <f t="shared" si="0"/>
        <v>0</v>
      </c>
      <c r="T8" s="710" t="s">
        <v>17</v>
      </c>
      <c r="U8" s="711">
        <f t="shared" si="1"/>
        <v>0</v>
      </c>
      <c r="V8" s="710" t="s">
        <v>17</v>
      </c>
      <c r="W8" s="711">
        <f t="shared" si="2"/>
        <v>0</v>
      </c>
      <c r="X8" s="712"/>
      <c r="Y8" s="3456" t="s">
        <v>2314</v>
      </c>
      <c r="Z8" s="3457"/>
      <c r="AA8" s="713" t="e">
        <f t="shared" ref="AA8:AA45" si="3">D8/F8</f>
        <v>#DIV/0!</v>
      </c>
      <c r="AB8" s="713" t="e">
        <f t="shared" ref="AB8:AB45" si="4">D8/H8</f>
        <v>#DIV/0!</v>
      </c>
      <c r="AC8" s="713" t="e">
        <f t="shared" ref="AC8:AC45" si="5">D8/J8</f>
        <v>#DIV/0!</v>
      </c>
    </row>
    <row r="9" spans="1:30" s="113" customFormat="1">
      <c r="A9" s="375" t="s">
        <v>2315</v>
      </c>
      <c r="B9" s="67" t="s">
        <v>2316</v>
      </c>
      <c r="C9" s="2132"/>
      <c r="D9" s="131">
        <v>100</v>
      </c>
      <c r="E9" s="2132"/>
      <c r="F9" s="131">
        <f>SUMIF(75:75,E9,76:76)-SUMIF(75:75,C9,76:76)+100</f>
        <v>100</v>
      </c>
      <c r="G9" s="2132"/>
      <c r="H9" s="131">
        <f>SUMIF(75:75,G9,76:76)-SUMIF(75:75,C9,76:76)+100</f>
        <v>100</v>
      </c>
      <c r="I9" s="2132"/>
      <c r="J9" s="131">
        <f>SUMIF(75:75,I9,76:76)-SUMIF(75:75,C9,76:76)+100</f>
        <v>100</v>
      </c>
      <c r="K9" s="568"/>
      <c r="L9" s="2911"/>
      <c r="M9" s="2912"/>
      <c r="N9" s="2912"/>
      <c r="O9" s="2966"/>
      <c r="P9" s="3470"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713">
        <f t="shared" si="5"/>
        <v>1</v>
      </c>
    </row>
    <row r="10" spans="1:30" s="386" customFormat="1" ht="27">
      <c r="A10" s="380"/>
      <c r="B10" s="381" t="s">
        <v>2319</v>
      </c>
      <c r="C10" s="391"/>
      <c r="D10" s="132">
        <v>100</v>
      </c>
      <c r="E10" s="424"/>
      <c r="F10" s="132">
        <f>ROUND(100/'数据-取费表'!G16,0)</f>
        <v>108</v>
      </c>
      <c r="G10" s="422"/>
      <c r="H10" s="132">
        <f>ROUND(100/'数据-取费表'!G16,0)</f>
        <v>108</v>
      </c>
      <c r="I10" s="422"/>
      <c r="J10" s="132">
        <f>ROUND(100/'数据-取费表'!G16,0)</f>
        <v>108</v>
      </c>
      <c r="K10" s="628"/>
      <c r="L10" s="2913"/>
      <c r="M10" s="2914"/>
      <c r="N10" s="2914"/>
      <c r="O10" s="2967"/>
      <c r="P10" s="3470"/>
      <c r="Q10" s="1497" t="str">
        <f t="shared" si="6"/>
        <v>土地使用年限（年）</v>
      </c>
      <c r="R10" s="710" t="s">
        <v>17</v>
      </c>
      <c r="S10" s="711">
        <f t="shared" si="0"/>
        <v>108</v>
      </c>
      <c r="T10" s="710" t="s">
        <v>17</v>
      </c>
      <c r="U10" s="711">
        <f t="shared" si="1"/>
        <v>108</v>
      </c>
      <c r="V10" s="710" t="s">
        <v>17</v>
      </c>
      <c r="W10" s="711">
        <f t="shared" si="2"/>
        <v>108</v>
      </c>
      <c r="X10" s="712"/>
      <c r="Y10" s="3429"/>
      <c r="Z10" s="55" t="str">
        <f t="shared" si="7"/>
        <v>土地使用年限（年）</v>
      </c>
      <c r="AA10" s="713">
        <f t="shared" si="3"/>
        <v>0.92592592592592593</v>
      </c>
      <c r="AB10" s="713">
        <f t="shared" si="4"/>
        <v>0.92592592592592593</v>
      </c>
      <c r="AC10" s="713">
        <f t="shared" si="5"/>
        <v>0.92592592592592593</v>
      </c>
    </row>
    <row r="11" spans="1:30" ht="15">
      <c r="A11" s="387"/>
      <c r="B11" s="381" t="s">
        <v>2320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70"/>
      <c r="Q11" s="149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30" s="113" customFormat="1" ht="15">
      <c r="A12" s="390"/>
      <c r="B12" s="2048" t="s">
        <v>2509</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70"/>
      <c r="Q12" s="1497" t="str">
        <f t="shared" si="6"/>
        <v>配建</v>
      </c>
      <c r="R12" s="710" t="s">
        <v>17</v>
      </c>
      <c r="S12" s="711">
        <f t="shared" si="0"/>
        <v>100</v>
      </c>
      <c r="T12" s="710" t="s">
        <v>17</v>
      </c>
      <c r="U12" s="711">
        <f t="shared" si="1"/>
        <v>100</v>
      </c>
      <c r="V12" s="710" t="s">
        <v>17</v>
      </c>
      <c r="W12" s="711">
        <f t="shared" si="2"/>
        <v>100</v>
      </c>
      <c r="X12" s="712"/>
      <c r="Y12" s="3429"/>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70"/>
      <c r="Q13" s="1497">
        <f t="shared" si="6"/>
        <v>111</v>
      </c>
      <c r="R13" s="710" t="s">
        <v>17</v>
      </c>
      <c r="S13" s="711">
        <f t="shared" si="0"/>
        <v>100</v>
      </c>
      <c r="T13" s="710" t="s">
        <v>17</v>
      </c>
      <c r="U13" s="711">
        <f t="shared" si="1"/>
        <v>100</v>
      </c>
      <c r="V13" s="710" t="s">
        <v>17</v>
      </c>
      <c r="W13" s="711">
        <f t="shared" si="2"/>
        <v>100</v>
      </c>
      <c r="X13" s="712"/>
      <c r="Y13" s="342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70"/>
      <c r="Q14" s="1497">
        <f t="shared" si="6"/>
        <v>111</v>
      </c>
      <c r="R14" s="710" t="s">
        <v>17</v>
      </c>
      <c r="S14" s="711">
        <f t="shared" si="0"/>
        <v>100</v>
      </c>
      <c r="T14" s="710" t="s">
        <v>17</v>
      </c>
      <c r="U14" s="711">
        <f t="shared" si="1"/>
        <v>100</v>
      </c>
      <c r="V14" s="710" t="s">
        <v>17</v>
      </c>
      <c r="W14" s="711">
        <f t="shared" si="2"/>
        <v>100</v>
      </c>
      <c r="X14" s="712"/>
      <c r="Y14" s="3429"/>
      <c r="Z14" s="55">
        <f t="shared" si="7"/>
        <v>111</v>
      </c>
      <c r="AA14" s="713">
        <f>D14/F14</f>
        <v>1</v>
      </c>
      <c r="AB14" s="713">
        <f>D14/H14</f>
        <v>1</v>
      </c>
      <c r="AC14" s="713">
        <f>D14/J14</f>
        <v>1</v>
      </c>
    </row>
    <row r="15" spans="1:30" ht="99.75">
      <c r="A15" s="399" t="s">
        <v>2321</v>
      </c>
      <c r="B15" s="65" t="s">
        <v>1884</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85" t="s">
        <v>2322</v>
      </c>
      <c r="Q15" s="1506" t="str">
        <f t="shared" si="6"/>
        <v>居住社区成熟度</v>
      </c>
      <c r="R15" s="714" t="s">
        <v>17</v>
      </c>
      <c r="S15" s="715">
        <f t="shared" si="0"/>
        <v>100</v>
      </c>
      <c r="T15" s="714" t="s">
        <v>17</v>
      </c>
      <c r="U15" s="715">
        <f t="shared" si="1"/>
        <v>100</v>
      </c>
      <c r="V15" s="714" t="s">
        <v>17</v>
      </c>
      <c r="W15" s="715">
        <f t="shared" si="2"/>
        <v>100</v>
      </c>
      <c r="X15" s="1509"/>
      <c r="Y15" s="3485" t="s">
        <v>2322</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16"/>
      <c r="M16" s="2910"/>
      <c r="N16" s="2910"/>
      <c r="O16" s="2968"/>
      <c r="P16" s="3486"/>
      <c r="Q16" s="1506"/>
      <c r="R16" s="714"/>
      <c r="S16" s="715"/>
      <c r="T16" s="714"/>
      <c r="U16" s="715"/>
      <c r="V16" s="714"/>
      <c r="W16" s="715"/>
      <c r="X16" s="1509"/>
      <c r="Y16" s="3486"/>
      <c r="Z16" s="1510"/>
      <c r="AA16" s="1507">
        <v>1</v>
      </c>
      <c r="AB16" s="1507">
        <v>1</v>
      </c>
      <c r="AC16" s="1507">
        <v>1</v>
      </c>
    </row>
    <row r="17" spans="1:29" ht="71.25">
      <c r="A17" s="387"/>
      <c r="B17" s="410" t="s">
        <v>2415</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86"/>
      <c r="Q17" s="1506" t="str">
        <f>B17</f>
        <v>商业繁华度</v>
      </c>
      <c r="R17" s="714" t="s">
        <v>17</v>
      </c>
      <c r="S17" s="715">
        <f>F17</f>
        <v>100</v>
      </c>
      <c r="T17" s="714" t="s">
        <v>17</v>
      </c>
      <c r="U17" s="715">
        <f>H17</f>
        <v>100</v>
      </c>
      <c r="V17" s="714" t="s">
        <v>17</v>
      </c>
      <c r="W17" s="715">
        <f>J17</f>
        <v>100</v>
      </c>
      <c r="X17" s="1509"/>
      <c r="Y17" s="3486"/>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16"/>
      <c r="M18" s="2910"/>
      <c r="N18" s="2910"/>
      <c r="O18" s="2968"/>
      <c r="P18" s="3486"/>
      <c r="Q18" s="1506"/>
      <c r="R18" s="714"/>
      <c r="S18" s="715"/>
      <c r="T18" s="714"/>
      <c r="U18" s="715"/>
      <c r="V18" s="714"/>
      <c r="W18" s="715"/>
      <c r="X18" s="1509"/>
      <c r="Y18" s="3486"/>
      <c r="Z18" s="1510"/>
      <c r="AA18" s="1507">
        <v>1</v>
      </c>
      <c r="AB18" s="1507">
        <v>1</v>
      </c>
      <c r="AC18" s="1507">
        <v>1</v>
      </c>
    </row>
    <row r="19" spans="1:29" ht="71.25">
      <c r="A19" s="387"/>
      <c r="B19" s="410" t="s">
        <v>2449</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86"/>
      <c r="Q19" s="1506" t="str">
        <f>B19</f>
        <v>办公集聚程度</v>
      </c>
      <c r="R19" s="714" t="s">
        <v>17</v>
      </c>
      <c r="S19" s="715">
        <f>F19</f>
        <v>100</v>
      </c>
      <c r="T19" s="714" t="s">
        <v>17</v>
      </c>
      <c r="U19" s="715">
        <f>H19</f>
        <v>100</v>
      </c>
      <c r="V19" s="714" t="s">
        <v>17</v>
      </c>
      <c r="W19" s="715">
        <f>J19</f>
        <v>100</v>
      </c>
      <c r="X19" s="1509"/>
      <c r="Y19" s="3486"/>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16"/>
      <c r="M20" s="2910"/>
      <c r="N20" s="2910"/>
      <c r="O20" s="2968"/>
      <c r="P20" s="3486"/>
      <c r="Q20" s="1506"/>
      <c r="R20" s="714"/>
      <c r="S20" s="715"/>
      <c r="T20" s="714"/>
      <c r="U20" s="715"/>
      <c r="V20" s="714"/>
      <c r="W20" s="715"/>
      <c r="X20" s="1509"/>
      <c r="Y20" s="3486"/>
      <c r="Z20" s="1510"/>
      <c r="AA20" s="1507">
        <v>1</v>
      </c>
      <c r="AB20" s="1507">
        <v>1</v>
      </c>
      <c r="AC20" s="1507">
        <v>1</v>
      </c>
    </row>
    <row r="21" spans="1:29" ht="85.5">
      <c r="A21" s="387"/>
      <c r="B21" s="410" t="s">
        <v>2471</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86"/>
      <c r="Q21" s="1506" t="str">
        <f>B21</f>
        <v>交通便捷度</v>
      </c>
      <c r="R21" s="714" t="s">
        <v>17</v>
      </c>
      <c r="S21" s="715">
        <f>F21</f>
        <v>100</v>
      </c>
      <c r="T21" s="714" t="s">
        <v>17</v>
      </c>
      <c r="U21" s="715">
        <f>H21</f>
        <v>100</v>
      </c>
      <c r="V21" s="714" t="s">
        <v>17</v>
      </c>
      <c r="W21" s="715">
        <f>J21</f>
        <v>100</v>
      </c>
      <c r="X21" s="1509"/>
      <c r="Y21" s="3486"/>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16"/>
      <c r="M22" s="2910"/>
      <c r="N22" s="2910"/>
      <c r="O22" s="2968"/>
      <c r="P22" s="3486"/>
      <c r="Q22" s="1506"/>
      <c r="R22" s="714"/>
      <c r="S22" s="715"/>
      <c r="T22" s="714"/>
      <c r="U22" s="715"/>
      <c r="V22" s="714"/>
      <c r="W22" s="715"/>
      <c r="X22" s="1509"/>
      <c r="Y22" s="3486"/>
      <c r="Z22" s="1510"/>
      <c r="AA22" s="1507">
        <v>1</v>
      </c>
      <c r="AB22" s="1507">
        <v>1</v>
      </c>
      <c r="AC22" s="1507">
        <v>1</v>
      </c>
    </row>
    <row r="23" spans="1:29" ht="15">
      <c r="A23" s="364"/>
      <c r="B23" s="410" t="s">
        <v>2510</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86"/>
      <c r="Q23" s="1506" t="str">
        <f t="shared" ref="Q23:Q37" si="8">B23</f>
        <v>区域土地利用方向</v>
      </c>
      <c r="R23" s="714" t="s">
        <v>17</v>
      </c>
      <c r="S23" s="715">
        <f>F23</f>
        <v>100</v>
      </c>
      <c r="T23" s="714" t="s">
        <v>17</v>
      </c>
      <c r="U23" s="715">
        <f>H23</f>
        <v>100</v>
      </c>
      <c r="V23" s="714" t="s">
        <v>17</v>
      </c>
      <c r="W23" s="715">
        <f>J23</f>
        <v>100</v>
      </c>
      <c r="X23" s="1509"/>
      <c r="Y23" s="3486"/>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16"/>
      <c r="M24" s="2910"/>
      <c r="N24" s="2910"/>
      <c r="O24" s="2968"/>
      <c r="P24" s="3486"/>
      <c r="Q24" s="1506"/>
      <c r="R24" s="714"/>
      <c r="S24" s="715"/>
      <c r="T24" s="714"/>
      <c r="U24" s="715"/>
      <c r="V24" s="714"/>
      <c r="W24" s="715"/>
      <c r="X24" s="1509"/>
      <c r="Y24" s="3486"/>
      <c r="Z24" s="1510"/>
      <c r="AA24" s="1507"/>
      <c r="AB24" s="1507"/>
      <c r="AC24" s="1507"/>
    </row>
    <row r="25" spans="1:29" ht="57">
      <c r="A25" s="364"/>
      <c r="B25" s="1265" t="s">
        <v>2511</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86"/>
      <c r="Q25" s="1506" t="str">
        <f t="shared" si="8"/>
        <v>自然及人文环境状况</v>
      </c>
      <c r="R25" s="714" t="s">
        <v>17</v>
      </c>
      <c r="S25" s="715">
        <f>F25</f>
        <v>100</v>
      </c>
      <c r="T25" s="714" t="s">
        <v>17</v>
      </c>
      <c r="U25" s="715">
        <f>H25</f>
        <v>100</v>
      </c>
      <c r="V25" s="714" t="s">
        <v>17</v>
      </c>
      <c r="W25" s="715">
        <f>J25</f>
        <v>100</v>
      </c>
      <c r="X25" s="1509"/>
      <c r="Y25" s="3486"/>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16"/>
      <c r="M26" s="2910"/>
      <c r="N26" s="2910"/>
      <c r="O26" s="2968"/>
      <c r="P26" s="3486"/>
      <c r="Q26" s="1506"/>
      <c r="R26" s="714"/>
      <c r="S26" s="715"/>
      <c r="T26" s="714"/>
      <c r="U26" s="715"/>
      <c r="V26" s="714"/>
      <c r="W26" s="715"/>
      <c r="X26" s="1509"/>
      <c r="Y26" s="3486"/>
      <c r="Z26" s="1510"/>
      <c r="AA26" s="1507">
        <v>1</v>
      </c>
      <c r="AB26" s="1507">
        <v>1</v>
      </c>
      <c r="AC26" s="1507">
        <v>1</v>
      </c>
    </row>
    <row r="27" spans="1:29" s="113" customFormat="1" ht="42.75">
      <c r="A27" s="605"/>
      <c r="B27" s="1265" t="s">
        <v>2416</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86"/>
      <c r="Q27" s="1497" t="str">
        <f t="shared" si="8"/>
        <v>公共配套设施</v>
      </c>
      <c r="R27" s="710" t="s">
        <v>17</v>
      </c>
      <c r="S27" s="711">
        <f>F27</f>
        <v>100</v>
      </c>
      <c r="T27" s="710" t="s">
        <v>17</v>
      </c>
      <c r="U27" s="711">
        <f>H27</f>
        <v>100</v>
      </c>
      <c r="V27" s="710" t="s">
        <v>17</v>
      </c>
      <c r="W27" s="711">
        <f>J27</f>
        <v>100</v>
      </c>
      <c r="X27" s="712"/>
      <c r="Y27" s="3486"/>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1"/>
      <c r="M28" s="2912"/>
      <c r="N28" s="2912"/>
      <c r="O28" s="2966"/>
      <c r="P28" s="3486"/>
      <c r="Q28" s="1497"/>
      <c r="R28" s="710"/>
      <c r="S28" s="711"/>
      <c r="T28" s="710"/>
      <c r="U28" s="711"/>
      <c r="V28" s="710"/>
      <c r="W28" s="711"/>
      <c r="X28" s="712"/>
      <c r="Y28" s="3486"/>
      <c r="Z28" s="55"/>
      <c r="AA28" s="1507">
        <v>1</v>
      </c>
      <c r="AB28" s="1507">
        <v>1</v>
      </c>
      <c r="AC28" s="1507">
        <v>1</v>
      </c>
    </row>
    <row r="29" spans="1:29" s="113" customFormat="1" ht="28.5">
      <c r="A29" s="605"/>
      <c r="B29" s="1265" t="s">
        <v>2417</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86"/>
      <c r="Q29" s="1497" t="str">
        <f t="shared" ref="Q29" si="9">B29</f>
        <v>基础设施水平</v>
      </c>
      <c r="R29" s="710" t="s">
        <v>17</v>
      </c>
      <c r="S29" s="711">
        <f>F29</f>
        <v>100</v>
      </c>
      <c r="T29" s="710" t="s">
        <v>17</v>
      </c>
      <c r="U29" s="711">
        <f>H29</f>
        <v>100</v>
      </c>
      <c r="V29" s="710" t="s">
        <v>17</v>
      </c>
      <c r="W29" s="711">
        <f>J29</f>
        <v>100</v>
      </c>
      <c r="X29" s="712"/>
      <c r="Y29" s="3486"/>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1"/>
      <c r="M30" s="2912"/>
      <c r="N30" s="2912"/>
      <c r="O30" s="2966"/>
      <c r="P30" s="3486"/>
      <c r="Q30" s="1497"/>
      <c r="R30" s="710"/>
      <c r="S30" s="711"/>
      <c r="T30" s="710"/>
      <c r="U30" s="711"/>
      <c r="V30" s="710"/>
      <c r="W30" s="711"/>
      <c r="X30" s="712"/>
      <c r="Y30" s="3486"/>
      <c r="Z30" s="55"/>
      <c r="AA30" s="1507">
        <v>1</v>
      </c>
      <c r="AB30" s="1507">
        <v>1</v>
      </c>
      <c r="AC30" s="1507">
        <v>1</v>
      </c>
    </row>
    <row r="31" spans="1:29" ht="15">
      <c r="A31" s="387"/>
      <c r="B31" s="415" t="s">
        <v>2418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8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6"/>
      <c r="Z31" s="1510" t="str">
        <f t="shared" ref="Z31:Z45" si="13">Q31</f>
        <v>临街状况</v>
      </c>
      <c r="AA31" s="1507">
        <f t="shared" si="3"/>
        <v>1</v>
      </c>
      <c r="AB31" s="1507">
        <f t="shared" si="4"/>
        <v>1</v>
      </c>
      <c r="AC31" s="1507">
        <f t="shared" si="5"/>
        <v>1</v>
      </c>
    </row>
    <row r="32" spans="1:29" ht="27">
      <c r="A32" s="387"/>
      <c r="B32" s="1265" t="s">
        <v>2453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86"/>
      <c r="Q32" s="1506" t="str">
        <f t="shared" si="8"/>
        <v>毗邻道路的类型与等级</v>
      </c>
      <c r="R32" s="714" t="s">
        <v>17</v>
      </c>
      <c r="S32" s="715">
        <f t="shared" si="10"/>
        <v>100</v>
      </c>
      <c r="T32" s="714" t="s">
        <v>17</v>
      </c>
      <c r="U32" s="715">
        <f t="shared" si="11"/>
        <v>100</v>
      </c>
      <c r="V32" s="714" t="s">
        <v>17</v>
      </c>
      <c r="W32" s="715">
        <f t="shared" si="12"/>
        <v>100</v>
      </c>
      <c r="X32" s="1509"/>
      <c r="Y32" s="3486"/>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16"/>
      <c r="M33" s="2910"/>
      <c r="N33" s="2910"/>
      <c r="O33" s="2968"/>
      <c r="P33" s="3486"/>
      <c r="Q33" s="1506"/>
      <c r="R33" s="714"/>
      <c r="S33" s="715"/>
      <c r="T33" s="714"/>
      <c r="U33" s="715"/>
      <c r="V33" s="714"/>
      <c r="W33" s="715"/>
      <c r="X33" s="1509"/>
      <c r="Y33" s="3486"/>
      <c r="Z33" s="1510"/>
      <c r="AA33" s="1507">
        <v>1</v>
      </c>
      <c r="AB33" s="1507">
        <v>1</v>
      </c>
      <c r="AC33" s="1507">
        <v>1</v>
      </c>
    </row>
    <row r="34" spans="1:29" ht="15">
      <c r="A34" s="387"/>
      <c r="B34" s="381" t="s">
        <v>2512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86"/>
      <c r="Q34" s="1506" t="str">
        <f t="shared" si="8"/>
        <v>土地级别</v>
      </c>
      <c r="R34" s="714" t="s">
        <v>17</v>
      </c>
      <c r="S34" s="715">
        <f t="shared" si="10"/>
        <v>100</v>
      </c>
      <c r="T34" s="714" t="s">
        <v>17</v>
      </c>
      <c r="U34" s="715">
        <f t="shared" si="11"/>
        <v>100</v>
      </c>
      <c r="V34" s="714" t="s">
        <v>17</v>
      </c>
      <c r="W34" s="715">
        <f t="shared" si="12"/>
        <v>100</v>
      </c>
      <c r="X34" s="1509"/>
      <c r="Y34" s="348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86"/>
      <c r="Q35" s="1506">
        <f t="shared" si="8"/>
        <v>111</v>
      </c>
      <c r="R35" s="714" t="s">
        <v>17</v>
      </c>
      <c r="S35" s="715">
        <f t="shared" si="10"/>
        <v>100</v>
      </c>
      <c r="T35" s="714" t="s">
        <v>17</v>
      </c>
      <c r="U35" s="715">
        <f t="shared" si="11"/>
        <v>100</v>
      </c>
      <c r="V35" s="714" t="s">
        <v>17</v>
      </c>
      <c r="W35" s="715">
        <f t="shared" si="12"/>
        <v>100</v>
      </c>
      <c r="X35" s="1509"/>
      <c r="Y35" s="348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487" t="s">
        <v>2327</v>
      </c>
      <c r="Q36" s="1506">
        <f t="shared" si="8"/>
        <v>111</v>
      </c>
      <c r="R36" s="714" t="s">
        <v>17</v>
      </c>
      <c r="S36" s="715">
        <f t="shared" si="10"/>
        <v>100</v>
      </c>
      <c r="T36" s="714" t="s">
        <v>17</v>
      </c>
      <c r="U36" s="715">
        <f t="shared" si="11"/>
        <v>100</v>
      </c>
      <c r="V36" s="714" t="s">
        <v>17</v>
      </c>
      <c r="W36" s="715">
        <f t="shared" si="12"/>
        <v>100</v>
      </c>
      <c r="X36" s="1509"/>
      <c r="Y36" s="3488" t="s">
        <v>2327</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88"/>
      <c r="Q37" s="1506">
        <f t="shared" si="8"/>
        <v>111</v>
      </c>
      <c r="R37" s="717" t="s">
        <v>17</v>
      </c>
      <c r="S37" s="718">
        <f t="shared" si="10"/>
        <v>100</v>
      </c>
      <c r="T37" s="717" t="s">
        <v>17</v>
      </c>
      <c r="U37" s="718">
        <f t="shared" si="11"/>
        <v>100</v>
      </c>
      <c r="V37" s="717" t="s">
        <v>17</v>
      </c>
      <c r="W37" s="718">
        <f t="shared" si="12"/>
        <v>100</v>
      </c>
      <c r="X37" s="719"/>
      <c r="Y37" s="3488"/>
      <c r="Z37" s="720">
        <f t="shared" si="13"/>
        <v>111</v>
      </c>
      <c r="AA37" s="1507">
        <f t="shared" si="3"/>
        <v>1</v>
      </c>
      <c r="AB37" s="1507">
        <f t="shared" si="4"/>
        <v>1</v>
      </c>
      <c r="AC37" s="1507">
        <f t="shared" si="5"/>
        <v>1</v>
      </c>
    </row>
    <row r="38" spans="1:29" ht="15">
      <c r="A38" s="431" t="s">
        <v>2325</v>
      </c>
      <c r="B38" s="415" t="s">
        <v>2513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88"/>
      <c r="Q38" s="1506" t="str">
        <f>B38</f>
        <v>宗地面积</v>
      </c>
      <c r="R38" s="714" t="s">
        <v>17</v>
      </c>
      <c r="S38" s="715" t="e">
        <f t="shared" si="10"/>
        <v>#N/A</v>
      </c>
      <c r="T38" s="714" t="s">
        <v>17</v>
      </c>
      <c r="U38" s="715" t="e">
        <f t="shared" si="11"/>
        <v>#N/A</v>
      </c>
      <c r="V38" s="714" t="s">
        <v>17</v>
      </c>
      <c r="W38" s="715" t="e">
        <f t="shared" si="12"/>
        <v>#N/A</v>
      </c>
      <c r="X38" s="1509"/>
      <c r="Y38" s="3488"/>
      <c r="Z38" s="1510" t="str">
        <f t="shared" si="13"/>
        <v>宗地面积</v>
      </c>
      <c r="AA38" s="1507" t="e">
        <f t="shared" si="3"/>
        <v>#N/A</v>
      </c>
      <c r="AB38" s="1507" t="e">
        <f t="shared" si="4"/>
        <v>#N/A</v>
      </c>
      <c r="AC38" s="1507" t="e">
        <f t="shared" si="5"/>
        <v>#N/A</v>
      </c>
    </row>
    <row r="39" spans="1:29" ht="15">
      <c r="A39" s="431"/>
      <c r="B39" s="381" t="s">
        <v>2514</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6"/>
      <c r="M39" s="2910"/>
      <c r="N39" s="2910"/>
      <c r="O39" s="2968"/>
      <c r="P39" s="3488"/>
      <c r="Q39" s="1506" t="str">
        <f t="shared" ref="Q39:Q45" si="14">B39</f>
        <v>宗地形状</v>
      </c>
      <c r="R39" s="714" t="s">
        <v>17</v>
      </c>
      <c r="S39" s="715">
        <f t="shared" si="10"/>
        <v>100</v>
      </c>
      <c r="T39" s="714" t="s">
        <v>17</v>
      </c>
      <c r="U39" s="715">
        <f t="shared" si="11"/>
        <v>100</v>
      </c>
      <c r="V39" s="714" t="s">
        <v>17</v>
      </c>
      <c r="W39" s="715">
        <f t="shared" si="12"/>
        <v>100</v>
      </c>
      <c r="X39" s="1509"/>
      <c r="Y39" s="3488"/>
      <c r="Z39" s="1510" t="str">
        <f t="shared" si="13"/>
        <v>宗地形状</v>
      </c>
      <c r="AA39" s="1507">
        <f t="shared" si="3"/>
        <v>1</v>
      </c>
      <c r="AB39" s="1507">
        <f t="shared" si="4"/>
        <v>1</v>
      </c>
      <c r="AC39" s="1507">
        <f t="shared" si="5"/>
        <v>1</v>
      </c>
    </row>
    <row r="40" spans="1:29" ht="15">
      <c r="A40" s="431"/>
      <c r="B40" s="381" t="s">
        <v>2515</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6"/>
      <c r="M40" s="2910"/>
      <c r="N40" s="2910"/>
      <c r="O40" s="2968"/>
      <c r="P40" s="3488"/>
      <c r="Q40" s="1506" t="str">
        <f t="shared" si="14"/>
        <v>临街宽度及深度</v>
      </c>
      <c r="R40" s="714" t="s">
        <v>17</v>
      </c>
      <c r="S40" s="715">
        <f t="shared" si="10"/>
        <v>100</v>
      </c>
      <c r="T40" s="714" t="s">
        <v>17</v>
      </c>
      <c r="U40" s="715">
        <f t="shared" si="11"/>
        <v>100</v>
      </c>
      <c r="V40" s="714" t="s">
        <v>17</v>
      </c>
      <c r="W40" s="715">
        <f t="shared" si="12"/>
        <v>100</v>
      </c>
      <c r="X40" s="1509"/>
      <c r="Y40" s="3488"/>
      <c r="Z40" s="1510" t="str">
        <f t="shared" si="13"/>
        <v>临街宽度及深度</v>
      </c>
      <c r="AA40" s="1507">
        <f t="shared" si="3"/>
        <v>1</v>
      </c>
      <c r="AB40" s="1507">
        <f t="shared" si="4"/>
        <v>1</v>
      </c>
      <c r="AC40" s="1507">
        <f t="shared" si="5"/>
        <v>1</v>
      </c>
    </row>
    <row r="41" spans="1:29" s="113" customFormat="1" ht="15">
      <c r="A41" s="432"/>
      <c r="B41" s="381" t="s">
        <v>2516</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1"/>
      <c r="M41" s="2912"/>
      <c r="N41" s="2912"/>
      <c r="O41" s="2966"/>
      <c r="P41" s="3488"/>
      <c r="Q41" s="1506" t="str">
        <f t="shared" si="14"/>
        <v>宗地开发程度</v>
      </c>
      <c r="R41" s="710" t="s">
        <v>17</v>
      </c>
      <c r="S41" s="711">
        <f t="shared" si="10"/>
        <v>100</v>
      </c>
      <c r="T41" s="710" t="s">
        <v>17</v>
      </c>
      <c r="U41" s="711">
        <f t="shared" si="11"/>
        <v>100</v>
      </c>
      <c r="V41" s="710" t="s">
        <v>17</v>
      </c>
      <c r="W41" s="711">
        <f t="shared" si="12"/>
        <v>100</v>
      </c>
      <c r="X41" s="712"/>
      <c r="Y41" s="3488"/>
      <c r="Z41" s="55" t="str">
        <f t="shared" si="13"/>
        <v>宗地开发程度</v>
      </c>
      <c r="AA41" s="713">
        <f t="shared" si="3"/>
        <v>1</v>
      </c>
      <c r="AB41" s="713">
        <f t="shared" si="4"/>
        <v>1</v>
      </c>
      <c r="AC41" s="713">
        <f t="shared" si="5"/>
        <v>1</v>
      </c>
    </row>
    <row r="42" spans="1:29" ht="15">
      <c r="A42" s="431"/>
      <c r="B42" s="381" t="s">
        <v>2517</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6"/>
      <c r="M42" s="2910"/>
      <c r="N42" s="2910"/>
      <c r="O42" s="2968"/>
      <c r="P42" s="3488" t="s">
        <v>2327</v>
      </c>
      <c r="Q42" s="1506" t="str">
        <f t="shared" si="14"/>
        <v>工程地质条件</v>
      </c>
      <c r="R42" s="714" t="s">
        <v>17</v>
      </c>
      <c r="S42" s="715">
        <f t="shared" si="10"/>
        <v>100</v>
      </c>
      <c r="T42" s="714" t="s">
        <v>17</v>
      </c>
      <c r="U42" s="715">
        <f t="shared" si="11"/>
        <v>100</v>
      </c>
      <c r="V42" s="714" t="s">
        <v>17</v>
      </c>
      <c r="W42" s="715">
        <f t="shared" si="12"/>
        <v>100</v>
      </c>
      <c r="X42" s="1509"/>
      <c r="Y42" s="3488" t="s">
        <v>2327</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88"/>
      <c r="Q43" s="1506">
        <f t="shared" si="14"/>
        <v>111</v>
      </c>
      <c r="R43" s="714" t="s">
        <v>17</v>
      </c>
      <c r="S43" s="715">
        <f t="shared" si="10"/>
        <v>100</v>
      </c>
      <c r="T43" s="714" t="s">
        <v>17</v>
      </c>
      <c r="U43" s="715">
        <f t="shared" si="11"/>
        <v>100</v>
      </c>
      <c r="V43" s="714" t="s">
        <v>17</v>
      </c>
      <c r="W43" s="715">
        <f t="shared" si="12"/>
        <v>100</v>
      </c>
      <c r="X43" s="1509"/>
      <c r="Y43" s="348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88"/>
      <c r="Q44" s="1506">
        <f t="shared" si="14"/>
        <v>111</v>
      </c>
      <c r="R44" s="714" t="s">
        <v>17</v>
      </c>
      <c r="S44" s="715">
        <f t="shared" si="10"/>
        <v>100</v>
      </c>
      <c r="T44" s="714" t="s">
        <v>17</v>
      </c>
      <c r="U44" s="715">
        <f t="shared" si="11"/>
        <v>100</v>
      </c>
      <c r="V44" s="714" t="s">
        <v>17</v>
      </c>
      <c r="W44" s="715">
        <f t="shared" si="12"/>
        <v>100</v>
      </c>
      <c r="X44" s="1509"/>
      <c r="Y44" s="3488"/>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88"/>
      <c r="Q45" s="1506">
        <f t="shared" si="14"/>
        <v>111</v>
      </c>
      <c r="R45" s="717" t="s">
        <v>17</v>
      </c>
      <c r="S45" s="718">
        <f t="shared" si="10"/>
        <v>100</v>
      </c>
      <c r="T45" s="717" t="s">
        <v>17</v>
      </c>
      <c r="U45" s="718">
        <f t="shared" si="11"/>
        <v>100</v>
      </c>
      <c r="V45" s="717" t="s">
        <v>17</v>
      </c>
      <c r="W45" s="718">
        <f t="shared" si="12"/>
        <v>100</v>
      </c>
      <c r="X45" s="719"/>
      <c r="Y45" s="3488"/>
      <c r="Z45" s="720">
        <f t="shared" si="13"/>
        <v>111</v>
      </c>
      <c r="AA45" s="1507">
        <f t="shared" si="3"/>
        <v>1</v>
      </c>
      <c r="AB45" s="1507">
        <f t="shared" si="4"/>
        <v>1</v>
      </c>
      <c r="AC45" s="1507">
        <f t="shared" si="5"/>
        <v>1</v>
      </c>
    </row>
    <row r="46" spans="1:29" ht="15">
      <c r="A46" s="438" t="s">
        <v>2482</v>
      </c>
      <c r="B46" s="2137" t="s">
        <v>2518</v>
      </c>
      <c r="C46" s="638" t="s">
        <v>1</v>
      </c>
      <c r="D46" s="440"/>
      <c r="E46" s="441"/>
      <c r="F46" s="442"/>
      <c r="G46" s="443"/>
      <c r="H46" s="444"/>
      <c r="I46" s="441"/>
      <c r="J46" s="444"/>
      <c r="K46" s="723"/>
      <c r="L46" s="2918"/>
      <c r="M46" s="2919"/>
      <c r="N46" s="2910"/>
      <c r="O46" s="2919"/>
      <c r="P46" s="3470" t="str">
        <f>A46</f>
        <v>成交单价</v>
      </c>
      <c r="Q46" s="3470"/>
      <c r="R46" s="3483">
        <f>E46</f>
        <v>0</v>
      </c>
      <c r="S46" s="3483"/>
      <c r="T46" s="3483">
        <f>G46</f>
        <v>0</v>
      </c>
      <c r="U46" s="3483"/>
      <c r="V46" s="3483">
        <f>I46</f>
        <v>0</v>
      </c>
      <c r="W46" s="3483"/>
      <c r="X46" s="699"/>
      <c r="Y46" s="721"/>
      <c r="Z46" s="699"/>
      <c r="AA46" s="699"/>
      <c r="AB46" s="699"/>
      <c r="AC46" s="699"/>
    </row>
    <row r="47" spans="1:29" ht="15.75" thickBot="1">
      <c r="A47" s="445" t="s">
        <v>2431</v>
      </c>
      <c r="B47" s="639"/>
      <c r="C47" s="448" t="e">
        <f>R48</f>
        <v>#DIV/0!</v>
      </c>
      <c r="D47" s="2507" t="s">
        <v>2822</v>
      </c>
      <c r="E47" s="448" t="e">
        <f>R47</f>
        <v>#DIV/0!</v>
      </c>
      <c r="F47" s="2508"/>
      <c r="G47" s="447" t="e">
        <f>T47</f>
        <v>#DIV/0!</v>
      </c>
      <c r="H47" s="2508"/>
      <c r="I47" s="448" t="e">
        <f>V47</f>
        <v>#DIV/0!</v>
      </c>
      <c r="J47" s="2508"/>
      <c r="K47" s="2510">
        <f>F47+H47+J47</f>
        <v>0</v>
      </c>
      <c r="L47" s="2918"/>
      <c r="M47" s="2919"/>
      <c r="N47" s="2919"/>
      <c r="O47" s="2919"/>
      <c r="P47" s="3470" t="str">
        <f>A47</f>
        <v>比较价值（元/平方米）</v>
      </c>
      <c r="Q47" s="3470"/>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75" thickBot="1">
      <c r="A48" s="449" t="s">
        <v>2519</v>
      </c>
      <c r="B48" s="450"/>
      <c r="C48" s="451" t="e">
        <f>R48</f>
        <v>#DIV/0!</v>
      </c>
      <c r="D48" s="451"/>
      <c r="E48" s="451"/>
      <c r="F48" s="451"/>
      <c r="G48" s="451"/>
      <c r="H48" s="451"/>
      <c r="I48" s="451"/>
      <c r="J48" s="451"/>
      <c r="K48" s="724"/>
      <c r="L48" s="2918"/>
      <c r="M48" s="2919"/>
      <c r="N48" s="2919"/>
      <c r="O48" s="2919"/>
      <c r="P48" s="3490" t="str">
        <f>A48</f>
        <v>估价对象XX用房的比较价值（楼面单价，元/平方米）</v>
      </c>
      <c r="Q48" s="3491"/>
      <c r="R48" s="3492" t="e">
        <f>ROUND(IF(D47="简单平均",AVERAGE(R47:W47),R47*F47+T47*H47+V47*J47),0)</f>
        <v>#DIV/0!</v>
      </c>
      <c r="S48" s="3492"/>
      <c r="T48" s="3492"/>
      <c r="U48" s="3492"/>
      <c r="V48" s="3492"/>
      <c r="W48" s="3492"/>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2520</v>
      </c>
      <c r="B55" s="641" t="s">
        <v>2521</v>
      </c>
      <c r="C55" s="2138" t="s">
        <v>2522</v>
      </c>
      <c r="D55" s="2139" t="s">
        <v>2523</v>
      </c>
      <c r="E55" s="642" t="s">
        <v>2524</v>
      </c>
      <c r="F55" s="1021" t="s">
        <v>2525</v>
      </c>
      <c r="G55" s="3471" t="s">
        <v>2526</v>
      </c>
      <c r="H55" s="3493"/>
      <c r="I55" s="140" t="s">
        <v>2527</v>
      </c>
      <c r="J55" s="2140" t="str">
        <f>项目基本情况!F35</f>
        <v>福建省</v>
      </c>
      <c r="K55" s="2141" t="s">
        <v>2528</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2529</v>
      </c>
      <c r="B56" s="645" t="e">
        <f>C48</f>
        <v>#DIV/0!</v>
      </c>
      <c r="C56" s="646">
        <v>1</v>
      </c>
      <c r="D56" s="1075">
        <v>1</v>
      </c>
      <c r="E56" s="646">
        <f>'数据-汇总表'!E8+'数据-汇总表'!E9</f>
        <v>1968.35</v>
      </c>
      <c r="F56" s="1017" t="e">
        <f t="shared" ref="F56:F65" si="15">ROUND(B56*E56/10000,0)</f>
        <v>#DIV/0!</v>
      </c>
      <c r="G56" s="3494"/>
      <c r="H56" s="3470"/>
      <c r="I56" s="1022">
        <v>1</v>
      </c>
      <c r="J56" s="1025">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2530</v>
      </c>
      <c r="B57" s="224" t="e">
        <f>ROUND($C$48*C57*D57,0)</f>
        <v>#DIV/0!</v>
      </c>
      <c r="C57" s="176">
        <f t="shared" ref="C57:C65" si="16">IF($C$55="北京市系数",I57,J57)</f>
        <v>0</v>
      </c>
      <c r="D57" s="1076">
        <v>0.25</v>
      </c>
      <c r="E57" s="650"/>
      <c r="F57" s="1017" t="e">
        <f t="shared" si="15"/>
        <v>#DIV/0!</v>
      </c>
      <c r="G57" s="3495" t="s">
        <v>2531</v>
      </c>
      <c r="H57" s="1018">
        <f>项目基本情况!B37</f>
        <v>0</v>
      </c>
      <c r="I57" s="1022">
        <f>SUMIF(修正!A45:A56,H57,修正!B45:B56)</f>
        <v>0</v>
      </c>
      <c r="J57" s="1026"/>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2532</v>
      </c>
      <c r="B58" s="224" t="e">
        <f t="shared" ref="B58:B65" si="17">ROUND($C$48*C58*D58,0)</f>
        <v>#DIV/0!</v>
      </c>
      <c r="C58" s="176">
        <f t="shared" si="16"/>
        <v>0</v>
      </c>
      <c r="D58" s="1076">
        <v>0.25</v>
      </c>
      <c r="E58" s="650"/>
      <c r="F58" s="1017" t="e">
        <f t="shared" si="15"/>
        <v>#DIV/0!</v>
      </c>
      <c r="G58" s="3495"/>
      <c r="H58" s="1018">
        <f>项目基本情况!B37</f>
        <v>0</v>
      </c>
      <c r="I58" s="1022">
        <f>SUMIF(修正!A45:A56,H58,修正!C45:C56)</f>
        <v>0</v>
      </c>
      <c r="J58" s="1026"/>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2533</v>
      </c>
      <c r="B59" s="224" t="e">
        <f t="shared" si="17"/>
        <v>#DIV/0!</v>
      </c>
      <c r="C59" s="176">
        <f t="shared" si="16"/>
        <v>0</v>
      </c>
      <c r="D59" s="1076">
        <v>0.25</v>
      </c>
      <c r="E59" s="650"/>
      <c r="F59" s="1017" t="e">
        <f t="shared" si="15"/>
        <v>#DIV/0!</v>
      </c>
      <c r="G59" s="3495"/>
      <c r="H59" s="1018">
        <f>项目基本情况!B37</f>
        <v>0</v>
      </c>
      <c r="I59" s="1022">
        <f>SUMIF(修正!A45:A56,H59,修正!D45:D56)</f>
        <v>0</v>
      </c>
      <c r="J59" s="1026"/>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2534</v>
      </c>
      <c r="B60" s="224" t="e">
        <f t="shared" si="17"/>
        <v>#DIV/0!</v>
      </c>
      <c r="C60" s="176">
        <f t="shared" si="16"/>
        <v>0</v>
      </c>
      <c r="D60" s="1076">
        <v>0.25</v>
      </c>
      <c r="E60" s="650"/>
      <c r="F60" s="1017" t="e">
        <f t="shared" si="15"/>
        <v>#DIV/0!</v>
      </c>
      <c r="G60" s="3495"/>
      <c r="H60" s="1018">
        <f>项目基本情况!B37</f>
        <v>0</v>
      </c>
      <c r="I60" s="1022">
        <f>SUMIF(修正!A45:A56,H60,修正!E45:E56)</f>
        <v>0</v>
      </c>
      <c r="J60" s="1026"/>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2535</v>
      </c>
      <c r="B61" s="224" t="e">
        <f t="shared" si="17"/>
        <v>#DIV/0!</v>
      </c>
      <c r="C61" s="176">
        <f t="shared" si="16"/>
        <v>0</v>
      </c>
      <c r="D61" s="1076">
        <v>0.25</v>
      </c>
      <c r="E61" s="223">
        <f>'数据-汇总表'!E11</f>
        <v>0</v>
      </c>
      <c r="F61" s="1017" t="e">
        <f t="shared" si="15"/>
        <v>#DIV/0!</v>
      </c>
      <c r="G61" s="2142" t="s">
        <v>2536</v>
      </c>
      <c r="H61" s="1018">
        <f>项目基本情况!C37</f>
        <v>0</v>
      </c>
      <c r="I61" s="1022">
        <f>SUMIF(修正!A45:A56,H61,修正!F45:F56)</f>
        <v>0</v>
      </c>
      <c r="J61" s="1026"/>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2537</v>
      </c>
      <c r="B62" s="224" t="e">
        <f t="shared" si="17"/>
        <v>#DIV/0!</v>
      </c>
      <c r="C62" s="176">
        <f t="shared" si="16"/>
        <v>0</v>
      </c>
      <c r="D62" s="1076">
        <v>0.25</v>
      </c>
      <c r="E62" s="223">
        <f>'数据-汇总表'!E12</f>
        <v>0</v>
      </c>
      <c r="F62" s="1017" t="e">
        <f t="shared" si="15"/>
        <v>#DIV/0!</v>
      </c>
      <c r="G62" s="1023" t="s">
        <v>2538</v>
      </c>
      <c r="H62" s="1018">
        <f>IF(G62="商业",项目基本情况!B37,IF(G62="办公",项目基本情况!C37,IF(G62="住宅",项目基本情况!D37,项目基本情况!E37)))</f>
        <v>0</v>
      </c>
      <c r="I62" s="1022">
        <f>SUMIF(修正!A45:A56,H62,修正!G45:G56)</f>
        <v>0</v>
      </c>
      <c r="J62" s="1026"/>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2539</v>
      </c>
      <c r="B63" s="224" t="e">
        <f t="shared" si="17"/>
        <v>#DIV/0!</v>
      </c>
      <c r="C63" s="176">
        <f t="shared" si="16"/>
        <v>0</v>
      </c>
      <c r="D63" s="1076">
        <v>0.25</v>
      </c>
      <c r="E63" s="223">
        <f>'数据-汇总表'!E13</f>
        <v>37838.57</v>
      </c>
      <c r="F63" s="1017" t="e">
        <f t="shared" si="15"/>
        <v>#DIV/0!</v>
      </c>
      <c r="G63" s="1023" t="s">
        <v>2540</v>
      </c>
      <c r="H63" s="1018">
        <f>IF(G63="商业",项目基本情况!B37,IF(G63="办公",项目基本情况!C37,IF(G63="住宅",项目基本情况!D37,项目基本情况!E37)))</f>
        <v>0</v>
      </c>
      <c r="I63" s="1022">
        <f>SUMIF(修正!A45:A56,H63,修正!H45:H56)</f>
        <v>0</v>
      </c>
      <c r="J63" s="1026"/>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2541</v>
      </c>
      <c r="B64" s="224" t="e">
        <f t="shared" si="17"/>
        <v>#DIV/0!</v>
      </c>
      <c r="C64" s="176">
        <f t="shared" si="16"/>
        <v>0</v>
      </c>
      <c r="D64" s="1076">
        <v>0.25</v>
      </c>
      <c r="E64" s="223">
        <f>'数据-汇总表'!E14</f>
        <v>0</v>
      </c>
      <c r="F64" s="1017" t="e">
        <f t="shared" si="15"/>
        <v>#DIV/0!</v>
      </c>
      <c r="G64" s="2142" t="s">
        <v>2531</v>
      </c>
      <c r="H64" s="1018">
        <f>项目基本情况!B37</f>
        <v>0</v>
      </c>
      <c r="I64" s="1022">
        <f>SUMIF(修正!A45:A56,H64,修正!H45:H56)</f>
        <v>0</v>
      </c>
      <c r="J64" s="1026"/>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2542</v>
      </c>
      <c r="B65" s="224" t="e">
        <f t="shared" si="17"/>
        <v>#DIV/0!</v>
      </c>
      <c r="C65" s="176">
        <f t="shared" si="16"/>
        <v>0</v>
      </c>
      <c r="D65" s="1076">
        <v>0.25</v>
      </c>
      <c r="E65" s="223">
        <f>'数据-汇总表'!E15</f>
        <v>0</v>
      </c>
      <c r="F65" s="1017" t="e">
        <f t="shared" si="15"/>
        <v>#DIV/0!</v>
      </c>
      <c r="G65" s="2143" t="s">
        <v>2536</v>
      </c>
      <c r="H65" s="1028">
        <f>项目基本情况!C37</f>
        <v>0</v>
      </c>
      <c r="I65" s="1024">
        <f>SUMIF(修正!A45:A56,H65,修正!H45:H56)</f>
        <v>0</v>
      </c>
      <c r="J65" s="1027"/>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2543</v>
      </c>
      <c r="B66" s="652" t="s">
        <v>28</v>
      </c>
      <c r="C66" s="652" t="s">
        <v>29</v>
      </c>
      <c r="D66" s="652" t="s">
        <v>997</v>
      </c>
      <c r="E66" s="652">
        <f>IF(B46="楼面地价",SUM(E56:E65),'数据-汇总表'!D3)</f>
        <v>39806.92</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8"/>
      <c r="K67" s="1019"/>
      <c r="L67" s="1020"/>
      <c r="M67" s="1058"/>
      <c r="N67" s="1058"/>
      <c r="O67" s="1058"/>
      <c r="P67" s="2919"/>
      <c r="Q67" s="2919"/>
      <c r="R67" s="2919"/>
      <c r="S67" s="2919"/>
      <c r="T67" s="2919"/>
      <c r="U67" s="2919"/>
      <c r="V67" s="2919"/>
      <c r="W67" s="2919"/>
      <c r="X67" s="2919"/>
      <c r="Y67" s="2919"/>
      <c r="Z67" s="2919"/>
      <c r="AA67" s="2919"/>
      <c r="AB67" s="2919"/>
      <c r="AC67" s="2919"/>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9"/>
      <c r="Q68" s="2919"/>
      <c r="R68" s="2919"/>
      <c r="S68" s="2919"/>
      <c r="T68" s="2919"/>
      <c r="U68" s="2919"/>
      <c r="V68" s="2919"/>
      <c r="W68" s="2919"/>
      <c r="X68" s="2919"/>
      <c r="Y68" s="2919"/>
      <c r="Z68" s="2919"/>
      <c r="AA68" s="2919"/>
      <c r="AB68" s="2919"/>
      <c r="AC68" s="2919"/>
    </row>
    <row r="69" spans="1:29" ht="21.75" thickBot="1">
      <c r="A69" s="703" t="s">
        <v>2436</v>
      </c>
      <c r="B69" s="699"/>
      <c r="C69" s="704"/>
      <c r="D69" s="704"/>
      <c r="E69" s="704"/>
      <c r="F69" s="705"/>
      <c r="G69" s="705"/>
      <c r="H69" s="704"/>
      <c r="I69" s="704"/>
      <c r="J69" s="1071"/>
      <c r="K69" s="1072"/>
      <c r="L69" s="1073"/>
      <c r="M69" s="1071"/>
      <c r="N69" s="2963"/>
      <c r="O69" s="2963"/>
      <c r="P69" s="2963"/>
      <c r="Q69" s="2933"/>
      <c r="R69" s="2919"/>
      <c r="S69" s="2919"/>
      <c r="T69" s="2919"/>
      <c r="U69" s="2919"/>
      <c r="V69" s="2919"/>
      <c r="W69" s="2919"/>
      <c r="X69" s="2919"/>
      <c r="Y69" s="2919"/>
      <c r="Z69" s="2919"/>
      <c r="AA69" s="2919"/>
      <c r="AB69" s="2919"/>
      <c r="AC69" s="2919"/>
    </row>
    <row r="70" spans="1:29" s="465" customFormat="1" ht="15">
      <c r="A70" s="2144" t="s">
        <v>2544</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5" t="s">
        <v>2545</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3"/>
      <c r="Q71" s="2854"/>
      <c r="R71" s="2854"/>
      <c r="S71" s="2854"/>
      <c r="T71" s="2854"/>
      <c r="U71" s="2854"/>
      <c r="V71" s="2854"/>
      <c r="W71" s="2854"/>
      <c r="X71" s="2854"/>
      <c r="Y71" s="2854"/>
      <c r="Z71" s="2854"/>
      <c r="AA71" s="2854"/>
      <c r="AB71" s="2854"/>
      <c r="AC71" s="2854"/>
    </row>
    <row r="72" spans="1:29" s="113" customFormat="1" ht="15.75" thickBot="1">
      <c r="A72" s="472" t="s">
        <v>2347</v>
      </c>
      <c r="B72" s="473"/>
      <c r="C72" s="474"/>
      <c r="D72" s="475"/>
      <c r="E72" s="475"/>
      <c r="F72" s="475"/>
      <c r="G72" s="475"/>
      <c r="H72" s="475"/>
      <c r="I72" s="475"/>
      <c r="J72" s="475"/>
      <c r="K72" s="475"/>
      <c r="L72" s="475"/>
      <c r="M72" s="476"/>
      <c r="N72" s="475"/>
      <c r="O72" s="1074"/>
      <c r="P72" s="2933"/>
      <c r="Q72" s="2933"/>
      <c r="R72" s="2854"/>
      <c r="S72" s="2854"/>
      <c r="T72" s="2854"/>
      <c r="U72" s="2854"/>
      <c r="V72" s="2854"/>
      <c r="W72" s="2854"/>
      <c r="X72" s="2854"/>
      <c r="Y72" s="2854"/>
      <c r="Z72" s="2854"/>
      <c r="AA72" s="2854"/>
      <c r="AB72" s="2854"/>
      <c r="AC72" s="2854"/>
    </row>
    <row r="73" spans="1:29" s="113" customFormat="1" ht="15">
      <c r="A73" s="478" t="s">
        <v>2312</v>
      </c>
      <c r="B73" s="467"/>
      <c r="C73" s="479" t="s">
        <v>2414</v>
      </c>
      <c r="D73" s="480"/>
      <c r="E73" s="480"/>
      <c r="F73" s="480"/>
      <c r="G73" s="480"/>
      <c r="H73" s="480"/>
      <c r="I73" s="480"/>
      <c r="J73" s="480"/>
      <c r="K73" s="480"/>
      <c r="L73" s="481"/>
      <c r="M73" s="482"/>
      <c r="N73" s="2946"/>
      <c r="O73" s="2946"/>
      <c r="P73" s="2971"/>
      <c r="Q73" s="2933"/>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4"/>
      <c r="S74" s="2854"/>
      <c r="T74" s="2854"/>
      <c r="U74" s="2854"/>
      <c r="V74" s="2854"/>
      <c r="W74" s="2854"/>
      <c r="X74" s="2854"/>
      <c r="Y74" s="2854"/>
      <c r="Z74" s="2854"/>
      <c r="AA74" s="2854"/>
      <c r="AB74" s="2854"/>
      <c r="AC74" s="2854"/>
    </row>
    <row r="75" spans="1:29">
      <c r="A75" s="484" t="s">
        <v>2350</v>
      </c>
      <c r="B75" s="485" t="s">
        <v>2316</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2319</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2320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2321</v>
      </c>
      <c r="B88" s="485" t="s">
        <v>2358</v>
      </c>
      <c r="C88" s="530" t="s">
        <v>2359</v>
      </c>
      <c r="D88" s="530" t="s">
        <v>2360</v>
      </c>
      <c r="E88" s="530" t="s">
        <v>2361</v>
      </c>
      <c r="F88" s="530" t="s">
        <v>2362</v>
      </c>
      <c r="G88" s="530" t="s">
        <v>2363</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2546</v>
      </c>
      <c r="C90" s="535" t="s">
        <v>2359</v>
      </c>
      <c r="D90" s="535" t="s">
        <v>2360</v>
      </c>
      <c r="E90" s="535" t="s">
        <v>2361</v>
      </c>
      <c r="F90" s="535" t="s">
        <v>2362</v>
      </c>
      <c r="G90" s="535" t="s">
        <v>2363</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2459</v>
      </c>
      <c r="C92" s="535" t="s">
        <v>2359</v>
      </c>
      <c r="D92" s="535" t="s">
        <v>2360</v>
      </c>
      <c r="E92" s="535" t="s">
        <v>2361</v>
      </c>
      <c r="F92" s="535" t="s">
        <v>2362</v>
      </c>
      <c r="G92" s="535" t="s">
        <v>2363</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2364</v>
      </c>
      <c r="C94" s="535" t="s">
        <v>2359</v>
      </c>
      <c r="D94" s="535" t="s">
        <v>2360</v>
      </c>
      <c r="E94" s="535" t="s">
        <v>2361</v>
      </c>
      <c r="F94" s="535" t="s">
        <v>2362</v>
      </c>
      <c r="G94" s="535" t="s">
        <v>2363</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2547</v>
      </c>
      <c r="C96" s="535" t="s">
        <v>2359</v>
      </c>
      <c r="D96" s="535" t="s">
        <v>2360</v>
      </c>
      <c r="E96" s="535" t="s">
        <v>2361</v>
      </c>
      <c r="F96" s="535" t="s">
        <v>2362</v>
      </c>
      <c r="G96" s="535" t="s">
        <v>2363</v>
      </c>
      <c r="H96" s="535"/>
      <c r="I96" s="535"/>
      <c r="J96" s="535"/>
      <c r="K96" s="535"/>
      <c r="L96" s="654"/>
      <c r="M96" s="578"/>
      <c r="N96" s="2946"/>
      <c r="O96" s="2946"/>
      <c r="P96" s="2972"/>
      <c r="Q96" s="2933"/>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4"/>
      <c r="S97" s="2854"/>
      <c r="T97" s="2854"/>
      <c r="U97" s="2854"/>
      <c r="V97" s="2854"/>
      <c r="W97" s="2854"/>
      <c r="X97" s="2854"/>
      <c r="Y97" s="2854"/>
      <c r="Z97" s="2854"/>
      <c r="AA97" s="2854"/>
      <c r="AB97" s="2854"/>
      <c r="AC97" s="2854"/>
    </row>
    <row r="98" spans="1:29" s="113" customFormat="1" ht="27.75" thickTop="1">
      <c r="A98" s="536"/>
      <c r="B98" s="495" t="s">
        <v>2548</v>
      </c>
      <c r="C98" s="530" t="s">
        <v>2359</v>
      </c>
      <c r="D98" s="530" t="s">
        <v>2360</v>
      </c>
      <c r="E98" s="530" t="s">
        <v>2361</v>
      </c>
      <c r="F98" s="530" t="s">
        <v>2362</v>
      </c>
      <c r="G98" s="530" t="s">
        <v>2363</v>
      </c>
      <c r="H98" s="535"/>
      <c r="I98" s="535"/>
      <c r="J98" s="535"/>
      <c r="K98" s="535"/>
      <c r="L98" s="535"/>
      <c r="M98" s="578"/>
      <c r="N98" s="2946"/>
      <c r="O98" s="2946"/>
      <c r="P98" s="2972"/>
      <c r="Q98" s="2933"/>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4"/>
      <c r="S99" s="2854"/>
      <c r="T99" s="2854"/>
      <c r="U99" s="2854"/>
      <c r="V99" s="2854"/>
      <c r="W99" s="2854"/>
      <c r="X99" s="2854"/>
      <c r="Y99" s="2854"/>
      <c r="Z99" s="2854"/>
      <c r="AA99" s="2854"/>
      <c r="AB99" s="2854"/>
      <c r="AC99" s="2854"/>
    </row>
    <row r="100" spans="1:29" s="430" customFormat="1" ht="15.75" thickTop="1">
      <c r="A100" s="510"/>
      <c r="B100" s="495" t="s">
        <v>2416</v>
      </c>
      <c r="C100" s="530" t="s">
        <v>2359</v>
      </c>
      <c r="D100" s="530" t="s">
        <v>2360</v>
      </c>
      <c r="E100" s="530" t="s">
        <v>2361</v>
      </c>
      <c r="F100" s="530" t="s">
        <v>2362</v>
      </c>
      <c r="G100" s="530" t="s">
        <v>2363</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2417</v>
      </c>
      <c r="C102" s="616" t="s">
        <v>2437</v>
      </c>
      <c r="D102" s="616" t="s">
        <v>2438</v>
      </c>
      <c r="E102" s="616" t="s">
        <v>2439</v>
      </c>
      <c r="F102" s="616" t="s">
        <v>2440</v>
      </c>
      <c r="G102" s="616" t="s">
        <v>2441</v>
      </c>
      <c r="H102" s="557"/>
      <c r="I102" s="557"/>
      <c r="J102" s="557"/>
      <c r="K102" s="557"/>
      <c r="L102" s="557"/>
      <c r="M102" s="1266"/>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2549</v>
      </c>
      <c r="D104" s="496" t="s">
        <v>2550</v>
      </c>
      <c r="E104" s="496" t="s">
        <v>2551</v>
      </c>
      <c r="F104" s="496" t="s">
        <v>2552</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2453</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2512</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2325</v>
      </c>
      <c r="B116" s="485" t="s">
        <v>2553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2554</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2555</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2556</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2557</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zoomScaleSheetLayoutView="90" workbookViewId="0">
      <selection activeCell="G63" sqref="G6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4"/>
      <c r="C1" s="204"/>
      <c r="D1" s="204"/>
      <c r="E1" s="204"/>
      <c r="F1" s="204"/>
      <c r="G1" s="1260">
        <f>MATCH(B1,'数据-取费表'!A6:A16,0)+5</f>
        <v>8</v>
      </c>
    </row>
    <row r="2" spans="1:9" s="206" customFormat="1" ht="18" customHeight="1">
      <c r="A2" s="207" t="s">
        <v>2089</v>
      </c>
      <c r="B2" s="208">
        <f ca="1">IF(D2="——",C52,C52-E2)</f>
        <v>3870</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970</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 ca="1">C6+C7+C8</f>
        <v>-798</v>
      </c>
      <c r="D5" s="217" t="s">
        <v>2096</v>
      </c>
      <c r="E5" s="218" t="s">
        <v>2097</v>
      </c>
      <c r="F5" s="218" t="s">
        <v>2098</v>
      </c>
      <c r="G5" s="219"/>
    </row>
    <row r="6" spans="1:9" s="220" customFormat="1" ht="13.5" customHeight="1">
      <c r="A6" s="886" t="s">
        <v>2099</v>
      </c>
      <c r="B6" s="221" t="s">
        <v>2100</v>
      </c>
      <c r="C6" s="222">
        <v>-840</v>
      </c>
      <c r="D6" s="223"/>
      <c r="E6" s="224"/>
      <c r="F6" s="224"/>
      <c r="G6" s="225"/>
    </row>
    <row r="7" spans="1:9" s="220" customFormat="1" ht="13.5" customHeight="1">
      <c r="A7" s="886" t="s">
        <v>2101</v>
      </c>
      <c r="B7" s="221" t="s">
        <v>2102</v>
      </c>
      <c r="C7" s="226">
        <f>ROUND(C6*F7,0)</f>
        <v>-26</v>
      </c>
      <c r="D7" s="226"/>
      <c r="E7" s="224"/>
      <c r="F7" s="227">
        <f>IF(项目基本情况!B8="出让",0,'数据-取费表'!B48+'数据-取费表'!B49)</f>
        <v>3.0499999999999999E-2</v>
      </c>
      <c r="G7" s="225"/>
    </row>
    <row r="8" spans="1:9" s="229" customFormat="1">
      <c r="A8" s="886" t="s">
        <v>2103</v>
      </c>
      <c r="B8" s="221" t="s">
        <v>2104</v>
      </c>
      <c r="C8" s="226">
        <f ca="1">IF(G8="已包含在土地购买价格中","0",IF(B1="",'数据-取费表'!B29,IF(G9="全部缴纳",C9+C10,H9)))</f>
        <v>68</v>
      </c>
      <c r="D8" s="228"/>
      <c r="E8" s="226"/>
      <c r="F8" s="227"/>
      <c r="G8" s="2011"/>
    </row>
    <row r="9" spans="1:9" s="220" customFormat="1" ht="13.5" customHeight="1">
      <c r="A9" s="887" t="s">
        <v>800</v>
      </c>
      <c r="B9" s="230" t="s">
        <v>2105</v>
      </c>
      <c r="C9" s="231">
        <f ca="1">ROUND(D9*E9/10000,0)</f>
        <v>0</v>
      </c>
      <c r="D9" s="954">
        <f ca="1">IF(B1="",'数据-汇总表'!E5,IF(INDIRECT("'数据-取费表'!c"&amp;$G$1)="住宅",INDIRECT("'数据-取费表'!k"&amp;$G$1),0))</f>
        <v>0</v>
      </c>
      <c r="E9" s="231">
        <f>'数据-取费表'!B27</f>
        <v>17</v>
      </c>
      <c r="F9" s="227"/>
      <c r="G9" s="2012"/>
      <c r="H9" s="1271"/>
      <c r="I9" s="2013" t="s">
        <v>2106</v>
      </c>
    </row>
    <row r="10" spans="1:9" s="220" customFormat="1" ht="13.5" customHeight="1">
      <c r="A10" s="887" t="s">
        <v>801</v>
      </c>
      <c r="B10" s="230" t="s">
        <v>2107</v>
      </c>
      <c r="C10" s="231">
        <f ca="1">ROUND(D10*E10/10000,0)</f>
        <v>68</v>
      </c>
      <c r="D10" s="954">
        <f ca="1">IF(B1="",'数据-汇总表'!E6,IF(INDIRECT("'数据-取费表'!c"&amp;$G$1)="住宅",INDIRECT("'数据-取费表'!s"&amp;$G$1),INDIRECT("'数据-取费表'!k"&amp;$G$1)+INDIRECT("'数据-取费表'!s"&amp;$G$1)))</f>
        <v>39892.17</v>
      </c>
      <c r="E10" s="231">
        <f>'数据-取费表'!B28</f>
        <v>17</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f ca="1">IF(G19="已包含在土地取得成本中","0",ROUND(D19*E19/10000,0))</f>
        <v>798</v>
      </c>
      <c r="D19" s="958">
        <f ca="1">D9+D10</f>
        <v>39892.17</v>
      </c>
      <c r="E19" s="217">
        <f>'数据-取费表'!B31</f>
        <v>200</v>
      </c>
      <c r="F19" s="237"/>
      <c r="G19" s="2011"/>
    </row>
    <row r="20" spans="1:7" s="220" customFormat="1" ht="13.5" customHeight="1">
      <c r="A20" s="261" t="s">
        <v>2120</v>
      </c>
      <c r="B20" s="216" t="s">
        <v>2121</v>
      </c>
      <c r="C20" s="238">
        <f ca="1">ROUND((C5+C19)*F20,0)</f>
        <v>0</v>
      </c>
      <c r="D20" s="238"/>
      <c r="E20" s="238"/>
      <c r="F20" s="239">
        <f>'数据-取费表'!B37</f>
        <v>0.03</v>
      </c>
      <c r="G20" s="240" t="s">
        <v>2122</v>
      </c>
    </row>
    <row r="21" spans="1:7" s="220" customFormat="1" ht="13.5" customHeight="1">
      <c r="A21" s="261" t="s">
        <v>2123</v>
      </c>
      <c r="B21" s="216" t="s">
        <v>2124</v>
      </c>
      <c r="C21" s="241">
        <f>F21</f>
        <v>0.03</v>
      </c>
      <c r="D21" s="242" t="s">
        <v>2125</v>
      </c>
      <c r="E21" s="238"/>
      <c r="F21" s="239">
        <f>'数据-取费表'!B38</f>
        <v>0.03</v>
      </c>
      <c r="G21" s="240" t="s">
        <v>2126</v>
      </c>
    </row>
    <row r="22" spans="1:7" s="220" customFormat="1" ht="13.5" customHeight="1">
      <c r="A22" s="261" t="s">
        <v>2127</v>
      </c>
      <c r="B22" s="216" t="s">
        <v>2128</v>
      </c>
      <c r="C22" s="1236">
        <f ca="1">ROUND(SUM(C23:C25),0)</f>
        <v>0</v>
      </c>
      <c r="D22" s="241">
        <f ca="1">C26</f>
        <v>4.0000000000000002E-4</v>
      </c>
      <c r="E22" s="242" t="s">
        <v>2125</v>
      </c>
      <c r="F22" s="243">
        <f ca="1">'数据-取费表'!B40</f>
        <v>4.2000000000000003E-2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-20</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20</v>
      </c>
      <c r="D24" s="244"/>
      <c r="E24" s="244"/>
      <c r="F24" s="245"/>
      <c r="G24" s="246" t="s">
        <v>2134</v>
      </c>
    </row>
    <row r="25" spans="1:7" s="220" customFormat="1" ht="24">
      <c r="A25" s="888" t="s">
        <v>2135</v>
      </c>
      <c r="B25" s="221" t="s">
        <v>2136</v>
      </c>
      <c r="C25" s="1237">
        <f ca="1">ROUND(IF('数据-取费表'!B22&lt;=1,C20*F22*'数据-取费表'!B23/2,C20*(POWER((1+F22),'数据-取费表'!B23/2)-1)),0)</f>
        <v>0</v>
      </c>
      <c r="D25" s="244"/>
      <c r="E25" s="247"/>
      <c r="F25" s="245"/>
      <c r="G25" s="248" t="s">
        <v>2137</v>
      </c>
    </row>
    <row r="26" spans="1:7" s="220" customFormat="1">
      <c r="A26" s="888" t="s">
        <v>795</v>
      </c>
      <c r="B26" s="221" t="s">
        <v>2138</v>
      </c>
      <c r="C26" s="244">
        <f ca="1">ROUND(IF('数据-取费表'!B22&lt;=1,F21*F22*'数据-取费表'!B23/2,F21*(POWER((1+F22),'数据-取费表'!B23/2)-1)),4)</f>
        <v>4.0000000000000002E-4</v>
      </c>
      <c r="D26" s="244"/>
      <c r="E26" s="247"/>
      <c r="F26" s="245"/>
      <c r="G26" s="249"/>
    </row>
    <row r="27" spans="1:7" s="220" customFormat="1" ht="24.75">
      <c r="A27" s="261" t="s">
        <v>2139</v>
      </c>
      <c r="B27" s="250" t="s">
        <v>2140</v>
      </c>
      <c r="C27" s="251">
        <f ca="1">C28</f>
        <v>0</v>
      </c>
      <c r="D27" s="241">
        <f ca="1">C29</f>
        <v>4.0000000000000002E-4</v>
      </c>
      <c r="E27" s="242" t="s">
        <v>2141</v>
      </c>
      <c r="F27" s="252">
        <f ca="1">IF(B1="",'数据-取费表'!Q16,INDIRECT("'数据-取费表'!q"&amp;$G$1))</f>
        <v>0.05</v>
      </c>
      <c r="G27" s="253" t="s">
        <v>2142</v>
      </c>
    </row>
    <row r="28" spans="1:7" s="220" customFormat="1" ht="13.5" customHeight="1">
      <c r="A28" s="888" t="s">
        <v>791</v>
      </c>
      <c r="B28" s="254" t="s">
        <v>2143</v>
      </c>
      <c r="C28" s="255">
        <f ca="1">ROUND((C5+C19+C20)*F27*'数据-取费表'!B21/'数据-取费表'!B20,0)</f>
        <v>0</v>
      </c>
      <c r="D28" s="241"/>
      <c r="E28" s="242"/>
      <c r="F28" s="252"/>
      <c r="G28" s="253"/>
    </row>
    <row r="29" spans="1:7" s="220" customFormat="1" ht="13.5" customHeight="1">
      <c r="A29" s="888" t="s">
        <v>792</v>
      </c>
      <c r="B29" s="254" t="s">
        <v>2144</v>
      </c>
      <c r="C29" s="244">
        <f ca="1">ROUND(C21*F27*'数据-取费表'!B21/'数据-取费表'!B20,4)</f>
        <v>4.0000000000000002E-4</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0</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3235</v>
      </c>
      <c r="D33" s="238"/>
      <c r="E33" s="218"/>
      <c r="F33" s="247"/>
      <c r="G33" s="240"/>
    </row>
    <row r="34" spans="1:7" s="264" customFormat="1" ht="13.5" customHeight="1">
      <c r="A34" s="888" t="s">
        <v>791</v>
      </c>
      <c r="B34" s="3259" t="s">
        <v>2152</v>
      </c>
      <c r="C34" s="226">
        <f ca="1">IF(B1="",IF(F34=100%,'数据-取费表'!M16,'数据-取费表'!O16),IF(F34=100%,INDIRECT("'数据-取费表'!m"&amp;$G$1)+INDIRECT("'数据-取费表'!t"&amp;$G$1),INDIRECT("'数据-取费表'!o"&amp;$G$1)+INDIRECT("'数据-取费表'!aq"&amp;$G$1)))</f>
        <v>2858</v>
      </c>
      <c r="D34" s="223"/>
      <c r="E34" s="226"/>
      <c r="F34" s="263">
        <f ca="1">IF('数据-取费表'!B24=0,1,IF(B1="",'数据-取费表'!N16,INDIRECT("'数据-取费表'!n"&amp;$G$1)))</f>
        <v>0.23899999999999999</v>
      </c>
      <c r="G34" s="225" t="s">
        <v>2153</v>
      </c>
    </row>
    <row r="35" spans="1:7" ht="13.5" customHeight="1">
      <c r="A35" s="888" t="s">
        <v>796</v>
      </c>
      <c r="B35" s="3259" t="s">
        <v>2154</v>
      </c>
      <c r="C35" s="226">
        <f ca="1">ROUND(C34*F35,0)</f>
        <v>143</v>
      </c>
      <c r="D35" s="226"/>
      <c r="E35" s="226"/>
      <c r="F35" s="265">
        <f>'数据-取费表'!B33</f>
        <v>0.05</v>
      </c>
      <c r="G35" s="225" t="s">
        <v>2155</v>
      </c>
    </row>
    <row r="36" spans="1:7" ht="24">
      <c r="A36" s="888" t="s">
        <v>797</v>
      </c>
      <c r="B36" s="3259" t="s">
        <v>2156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2157</v>
      </c>
    </row>
    <row r="37" spans="1:7" s="264" customFormat="1" ht="13.5" customHeight="1">
      <c r="A37" s="888" t="s">
        <v>798</v>
      </c>
      <c r="B37" s="221" t="s">
        <v>2158</v>
      </c>
      <c r="C37" s="255">
        <f ca="1">ROUND(E37*D37*F34/10000,0)</f>
        <v>191</v>
      </c>
      <c r="D37" s="223">
        <f ca="1">D19</f>
        <v>39892.17</v>
      </c>
      <c r="E37" s="255">
        <f>'数据-取费表'!B35</f>
        <v>200</v>
      </c>
      <c r="F37" s="265"/>
      <c r="G37" s="267" t="s">
        <v>2159</v>
      </c>
    </row>
    <row r="38" spans="1:7" ht="13.5" customHeight="1">
      <c r="A38" s="888" t="s">
        <v>799</v>
      </c>
      <c r="B38" s="221" t="s">
        <v>2160</v>
      </c>
      <c r="C38" s="226">
        <f ca="1">ROUND(C34*F38,0)</f>
        <v>43</v>
      </c>
      <c r="D38" s="226"/>
      <c r="E38" s="226"/>
      <c r="F38" s="265">
        <f>'数据-取费表'!B36</f>
        <v>1.4999999999999999E-2</v>
      </c>
      <c r="G38" s="225" t="s">
        <v>2155</v>
      </c>
    </row>
    <row r="39" spans="1:7" s="220" customFormat="1" ht="13.5" customHeight="1">
      <c r="A39" s="261" t="s">
        <v>2161</v>
      </c>
      <c r="B39" s="216" t="s">
        <v>2162</v>
      </c>
      <c r="C39" s="238">
        <f ca="1">ROUND(C33*F20,0)</f>
        <v>97</v>
      </c>
      <c r="D39" s="238"/>
      <c r="E39" s="238"/>
      <c r="F39" s="2504">
        <f>F20</f>
        <v>0.03</v>
      </c>
      <c r="G39" s="240" t="s">
        <v>2163</v>
      </c>
    </row>
    <row r="40" spans="1:7" s="220" customFormat="1" ht="13.5" customHeight="1">
      <c r="A40" s="261" t="s">
        <v>2164</v>
      </c>
      <c r="B40" s="216" t="s">
        <v>2165</v>
      </c>
      <c r="C40" s="1467">
        <f>F21</f>
        <v>0.03</v>
      </c>
      <c r="D40" s="242" t="s">
        <v>2166</v>
      </c>
      <c r="E40" s="238"/>
      <c r="F40" s="2504">
        <f>F21</f>
        <v>0.03</v>
      </c>
      <c r="G40" s="240" t="s">
        <v>2167</v>
      </c>
    </row>
    <row r="41" spans="1:7" s="220" customFormat="1" ht="13.5" customHeight="1">
      <c r="A41" s="261" t="s">
        <v>2168</v>
      </c>
      <c r="B41" s="216" t="s">
        <v>2169</v>
      </c>
      <c r="C41" s="238">
        <f ca="1">ROUND(SUM(C42:C43),0)</f>
        <v>41</v>
      </c>
      <c r="D41" s="241">
        <f ca="1">C44</f>
        <v>4.0000000000000002E-4</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40</v>
      </c>
      <c r="D42" s="244"/>
      <c r="E42" s="244"/>
      <c r="F42" s="245"/>
      <c r="G42" s="3496" t="s">
        <v>2171</v>
      </c>
    </row>
    <row r="43" spans="1:7" ht="13.5" customHeight="1">
      <c r="A43" s="888" t="s">
        <v>792</v>
      </c>
      <c r="B43" s="221" t="s">
        <v>2172</v>
      </c>
      <c r="C43" s="244">
        <f ca="1">ROUND(IF('数据-取费表'!B22&lt;=1,C39*F22*'数据-取费表'!B21/2,C39*(POWER((1+F22),'数据-取费表'!B21/2)-1)),0)</f>
        <v>1</v>
      </c>
      <c r="D43" s="244"/>
      <c r="E43" s="244"/>
      <c r="F43" s="245"/>
      <c r="G43" s="3497"/>
    </row>
    <row r="44" spans="1:7" ht="13.5" customHeight="1">
      <c r="A44" s="888" t="s">
        <v>793</v>
      </c>
      <c r="B44" s="221" t="s">
        <v>2173</v>
      </c>
      <c r="C44" s="244">
        <f ca="1">ROUND(IF('数据-取费表'!B22&lt;=1,C40*F22*'数据-取费表'!B21/2,C40*(POWER((1+F22),'数据-取费表'!B21/2)-1)),4)</f>
        <v>4.0000000000000002E-4</v>
      </c>
      <c r="D44" s="244"/>
      <c r="E44" s="244"/>
      <c r="F44" s="245"/>
      <c r="G44" s="3498"/>
    </row>
    <row r="45" spans="1:7" s="220" customFormat="1" ht="13.5" customHeight="1">
      <c r="A45" s="261" t="s">
        <v>2174</v>
      </c>
      <c r="B45" s="250" t="s">
        <v>2140</v>
      </c>
      <c r="C45" s="251">
        <f ca="1">C46</f>
        <v>167</v>
      </c>
      <c r="D45" s="241">
        <f ca="1">C47</f>
        <v>1.5E-3</v>
      </c>
      <c r="E45" s="242" t="s">
        <v>2166</v>
      </c>
      <c r="F45" s="2506">
        <f ca="1">F27</f>
        <v>0.05</v>
      </c>
      <c r="G45" s="253" t="s">
        <v>2175</v>
      </c>
    </row>
    <row r="46" spans="1:7" s="220" customFormat="1" ht="13.5" customHeight="1">
      <c r="A46" s="888" t="s">
        <v>791</v>
      </c>
      <c r="B46" s="254" t="s">
        <v>2176</v>
      </c>
      <c r="C46" s="255">
        <f ca="1">ROUND((C33+C39)*F27,0)</f>
        <v>167</v>
      </c>
      <c r="D46" s="269"/>
      <c r="E46" s="242"/>
      <c r="F46" s="252"/>
      <c r="G46" s="253"/>
    </row>
    <row r="47" spans="1:7" s="220" customFormat="1" ht="13.5" customHeight="1">
      <c r="A47" s="888" t="s">
        <v>792</v>
      </c>
      <c r="B47" s="254" t="s">
        <v>2177</v>
      </c>
      <c r="C47" s="244">
        <f ca="1">ROUND(C40*F27,4)</f>
        <v>1.5E-3</v>
      </c>
      <c r="D47" s="269"/>
      <c r="E47" s="242"/>
      <c r="F47" s="252"/>
      <c r="G47" s="253"/>
    </row>
    <row r="48" spans="1:7" s="220" customFormat="1" ht="13.5" customHeight="1">
      <c r="A48" s="261" t="s">
        <v>2139</v>
      </c>
      <c r="B48" s="216" t="s">
        <v>2178</v>
      </c>
      <c r="C48" s="1467">
        <f>ROUND(F30/(1+'数据-取费表'!C42),4)</f>
        <v>5.33E-2</v>
      </c>
      <c r="D48" s="242" t="s">
        <v>2166</v>
      </c>
      <c r="E48" s="238"/>
      <c r="F48" s="2505">
        <f>F30</f>
        <v>5.6000000000000001E-2</v>
      </c>
      <c r="G48" s="240" t="s">
        <v>2179</v>
      </c>
    </row>
    <row r="49" spans="1:7" ht="16.5" customHeight="1">
      <c r="A49" s="261" t="s">
        <v>2145</v>
      </c>
      <c r="B49" s="216" t="s">
        <v>2180</v>
      </c>
      <c r="C49" s="238">
        <f ca="1">ROUND((C33+C39+C41+C45)/(1-C40-D41-D45-C48),0)</f>
        <v>3870</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3870</v>
      </c>
      <c r="D51" s="238"/>
      <c r="E51" s="238"/>
      <c r="F51" s="270"/>
      <c r="G51" s="240" t="s">
        <v>2187</v>
      </c>
    </row>
    <row r="52" spans="1:7" s="214" customFormat="1" ht="16.5" thickBot="1">
      <c r="A52" s="271" t="s">
        <v>2188</v>
      </c>
      <c r="B52" s="272"/>
      <c r="C52" s="273">
        <f ca="1">C31+C51</f>
        <v>3870</v>
      </c>
      <c r="D52" s="272"/>
      <c r="E52" s="272"/>
      <c r="F52" s="272"/>
      <c r="G52" s="274"/>
    </row>
    <row r="55" spans="1:7" ht="15">
      <c r="B55" s="276" t="s">
        <v>2189</v>
      </c>
      <c r="C55" s="277"/>
    </row>
    <row r="56" spans="1:7">
      <c r="B56" s="279" t="s">
        <v>1418</v>
      </c>
      <c r="C56" s="281">
        <f ca="1">1-C57</f>
        <v>0</v>
      </c>
    </row>
    <row r="57" spans="1:7">
      <c r="B57" s="279" t="s">
        <v>1419</v>
      </c>
      <c r="C57" s="280">
        <f ca="1">ROUND(C51/C52,3)</f>
        <v>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4"/>
      <c r="C1" s="2014" t="s">
        <v>2190</v>
      </c>
      <c r="D1" s="204"/>
      <c r="E1" s="204"/>
      <c r="F1" s="204"/>
      <c r="G1" s="1260">
        <f>MATCH(B1,'数据-取费表'!A6:A16,0)+5</f>
        <v>8</v>
      </c>
      <c r="H1" s="1192" t="str">
        <f>IF(ISERROR(FIND("住宅",B1)),"非住宅","住宅")</f>
        <v>非住宅</v>
      </c>
    </row>
    <row r="2" spans="1:8" s="206" customFormat="1" ht="18" customHeight="1">
      <c r="A2" s="207" t="s">
        <v>2089</v>
      </c>
      <c r="B2" s="208">
        <f ca="1">ROUND(IF(D2="——",C52/10000,C52/10000-E2),0)</f>
        <v>17967</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4504</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678167</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678167</v>
      </c>
      <c r="D8" s="228"/>
      <c r="E8" s="226"/>
      <c r="F8" s="227"/>
      <c r="G8" s="2011"/>
    </row>
    <row r="9" spans="1:8" s="220" customFormat="1" ht="13.5" customHeight="1">
      <c r="A9" s="887" t="s">
        <v>800</v>
      </c>
      <c r="B9" s="230" t="s">
        <v>2105</v>
      </c>
      <c r="C9" s="231">
        <f ca="1">ROUND(D9*E9,0)</f>
        <v>0</v>
      </c>
      <c r="D9" s="954">
        <f ca="1">IF(B1="",'数据-汇总表'!E5,IF(INDIRECT("'数据-取费表'!c"&amp;$G$1)="住宅",INDIRECT("'数据-取费表'!k"&amp;$G$1),0))</f>
        <v>0</v>
      </c>
      <c r="E9" s="231">
        <f>'数据-取费表'!B27</f>
        <v>17</v>
      </c>
      <c r="F9" s="227"/>
      <c r="G9" s="232"/>
    </row>
    <row r="10" spans="1:8" s="220" customFormat="1" ht="13.5" customHeight="1">
      <c r="A10" s="887" t="s">
        <v>801</v>
      </c>
      <c r="B10" s="230" t="s">
        <v>2107</v>
      </c>
      <c r="C10" s="231">
        <f ca="1">ROUND(D10*E10,0)</f>
        <v>678167</v>
      </c>
      <c r="D10" s="954">
        <f ca="1">IF(B1="",'数据-汇总表'!E6,IF(INDIRECT("'数据-取费表'!c"&amp;$G$1)="住宅",INDIRECT("'数据-取费表'!s"&amp;$G$1),INDIRECT("'数据-取费表'!k"&amp;$G$1)+INDIRECT("'数据-取费表'!s"&amp;$G$1)))</f>
        <v>39892.17</v>
      </c>
      <c r="E10" s="231">
        <f>'数据-取费表'!B28</f>
        <v>17</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7978434</v>
      </c>
      <c r="D19" s="958">
        <f ca="1">D9+D10</f>
        <v>39892.17</v>
      </c>
      <c r="E19" s="217">
        <f>'数据-取费表'!B31</f>
        <v>200</v>
      </c>
      <c r="F19" s="237"/>
      <c r="G19" s="2011"/>
    </row>
    <row r="20" spans="1:7" s="220" customFormat="1" ht="13.5" customHeight="1">
      <c r="A20" s="261" t="s">
        <v>2201</v>
      </c>
      <c r="B20" s="216" t="s">
        <v>2202</v>
      </c>
      <c r="C20" s="238">
        <f ca="1">ROUND((C5+C19)*F20,0)</f>
        <v>259698</v>
      </c>
      <c r="D20" s="238"/>
      <c r="E20" s="238"/>
      <c r="F20" s="239">
        <f>'数据-取费表'!B37</f>
        <v>0.03</v>
      </c>
      <c r="G20" s="240" t="s">
        <v>2203</v>
      </c>
    </row>
    <row r="21" spans="1:7" s="220" customFormat="1" ht="13.5" customHeight="1">
      <c r="A21" s="261" t="s">
        <v>2204</v>
      </c>
      <c r="B21" s="216" t="s">
        <v>2205</v>
      </c>
      <c r="C21" s="241">
        <f>F21</f>
        <v>0.03</v>
      </c>
      <c r="D21" s="242" t="s">
        <v>2206</v>
      </c>
      <c r="E21" s="238"/>
      <c r="F21" s="239">
        <f>'数据-取费表'!B38</f>
        <v>0.03</v>
      </c>
      <c r="G21" s="240" t="s">
        <v>2207</v>
      </c>
    </row>
    <row r="22" spans="1:7" s="220" customFormat="1" ht="13.5" customHeight="1">
      <c r="A22" s="261" t="s">
        <v>2208</v>
      </c>
      <c r="B22" s="216" t="s">
        <v>2209</v>
      </c>
      <c r="C22" s="1261">
        <f ca="1">ROUND(SUM(C23:C25),0)</f>
        <v>951479</v>
      </c>
      <c r="D22" s="241">
        <f ca="1">C26</f>
        <v>1.6000000000000001E-3</v>
      </c>
      <c r="E22" s="242" t="s">
        <v>2206</v>
      </c>
      <c r="F22" s="243">
        <f ca="1">'数据-取费表'!B40</f>
        <v>4.2000000000000003E-2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73466</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864308</v>
      </c>
      <c r="D24" s="244"/>
      <c r="E24" s="244"/>
      <c r="F24" s="245"/>
      <c r="G24" s="246" t="s">
        <v>2213</v>
      </c>
    </row>
    <row r="25" spans="1:7" s="220" customFormat="1" ht="24">
      <c r="A25" s="888" t="s">
        <v>2103</v>
      </c>
      <c r="B25" s="221" t="s">
        <v>2214</v>
      </c>
      <c r="C25" s="1262">
        <f ca="1">ROUND(IF('数据-取费表'!B22&lt;=1,C20*F22*'数据-取费表'!B22/2,C20*(POWER((1+F22),'数据-取费表'!B22/2)-1)),0)</f>
        <v>13705</v>
      </c>
      <c r="D25" s="244"/>
      <c r="E25" s="247"/>
      <c r="F25" s="245"/>
      <c r="G25" s="248" t="s">
        <v>2215</v>
      </c>
    </row>
    <row r="26" spans="1:7" s="220" customFormat="1">
      <c r="A26" s="888" t="s">
        <v>795</v>
      </c>
      <c r="B26" s="221" t="s">
        <v>2138</v>
      </c>
      <c r="C26" s="244">
        <f ca="1">ROUND(IF('数据-取费表'!B22&lt;=1,F21*F22*'数据-取费表'!B22/2,F21*(POWER((1+F22),'数据-取费表'!B22/2)-1)),4)</f>
        <v>1.6000000000000001E-3</v>
      </c>
      <c r="D26" s="244"/>
      <c r="E26" s="247"/>
      <c r="F26" s="245"/>
      <c r="G26" s="249"/>
    </row>
    <row r="27" spans="1:7" s="220" customFormat="1" ht="24.75">
      <c r="A27" s="261" t="s">
        <v>2139</v>
      </c>
      <c r="B27" s="250" t="s">
        <v>2140</v>
      </c>
      <c r="C27" s="251">
        <f ca="1">C28</f>
        <v>445815</v>
      </c>
      <c r="D27" s="241">
        <f ca="1">C29</f>
        <v>1.5E-3</v>
      </c>
      <c r="E27" s="242" t="s">
        <v>2141</v>
      </c>
      <c r="F27" s="252">
        <f ca="1">IF(B1="",'数据-取费表'!Q16,INDIRECT("'数据-取费表'!q"&amp;$G$1))</f>
        <v>0.05</v>
      </c>
      <c r="G27" s="253" t="s">
        <v>2142</v>
      </c>
    </row>
    <row r="28" spans="1:7" s="220" customFormat="1" ht="13.5" customHeight="1">
      <c r="A28" s="888" t="s">
        <v>791</v>
      </c>
      <c r="B28" s="254" t="s">
        <v>2143</v>
      </c>
      <c r="C28" s="255">
        <f ca="1">ROUND((C5+C19+C20)*F27,0)</f>
        <v>445815</v>
      </c>
      <c r="D28" s="241"/>
      <c r="E28" s="242"/>
      <c r="F28" s="252"/>
      <c r="G28" s="253"/>
    </row>
    <row r="29" spans="1:7" s="220" customFormat="1" ht="13.5" customHeight="1">
      <c r="A29" s="888" t="s">
        <v>792</v>
      </c>
      <c r="B29" s="254" t="s">
        <v>2144</v>
      </c>
      <c r="C29" s="244">
        <f ca="1">ROUND(C21*F27,4)</f>
        <v>1.5E-3</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11288959</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135433918</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119676510</v>
      </c>
      <c r="D34" s="223"/>
      <c r="E34" s="226"/>
      <c r="F34" s="263"/>
      <c r="G34" s="225"/>
    </row>
    <row r="35" spans="1:7" ht="13.5" customHeight="1">
      <c r="A35" s="888" t="s">
        <v>796</v>
      </c>
      <c r="B35" s="221" t="s">
        <v>2154</v>
      </c>
      <c r="C35" s="226">
        <f ca="1">ROUND(C34*F35,0)</f>
        <v>5983826</v>
      </c>
      <c r="D35" s="226"/>
      <c r="E35" s="226"/>
      <c r="F35" s="265">
        <f>'数据-取费表'!B33</f>
        <v>0.05</v>
      </c>
      <c r="G35" s="225" t="s">
        <v>2155</v>
      </c>
    </row>
    <row r="36" spans="1:7" ht="24">
      <c r="A36" s="888" t="s">
        <v>797</v>
      </c>
      <c r="B36" s="221" t="s">
        <v>2156</v>
      </c>
      <c r="C36" s="226">
        <f ca="1">ROUND(IF(B1="",SUM('数据-取费表'!AP6:AP13)*F36,IF(INDIRECT("'数据-取费表'!c"&amp;$G$1)="住宅",INDIRECT("'数据-取费表'!k"&amp;$G$1)*INDIRECT("'数据-取费表'!l"&amp;$G$1)*F36,0)),0)</f>
        <v>0</v>
      </c>
      <c r="D36" s="226"/>
      <c r="E36" s="226"/>
      <c r="F36" s="265">
        <f>'数据-取费表'!B34</f>
        <v>0</v>
      </c>
      <c r="G36" s="266" t="s">
        <v>2157</v>
      </c>
    </row>
    <row r="37" spans="1:7" s="264" customFormat="1" ht="13.5" customHeight="1">
      <c r="A37" s="888" t="s">
        <v>798</v>
      </c>
      <c r="B37" s="221" t="s">
        <v>2158</v>
      </c>
      <c r="C37" s="255">
        <f ca="1">ROUND(E37*D37,0)</f>
        <v>7978434</v>
      </c>
      <c r="D37" s="223">
        <f ca="1">D19</f>
        <v>39892.17</v>
      </c>
      <c r="E37" s="255">
        <f>'数据-取费表'!B35</f>
        <v>200</v>
      </c>
      <c r="F37" s="265"/>
      <c r="G37" s="267"/>
    </row>
    <row r="38" spans="1:7" ht="13.5" customHeight="1">
      <c r="A38" s="888" t="s">
        <v>799</v>
      </c>
      <c r="B38" s="221" t="s">
        <v>2160</v>
      </c>
      <c r="C38" s="226">
        <f ca="1">ROUND(C34*F38,0)</f>
        <v>1795148</v>
      </c>
      <c r="D38" s="226"/>
      <c r="E38" s="226"/>
      <c r="F38" s="265">
        <f>'数据-取费表'!B36</f>
        <v>1.4999999999999999E-2</v>
      </c>
      <c r="G38" s="225" t="s">
        <v>2155</v>
      </c>
    </row>
    <row r="39" spans="1:7" s="220" customFormat="1" ht="13.5" customHeight="1">
      <c r="A39" s="261" t="s">
        <v>2161</v>
      </c>
      <c r="B39" s="216" t="s">
        <v>2162</v>
      </c>
      <c r="C39" s="238">
        <f ca="1">ROUND(C33*F20,0)</f>
        <v>4063018</v>
      </c>
      <c r="D39" s="238"/>
      <c r="E39" s="238"/>
      <c r="F39" s="2504">
        <f>F20</f>
        <v>0.03</v>
      </c>
      <c r="G39" s="240" t="s">
        <v>2163</v>
      </c>
    </row>
    <row r="40" spans="1:7" s="220" customFormat="1" ht="13.5" customHeight="1">
      <c r="A40" s="261" t="s">
        <v>2164</v>
      </c>
      <c r="B40" s="216" t="s">
        <v>2165</v>
      </c>
      <c r="C40" s="1467">
        <f>F21</f>
        <v>0.03</v>
      </c>
      <c r="D40" s="242" t="s">
        <v>2166</v>
      </c>
      <c r="E40" s="238"/>
      <c r="F40" s="2504">
        <f>F21</f>
        <v>0.03</v>
      </c>
      <c r="G40" s="240" t="s">
        <v>2167</v>
      </c>
    </row>
    <row r="41" spans="1:7" s="220" customFormat="1" ht="13.5" customHeight="1">
      <c r="A41" s="261" t="s">
        <v>2168</v>
      </c>
      <c r="B41" s="216" t="s">
        <v>2169</v>
      </c>
      <c r="C41" s="238">
        <f ca="1">ROUND(SUM(C42:C43),0)</f>
        <v>7361642</v>
      </c>
      <c r="D41" s="241">
        <f ca="1">C44</f>
        <v>1.6000000000000001E-3</v>
      </c>
      <c r="E41" s="242" t="s">
        <v>2166</v>
      </c>
      <c r="F41" s="2505">
        <f ca="1">F22</f>
        <v>4.2000000000000003E-2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7147225</v>
      </c>
      <c r="D42" s="244"/>
      <c r="E42" s="244"/>
      <c r="F42" s="245"/>
      <c r="G42" s="3496" t="s">
        <v>2218</v>
      </c>
    </row>
    <row r="43" spans="1:7" ht="13.5" customHeight="1">
      <c r="A43" s="888" t="s">
        <v>792</v>
      </c>
      <c r="B43" s="221" t="s">
        <v>2172</v>
      </c>
      <c r="C43" s="244">
        <f ca="1">ROUND(IF('数据-取费表'!B22&lt;=1,C39*F22*'数据-取费表'!B20/2,C39*(POWER((1+F22),'数据-取费表'!B20/2)-1)),0)</f>
        <v>214417</v>
      </c>
      <c r="D43" s="244"/>
      <c r="E43" s="244"/>
      <c r="F43" s="245"/>
      <c r="G43" s="3497"/>
    </row>
    <row r="44" spans="1:7" ht="13.5" customHeight="1">
      <c r="A44" s="888" t="s">
        <v>793</v>
      </c>
      <c r="B44" s="221" t="s">
        <v>2173</v>
      </c>
      <c r="C44" s="244">
        <f ca="1">ROUND(IF('数据-取费表'!B22&lt;=1,C40*F22*'数据-取费表'!B20/2,C40*(POWER((1+F22),'数据-取费表'!B20/2)-1)),4)</f>
        <v>1.6000000000000001E-3</v>
      </c>
      <c r="D44" s="244"/>
      <c r="E44" s="244"/>
      <c r="F44" s="245"/>
      <c r="G44" s="3498"/>
    </row>
    <row r="45" spans="1:7" s="220" customFormat="1" ht="13.5" customHeight="1">
      <c r="A45" s="261" t="s">
        <v>2174</v>
      </c>
      <c r="B45" s="250" t="s">
        <v>2140</v>
      </c>
      <c r="C45" s="251">
        <f ca="1">C46</f>
        <v>6974847</v>
      </c>
      <c r="D45" s="241">
        <f ca="1">C47</f>
        <v>1.5E-3</v>
      </c>
      <c r="E45" s="242" t="s">
        <v>2166</v>
      </c>
      <c r="F45" s="2506">
        <f ca="1">F27</f>
        <v>0.05</v>
      </c>
      <c r="G45" s="253" t="s">
        <v>2175</v>
      </c>
    </row>
    <row r="46" spans="1:7" s="220" customFormat="1" ht="13.5" customHeight="1">
      <c r="A46" s="888" t="s">
        <v>791</v>
      </c>
      <c r="B46" s="254" t="s">
        <v>2176</v>
      </c>
      <c r="C46" s="255">
        <f ca="1">ROUND((C33+C39)*F27,0)</f>
        <v>6974847</v>
      </c>
      <c r="D46" s="269"/>
      <c r="E46" s="242"/>
      <c r="F46" s="252"/>
      <c r="G46" s="253"/>
    </row>
    <row r="47" spans="1:7" s="220" customFormat="1" ht="13.5" customHeight="1">
      <c r="A47" s="888" t="s">
        <v>792</v>
      </c>
      <c r="B47" s="254" t="s">
        <v>2177</v>
      </c>
      <c r="C47" s="244">
        <f ca="1">ROUND(C40*F27,4)</f>
        <v>1.5E-3</v>
      </c>
      <c r="D47" s="269"/>
      <c r="E47" s="242"/>
      <c r="F47" s="252"/>
      <c r="G47" s="253"/>
    </row>
    <row r="48" spans="1:7" s="220" customFormat="1" ht="13.5" customHeight="1">
      <c r="A48" s="261" t="s">
        <v>2139</v>
      </c>
      <c r="B48" s="216" t="s">
        <v>2178</v>
      </c>
      <c r="C48" s="268">
        <f>ROUND(F30/(1+'数据-取费表'!C42),4)</f>
        <v>5.33E-2</v>
      </c>
      <c r="D48" s="242" t="s">
        <v>2166</v>
      </c>
      <c r="E48" s="238"/>
      <c r="F48" s="2505">
        <f>F30</f>
        <v>5.6000000000000001E-2</v>
      </c>
      <c r="G48" s="240" t="s">
        <v>2179</v>
      </c>
    </row>
    <row r="49" spans="1:7" ht="16.5" customHeight="1">
      <c r="A49" s="261" t="s">
        <v>2145</v>
      </c>
      <c r="B49" s="216" t="s">
        <v>2219</v>
      </c>
      <c r="C49" s="238">
        <f ca="1">ROUND((C33+C39+C41+C45)/(1-C40-D41-D45-C48),0)</f>
        <v>168381595</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168381595</v>
      </c>
      <c r="D51" s="238"/>
      <c r="E51" s="238"/>
      <c r="F51" s="270"/>
      <c r="G51" s="240" t="s">
        <v>2187</v>
      </c>
    </row>
    <row r="52" spans="1:7" s="214" customFormat="1" ht="16.5" thickBot="1">
      <c r="A52" s="271" t="s">
        <v>2188</v>
      </c>
      <c r="B52" s="272"/>
      <c r="C52" s="273">
        <f ca="1">C31+C51</f>
        <v>179670554</v>
      </c>
      <c r="D52" s="272"/>
      <c r="E52" s="272"/>
      <c r="F52" s="272"/>
      <c r="G52" s="274"/>
    </row>
    <row r="55" spans="1:7" ht="15">
      <c r="B55" s="276" t="s">
        <v>2189</v>
      </c>
      <c r="C55" s="277"/>
    </row>
    <row r="56" spans="1:7">
      <c r="B56" s="279" t="s">
        <v>1418</v>
      </c>
      <c r="C56" s="281">
        <f ca="1">1-C57</f>
        <v>6.2999999999999945E-2</v>
      </c>
    </row>
    <row r="57" spans="1:7">
      <c r="B57" s="279" t="s">
        <v>1419</v>
      </c>
      <c r="C57" s="280">
        <f ca="1">ROUND(C51/C52,3)</f>
        <v>0.93700000000000006</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43" sqref="G43"/>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5"/>
      <c r="C1" s="1326"/>
      <c r="D1" s="1324"/>
      <c r="E1" s="3001"/>
      <c r="F1" s="3001"/>
      <c r="G1" s="2865"/>
      <c r="H1" s="3001"/>
      <c r="I1" s="3001"/>
      <c r="J1" s="3001"/>
      <c r="K1" s="3002">
        <f>MATCH(C1,'数据-取费表'!A6:A16,0)+5</f>
        <v>8</v>
      </c>
    </row>
    <row r="2" spans="1:33" ht="18" customHeight="1">
      <c r="A2" s="207" t="s">
        <v>2089</v>
      </c>
      <c r="B2" s="210">
        <f ca="1">C32</f>
        <v>-10049</v>
      </c>
      <c r="C2" s="282" t="s">
        <v>2222</v>
      </c>
      <c r="D2" s="282"/>
      <c r="E2" s="3001"/>
      <c r="F2" s="3001"/>
      <c r="G2" s="3001"/>
      <c r="H2" s="3001"/>
      <c r="I2" s="3001"/>
      <c r="J2" s="3001"/>
      <c r="K2" s="3001"/>
    </row>
    <row r="3" spans="1:33" ht="18" customHeight="1" thickBot="1">
      <c r="A3" s="209" t="s">
        <v>2091</v>
      </c>
      <c r="B3" s="210">
        <f ca="1">ROUND(B2*10000/IF(C1="",'数据-汇总表'!E3,INDIRECT("'数据-取费表'!K"&amp;$K$1)),0)</f>
        <v>-2519</v>
      </c>
      <c r="C3" s="282" t="s">
        <v>2223</v>
      </c>
      <c r="D3" s="282"/>
      <c r="E3" s="3001"/>
      <c r="F3" s="3001"/>
      <c r="G3" s="3001"/>
      <c r="H3" s="3001"/>
      <c r="I3" s="3001"/>
      <c r="J3" s="3001"/>
      <c r="K3" s="3001"/>
    </row>
    <row r="4" spans="1:33" s="893" customFormat="1" ht="16.5" customHeight="1">
      <c r="A4" s="890" t="s">
        <v>2224</v>
      </c>
      <c r="B4" s="891"/>
      <c r="C4" s="933">
        <f>SUM(C8:K8)</f>
        <v>0</v>
      </c>
      <c r="D4" s="891"/>
      <c r="E4" s="891"/>
      <c r="F4" s="891"/>
      <c r="G4" s="891"/>
      <c r="H4" s="891"/>
      <c r="I4" s="891"/>
      <c r="J4" s="891"/>
      <c r="K4" s="892"/>
    </row>
    <row r="5" spans="1:33" s="897" customFormat="1" ht="24.75">
      <c r="A5" s="894" t="s">
        <v>2225</v>
      </c>
      <c r="B5" s="895" t="s">
        <v>2226</v>
      </c>
      <c r="C5" s="2015" t="s">
        <v>2227</v>
      </c>
      <c r="D5" s="2015" t="s">
        <v>2228</v>
      </c>
      <c r="E5" s="2015" t="s">
        <v>2229</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2230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2231</v>
      </c>
      <c r="B7" s="136" t="s">
        <v>2232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2233</v>
      </c>
      <c r="B8" s="169" t="s">
        <v>2234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2235</v>
      </c>
      <c r="B9" s="891"/>
      <c r="C9" s="891"/>
      <c r="D9" s="891"/>
      <c r="E9" s="891"/>
      <c r="F9" s="891"/>
      <c r="G9" s="891"/>
      <c r="H9" s="891"/>
      <c r="I9" s="891"/>
      <c r="J9" s="891"/>
      <c r="K9" s="892"/>
    </row>
    <row r="10" spans="1:33" s="907" customFormat="1" ht="13.5" customHeight="1">
      <c r="A10" s="894" t="s">
        <v>2236</v>
      </c>
      <c r="B10" s="8" t="s">
        <v>2237</v>
      </c>
      <c r="C10" s="903" t="s">
        <v>2238</v>
      </c>
      <c r="D10" s="904" t="s">
        <v>2239</v>
      </c>
      <c r="E10" s="904" t="s">
        <v>2240</v>
      </c>
      <c r="F10" s="904" t="s">
        <v>2241</v>
      </c>
      <c r="G10" s="8"/>
      <c r="H10" s="905"/>
      <c r="I10" s="905"/>
      <c r="J10" s="905"/>
      <c r="K10" s="906"/>
    </row>
    <row r="11" spans="1:33" s="912" customFormat="1" ht="13.5" customHeight="1">
      <c r="A11" s="908" t="s">
        <v>1241</v>
      </c>
      <c r="B11" s="909" t="s">
        <v>2242</v>
      </c>
      <c r="C11" s="285">
        <f ca="1">IF(C1="",'数据-取费表'!P16,INDIRECT("'数据-取费表'!p"&amp;$K$1)+INDIRECT("'数据-取费表'!ar"&amp;$K$1))</f>
        <v>9111</v>
      </c>
      <c r="D11" s="910"/>
      <c r="E11" s="335"/>
      <c r="F11" s="911">
        <f ca="1">1-IF('数据-取费表'!B24=0,1,IF(C1="",'数据-取费表'!N16,INDIRECT("'数据-取费表'!n"&amp;$K$1)))</f>
        <v>0.76100000000000001</v>
      </c>
      <c r="G11" s="8"/>
      <c r="H11" s="905"/>
      <c r="I11" s="905"/>
      <c r="J11" s="905"/>
      <c r="K11" s="906"/>
    </row>
    <row r="12" spans="1:33" s="912" customFormat="1" ht="13.5" customHeight="1">
      <c r="A12" s="908" t="s">
        <v>1242</v>
      </c>
      <c r="B12" s="909" t="s">
        <v>2243</v>
      </c>
      <c r="C12" s="24">
        <f ca="1">ROUND(C11*F12,0)</f>
        <v>456</v>
      </c>
      <c r="D12" s="910"/>
      <c r="E12" s="335"/>
      <c r="F12" s="913">
        <f>'数据-取费表'!B33</f>
        <v>0.05</v>
      </c>
      <c r="G12" s="8" t="s">
        <v>2244</v>
      </c>
      <c r="H12" s="905"/>
      <c r="I12" s="905"/>
      <c r="J12" s="905"/>
      <c r="K12" s="906"/>
    </row>
    <row r="13" spans="1:33" s="912" customFormat="1" ht="13.5" customHeight="1">
      <c r="A13" s="908" t="s">
        <v>1243</v>
      </c>
      <c r="B13" s="909" t="s">
        <v>2245</v>
      </c>
      <c r="C13" s="24">
        <f ca="1">ROUND(IF(C1="",SUMIF('数据-取费表'!C:C,"住宅",'数据-取费表'!P:P)*F13,IF(INDIRECT("'数据-取费表'!c"&amp;$K$1)="住宅",INDIRECT("'数据-取费表'!P"&amp;$K$1)*F13,0)),0)</f>
        <v>0</v>
      </c>
      <c r="D13" s="955"/>
      <c r="E13" s="335"/>
      <c r="F13" s="913">
        <f>'数据-取费表'!B34</f>
        <v>0</v>
      </c>
      <c r="G13" s="8" t="s">
        <v>2246</v>
      </c>
      <c r="H13" s="905"/>
      <c r="I13" s="905"/>
      <c r="J13" s="905"/>
      <c r="K13" s="906"/>
    </row>
    <row r="14" spans="1:33" s="914" customFormat="1" ht="13.5" customHeight="1">
      <c r="A14" s="908" t="s">
        <v>1244</v>
      </c>
      <c r="B14" s="909" t="s">
        <v>2247</v>
      </c>
      <c r="C14" s="24">
        <f ca="1">ROUND(D14*E14*F11/10000,0)</f>
        <v>607</v>
      </c>
      <c r="D14" s="955">
        <f ca="1">IF(C1="",'数据-汇总表'!E3,INDIRECT("'数据-取费表'!K"&amp;$K$1)+INDIRECT("'数据-取费表'!S"&amp;$K$1))</f>
        <v>39892.17</v>
      </c>
      <c r="E14" s="24">
        <f>'数据-取费表'!B35</f>
        <v>200</v>
      </c>
      <c r="F14" s="913"/>
      <c r="G14" s="8" t="s">
        <v>2248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2249</v>
      </c>
      <c r="C15" s="920">
        <f ca="1">ROUND(C11*F15,0)</f>
        <v>137</v>
      </c>
      <c r="D15" s="915"/>
      <c r="E15" s="920"/>
      <c r="F15" s="921">
        <f>'数据-取费表'!B36</f>
        <v>1.4999999999999999E-2</v>
      </c>
      <c r="G15" s="136" t="s">
        <v>2250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2251</v>
      </c>
      <c r="C16" s="920">
        <f ca="1">SUM(C11:C15)</f>
        <v>10311</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2252</v>
      </c>
      <c r="C17" s="24">
        <f ca="1">ROUND(D17*E17/10000,0)</f>
        <v>0</v>
      </c>
      <c r="D17" s="955">
        <f ca="1">D14</f>
        <v>39892.17</v>
      </c>
      <c r="E17" s="24">
        <f>'数据-取费表'!B32</f>
        <v>0</v>
      </c>
      <c r="F17" s="915"/>
      <c r="G17" s="136" t="s">
        <v>2253</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2254</v>
      </c>
      <c r="C18" s="24">
        <f ca="1">C19+C20-IF(C1="",'数据-取费表'!B29,IF(G18="已全部缴纳",C19+C20,H18))</f>
        <v>0</v>
      </c>
      <c r="D18" s="955"/>
      <c r="E18" s="24"/>
      <c r="F18" s="913"/>
      <c r="G18" s="2017"/>
      <c r="H18" s="1321"/>
      <c r="I18" s="2018" t="s">
        <v>2255</v>
      </c>
      <c r="J18" s="916"/>
      <c r="K18" s="917"/>
    </row>
    <row r="19" spans="1:33" s="912" customFormat="1" ht="13.5" customHeight="1">
      <c r="A19" s="908" t="s">
        <v>805</v>
      </c>
      <c r="B19" s="909" t="s">
        <v>2256</v>
      </c>
      <c r="C19" s="24">
        <f ca="1">ROUND(D19*E19/10000,0)</f>
        <v>0</v>
      </c>
      <c r="D19" s="955">
        <f ca="1">IF(C1="",'数据-汇总表'!E5,IF(INDIRECT("'数据-取费表'!c"&amp;$K$1)="住宅",INDIRECT("'数据-取费表'!k"&amp;$K$1),0))</f>
        <v>0</v>
      </c>
      <c r="E19" s="24">
        <f>'数据-取费表'!B27</f>
        <v>17</v>
      </c>
      <c r="F19" s="913"/>
      <c r="G19" s="15"/>
      <c r="H19" s="1323"/>
      <c r="I19" s="918"/>
      <c r="J19" s="918"/>
      <c r="K19" s="919"/>
    </row>
    <row r="20" spans="1:33" s="912" customFormat="1" ht="13.5" customHeight="1">
      <c r="A20" s="908" t="s">
        <v>806</v>
      </c>
      <c r="B20" s="909" t="s">
        <v>2257</v>
      </c>
      <c r="C20" s="24">
        <f ca="1">ROUND(D20*E20/10000,0)</f>
        <v>68</v>
      </c>
      <c r="D20" s="955">
        <f ca="1">IF(C1="",'数据-汇总表'!E6,IF(INDIRECT("'数据-取费表'!c"&amp;$K$1)="住宅",INDIRECT("'数据-取费表'!s"&amp;$K$1),INDIRECT("'数据-取费表'!k"&amp;$K$1)+INDIRECT("'数据-取费表'!s"&amp;$K$1)))</f>
        <v>39892.17</v>
      </c>
      <c r="E20" s="24">
        <f>'数据-取费表'!B28</f>
        <v>17</v>
      </c>
      <c r="F20" s="913"/>
      <c r="G20" s="15"/>
      <c r="H20" s="918"/>
      <c r="I20" s="918"/>
      <c r="J20" s="918"/>
      <c r="K20" s="919"/>
    </row>
    <row r="21" spans="1:33" s="912" customFormat="1" ht="13.5" customHeight="1">
      <c r="A21" s="898" t="s">
        <v>802</v>
      </c>
      <c r="B21" s="922" t="s">
        <v>2258</v>
      </c>
      <c r="C21" s="923">
        <f ca="1">C16+C17+C18</f>
        <v>10311</v>
      </c>
      <c r="D21" s="924"/>
      <c r="E21" s="287"/>
      <c r="F21" s="287"/>
      <c r="G21" s="136" t="s">
        <v>2259</v>
      </c>
      <c r="H21" s="916"/>
      <c r="I21" s="916"/>
      <c r="J21" s="916"/>
      <c r="K21" s="917"/>
    </row>
    <row r="22" spans="1:33" s="912" customFormat="1" ht="13.5" customHeight="1">
      <c r="A22" s="898" t="s">
        <v>2231</v>
      </c>
      <c r="B22" s="922" t="s">
        <v>2260</v>
      </c>
      <c r="C22" s="923">
        <f ca="1">ROUND(C21*F22,0)</f>
        <v>309</v>
      </c>
      <c r="D22" s="287"/>
      <c r="E22" s="287"/>
      <c r="F22" s="925">
        <f>'数据-取费表'!B37</f>
        <v>0.03</v>
      </c>
      <c r="G22" s="8" t="s">
        <v>2261</v>
      </c>
      <c r="H22" s="905"/>
      <c r="I22" s="905"/>
      <c r="J22" s="905"/>
      <c r="K22" s="906"/>
    </row>
    <row r="23" spans="1:33" s="912" customFormat="1" ht="13.5" customHeight="1">
      <c r="A23" s="898" t="s">
        <v>2233</v>
      </c>
      <c r="B23" s="922" t="s">
        <v>2262</v>
      </c>
      <c r="C23" s="923">
        <f ca="1">ROUND(C4*F23*F11,0)</f>
        <v>0</v>
      </c>
      <c r="D23" s="287"/>
      <c r="E23" s="287"/>
      <c r="F23" s="925">
        <f>'数据-取费表'!B38</f>
        <v>0.03</v>
      </c>
      <c r="G23" s="8" t="s">
        <v>2263</v>
      </c>
      <c r="H23" s="905"/>
      <c r="I23" s="905"/>
      <c r="J23" s="905"/>
      <c r="K23" s="906"/>
    </row>
    <row r="24" spans="1:33" s="912" customFormat="1" ht="13.5" customHeight="1">
      <c r="A24" s="898" t="s">
        <v>2264</v>
      </c>
      <c r="B24" s="922" t="s">
        <v>2265</v>
      </c>
      <c r="C24" s="286">
        <f>ROUND(F24/(1+'数据-取费表'!C42),4)</f>
        <v>2.9000000000000001E-2</v>
      </c>
      <c r="D24" s="287" t="s">
        <v>15</v>
      </c>
      <c r="E24" s="287"/>
      <c r="F24" s="925">
        <f>IF(项目基本情况!B8="出让",0,'数据-取费表'!B48+'数据-取费表'!B49)</f>
        <v>3.0499999999999999E-2</v>
      </c>
      <c r="G24" s="8" t="s">
        <v>2266</v>
      </c>
      <c r="H24" s="927"/>
      <c r="I24" s="927"/>
      <c r="J24" s="927"/>
      <c r="K24" s="928"/>
    </row>
    <row r="25" spans="1:33" s="912" customFormat="1" ht="13.5" customHeight="1">
      <c r="A25" s="898" t="s">
        <v>2267</v>
      </c>
      <c r="B25" s="924" t="s">
        <v>2268</v>
      </c>
      <c r="C25" s="1238">
        <f ca="1">C27</f>
        <v>423</v>
      </c>
      <c r="D25" s="286">
        <f ca="1">C26</f>
        <v>8.3699999999999997E-2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2269</v>
      </c>
      <c r="C26" s="1239">
        <f ca="1">ROUND(IF('数据-取费表'!B22&lt;=1,(1+C24)*F25*'数据-取费表'!B24,(1+C24)*(POWER((1+F25),'数据-取费表'!B24)-1)),4)</f>
        <v>8.3699999999999997E-2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2270</v>
      </c>
      <c r="C27" s="1240">
        <f ca="1">ROUND(IF('数据-取费表'!B22&lt;=1,(C21+C22+C23)*F25*'数据-取费表'!B24/2,(C21+C22+C23)*(POWER((1+F25),'数据-取费表'!B24/2)-1)),0)</f>
        <v>423</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2271</v>
      </c>
      <c r="B28" s="2020" t="s">
        <v>2272</v>
      </c>
      <c r="C28" s="293">
        <f ca="1">C30</f>
        <v>531</v>
      </c>
      <c r="D28" s="286">
        <f ca="1">C29</f>
        <v>3.9100000000000003E-2</v>
      </c>
      <c r="E28" s="288" t="s">
        <v>15</v>
      </c>
      <c r="F28" s="294">
        <f ca="1">IF(C1="",'数据-取费表'!Q16,INDIRECT("'数据-取费表'!q"&amp;$K$1))</f>
        <v>0.05</v>
      </c>
      <c r="G28" s="926"/>
      <c r="H28" s="927"/>
      <c r="I28" s="927"/>
      <c r="J28" s="927"/>
      <c r="K28" s="928"/>
    </row>
    <row r="29" spans="1:33" s="297" customFormat="1" ht="13.5" customHeight="1">
      <c r="A29" s="908" t="s">
        <v>803</v>
      </c>
      <c r="B29" s="931" t="s">
        <v>2273</v>
      </c>
      <c r="C29" s="290">
        <f ca="1">ROUND((1+C24)*F28*'数据-取费表'!B24/'数据-取费表'!B20,4)</f>
        <v>3.9100000000000003E-2</v>
      </c>
      <c r="D29" s="290"/>
      <c r="E29" s="291"/>
      <c r="F29" s="296"/>
      <c r="G29" s="136" t="s">
        <v>2274</v>
      </c>
      <c r="H29" s="916"/>
      <c r="I29" s="916"/>
      <c r="J29" s="916"/>
      <c r="K29" s="917"/>
    </row>
    <row r="30" spans="1:33" s="297" customFormat="1" ht="13.5" customHeight="1">
      <c r="A30" s="908" t="s">
        <v>804</v>
      </c>
      <c r="B30" s="931" t="s">
        <v>2275</v>
      </c>
      <c r="C30" s="298">
        <f ca="1">ROUND((C21+C22+C23)*F28,0)</f>
        <v>531</v>
      </c>
      <c r="D30" s="290"/>
      <c r="E30" s="291"/>
      <c r="F30" s="296"/>
      <c r="G30" s="136"/>
      <c r="H30" s="916"/>
      <c r="I30" s="916"/>
      <c r="J30" s="916"/>
      <c r="K30" s="917"/>
    </row>
    <row r="31" spans="1:33" s="912" customFormat="1" ht="13.5" customHeight="1" thickBot="1">
      <c r="A31" s="2021" t="s">
        <v>2276</v>
      </c>
      <c r="B31" s="942" t="s">
        <v>2277</v>
      </c>
      <c r="C31" s="943">
        <f>ROUND(C4*F31/(1+'数据-取费表'!C42),0)</f>
        <v>0</v>
      </c>
      <c r="D31" s="944"/>
      <c r="E31" s="945"/>
      <c r="F31" s="946">
        <f>'数据-取费表'!B41</f>
        <v>5.6000000000000001E-2</v>
      </c>
      <c r="G31" s="947" t="s">
        <v>2278</v>
      </c>
      <c r="H31" s="948"/>
      <c r="I31" s="948"/>
      <c r="J31" s="948"/>
      <c r="K31" s="949"/>
    </row>
    <row r="32" spans="1:33" s="907" customFormat="1" ht="13.5" customHeight="1" thickBot="1">
      <c r="A32" s="937" t="s">
        <v>2279</v>
      </c>
      <c r="B32" s="938"/>
      <c r="C32" s="939">
        <f ca="1">ROUND((C4-C21-C22-C23-C25-C28-C31)/(1+C24+D25+D28),0)</f>
        <v>-10049</v>
      </c>
      <c r="D32" s="938"/>
      <c r="E32" s="938"/>
      <c r="F32" s="938"/>
      <c r="G32" s="940" t="s">
        <v>2280</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-1.9</v>
      </c>
      <c r="G1" s="1532">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0"/>
      <c r="H2" s="2889"/>
      <c r="I2" s="2889"/>
      <c r="J2" s="2889"/>
      <c r="K2" s="2890"/>
      <c r="L2" s="2889"/>
      <c r="M2" s="2889"/>
    </row>
    <row r="3" spans="1:37" ht="18" customHeight="1" thickBot="1">
      <c r="A3" s="1544" t="s">
        <v>1422</v>
      </c>
      <c r="B3" s="1545">
        <f ca="1">IF(ISERROR(B2*10000/F43),0,ROUND(B2*10000/F43,0))</f>
        <v>0</v>
      </c>
      <c r="C3" s="1541" t="s">
        <v>1423</v>
      </c>
      <c r="D3" s="1541"/>
      <c r="E3" s="1542"/>
      <c r="F3" s="1543"/>
      <c r="G3" s="2900"/>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501" t="s">
        <v>1308</v>
      </c>
      <c r="C6" s="1206">
        <f ca="1">ROUND(F6*F8*F7*(1-F9)/10000,0)</f>
        <v>0</v>
      </c>
      <c r="D6" s="160" t="s">
        <v>2792</v>
      </c>
      <c r="E6" s="308" t="s">
        <v>1310</v>
      </c>
      <c r="F6" s="309">
        <f ca="1">INDIRECT("'数据-取费表'!u"&amp;$G$1)</f>
        <v>0</v>
      </c>
      <c r="G6" s="1538"/>
      <c r="H6" s="1201" t="s">
        <v>1003</v>
      </c>
      <c r="I6" s="3501" t="s">
        <v>1308</v>
      </c>
      <c r="J6" s="307">
        <f ca="1">ROUND(M6*M8*M7*(1-M9)/10000,0)</f>
        <v>0</v>
      </c>
      <c r="K6" s="160" t="s">
        <v>2791</v>
      </c>
      <c r="L6" s="308" t="s">
        <v>1310</v>
      </c>
      <c r="M6" s="309">
        <f ca="1">INDIRECT("'数据-取费表'!z"&amp;$G$1)</f>
        <v>0</v>
      </c>
    </row>
    <row r="7" spans="1:37" ht="18" customHeight="1">
      <c r="A7" s="1205"/>
      <c r="B7" s="3502"/>
      <c r="C7" s="1207"/>
      <c r="D7" s="313"/>
      <c r="E7" s="1208" t="s">
        <v>1311</v>
      </c>
      <c r="F7" s="309">
        <f ca="1">IF(INDIRECT("'数据-取费表'!ah"&amp;$G$1)="",INDIRECT("'数据-取费表'!k"&amp;$G$1),INDIRECT("'数据-取费表'!ah"&amp;$G$1))</f>
        <v>0</v>
      </c>
      <c r="G7" s="1538"/>
      <c r="H7" s="310"/>
      <c r="I7" s="3502"/>
      <c r="J7" s="312"/>
      <c r="K7" s="313"/>
      <c r="L7" s="308" t="s">
        <v>1311</v>
      </c>
      <c r="M7" s="309">
        <f ca="1">F7</f>
        <v>0</v>
      </c>
    </row>
    <row r="8" spans="1:37" ht="18" customHeight="1">
      <c r="A8" s="310"/>
      <c r="B8" s="3502"/>
      <c r="C8" s="312"/>
      <c r="D8" s="313"/>
      <c r="E8" s="308" t="s">
        <v>1312</v>
      </c>
      <c r="F8" s="309">
        <f ca="1">INDIRECT("'数据-取费表'!ai"&amp;$G$1)</f>
        <v>0</v>
      </c>
      <c r="G8" s="1538"/>
      <c r="H8" s="310"/>
      <c r="I8" s="3502"/>
      <c r="J8" s="312"/>
      <c r="K8" s="313"/>
      <c r="L8" s="308" t="s">
        <v>1312</v>
      </c>
      <c r="M8" s="309">
        <f ca="1">INDIRECT("'数据-取费表'!ai"&amp;$G$1)</f>
        <v>0</v>
      </c>
    </row>
    <row r="9" spans="1:37" ht="18" customHeight="1">
      <c r="A9" s="310"/>
      <c r="B9" s="3503"/>
      <c r="C9" s="312"/>
      <c r="D9" s="313"/>
      <c r="E9" s="308" t="s">
        <v>1313</v>
      </c>
      <c r="F9" s="318">
        <f ca="1">INDIRECT("'数据-取费表'!w"&amp;$G$1)</f>
        <v>0</v>
      </c>
      <c r="G9" s="1538"/>
      <c r="H9" s="310"/>
      <c r="I9" s="35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2800</v>
      </c>
      <c r="E10" s="319" t="s">
        <v>1315</v>
      </c>
      <c r="F10" s="1248"/>
      <c r="G10" s="1538"/>
      <c r="H10" s="1201" t="s">
        <v>1007</v>
      </c>
      <c r="I10" s="1519" t="s">
        <v>1314</v>
      </c>
      <c r="J10" s="307">
        <f ca="1">ROUND(IF(M10="押一",J6/12*M11,IF(M10="押二",J6/12*2*M11,IF(M10="押三",J6/12*3*M11,J11*M11))),0)</f>
        <v>0</v>
      </c>
      <c r="K10" s="1520" t="s">
        <v>2799</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1.6000000000000001E-3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1"/>
      <c r="I30" s="1552"/>
      <c r="J30" s="1553"/>
      <c r="K30" s="2667"/>
      <c r="L30" s="2892"/>
      <c r="M30" s="2893"/>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3" t="s">
        <v>2999</v>
      </c>
      <c r="I31" s="1552"/>
      <c r="J31" s="1553"/>
      <c r="K31" s="2667"/>
      <c r="L31" s="2892"/>
      <c r="M31" s="2893"/>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1"/>
      <c r="I32" s="1552"/>
      <c r="J32" s="1553"/>
      <c r="K32" s="2667"/>
      <c r="L32" s="2892"/>
      <c r="M32" s="2893"/>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4"/>
      <c r="I33" s="1552"/>
      <c r="J33" s="1553"/>
      <c r="K33" s="2895"/>
      <c r="L33" s="2894"/>
      <c r="M33" s="2894"/>
    </row>
    <row r="34" spans="1:18" ht="18" customHeight="1">
      <c r="A34" s="1201" t="s">
        <v>1294</v>
      </c>
      <c r="B34" s="160" t="s">
        <v>1346</v>
      </c>
      <c r="C34" s="25">
        <f ca="1">IF(项目基本情况!B11="自然人","——",ROUND(F34*F35/10000,2))</f>
        <v>0</v>
      </c>
      <c r="D34" s="330" t="s">
        <v>1347</v>
      </c>
      <c r="E34" s="308" t="s">
        <v>1348</v>
      </c>
      <c r="F34" s="331">
        <f>'数据-取费表'!B52</f>
        <v>0</v>
      </c>
      <c r="G34" s="1538"/>
      <c r="H34" s="2891"/>
      <c r="I34" s="1552"/>
      <c r="J34" s="1553"/>
      <c r="K34" s="2896"/>
      <c r="L34" s="2897"/>
      <c r="M34" s="2897"/>
    </row>
    <row r="35" spans="1:18" ht="18" customHeight="1">
      <c r="A35" s="1235"/>
      <c r="B35" s="1233"/>
      <c r="C35" s="29"/>
      <c r="D35" s="333"/>
      <c r="E35" s="308" t="s">
        <v>1352</v>
      </c>
      <c r="F35" s="309">
        <f ca="1">INDIRECT("'数据-取费表'!r"&amp;$G$1)</f>
        <v>0</v>
      </c>
      <c r="G35" s="1538"/>
      <c r="H35" s="2891"/>
      <c r="I35" s="1552"/>
      <c r="J35" s="1553"/>
      <c r="K35" s="2895"/>
      <c r="L35" s="2894"/>
      <c r="M35" s="2894"/>
    </row>
    <row r="36" spans="1:18" ht="18" customHeight="1">
      <c r="A36" s="1234" t="s">
        <v>1007</v>
      </c>
      <c r="B36" s="308" t="s">
        <v>1354</v>
      </c>
      <c r="C36" s="24">
        <f ca="1">ROUND(C29*F36,1)</f>
        <v>0</v>
      </c>
      <c r="D36" s="1498" t="s">
        <v>1387</v>
      </c>
      <c r="E36" s="308" t="s">
        <v>1327</v>
      </c>
      <c r="F36" s="334">
        <f ca="1">INDIRECT("'数据-取费表'!Ak"&amp;$G$1)</f>
        <v>0</v>
      </c>
      <c r="G36" s="1538"/>
      <c r="H36" s="2894"/>
      <c r="I36" s="1552"/>
      <c r="J36" s="1553"/>
      <c r="K36" s="2736"/>
      <c r="L36" s="2894"/>
      <c r="M36" s="2894"/>
    </row>
    <row r="37" spans="1:18" ht="18" customHeight="1">
      <c r="A37" s="1113" t="s">
        <v>1043</v>
      </c>
      <c r="B37" s="308" t="s">
        <v>1358</v>
      </c>
      <c r="C37" s="24">
        <f ca="1">ROUND(C13*F37,1)</f>
        <v>0</v>
      </c>
      <c r="D37" s="1498" t="s">
        <v>1359</v>
      </c>
      <c r="E37" s="308" t="s">
        <v>1360</v>
      </c>
      <c r="F37" s="336">
        <f ca="1">INDIRECT("'数据-取费表'!Al"&amp;$G$1)</f>
        <v>0</v>
      </c>
      <c r="G37" s="1538"/>
      <c r="H37" s="2894"/>
      <c r="I37" s="1552"/>
      <c r="J37" s="1553"/>
      <c r="K37" s="2736"/>
      <c r="L37" s="2894"/>
      <c r="M37" s="2894"/>
    </row>
    <row r="38" spans="1:18" ht="18" customHeight="1" thickBot="1">
      <c r="A38" s="1221" t="s">
        <v>1298</v>
      </c>
      <c r="B38" s="1222" t="s">
        <v>1344</v>
      </c>
      <c r="C38" s="1223">
        <f ca="1">ROUND(C5*F38,1)</f>
        <v>0</v>
      </c>
      <c r="D38" s="1224" t="s">
        <v>1364</v>
      </c>
      <c r="E38" s="1222" t="s">
        <v>1360</v>
      </c>
      <c r="F38" s="1218">
        <f ca="1">INDIRECT("'数据-取费表'!Am"&amp;$G$1)</f>
        <v>0</v>
      </c>
      <c r="G38" s="1538"/>
      <c r="H38" s="2894"/>
      <c r="I38" s="1552"/>
      <c r="J38" s="1553"/>
      <c r="K38" s="2898"/>
      <c r="L38" s="2894"/>
      <c r="M38" s="2894"/>
    </row>
    <row r="39" spans="1:18" ht="24.6" customHeight="1" thickTop="1">
      <c r="A39" s="1211" t="s">
        <v>999</v>
      </c>
      <c r="B39" s="1226" t="s">
        <v>1388</v>
      </c>
      <c r="C39" s="316">
        <f ca="1">C5-C30</f>
        <v>0</v>
      </c>
      <c r="D39" s="1227" t="s">
        <v>1389</v>
      </c>
      <c r="E39" s="1228"/>
      <c r="F39" s="1229"/>
      <c r="G39" s="1538"/>
      <c r="H39" s="2894"/>
      <c r="I39" s="1552"/>
      <c r="J39" s="1553"/>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8"/>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9"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2793</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-1.9</v>
      </c>
      <c r="R52" s="1574" t="s">
        <v>1451</v>
      </c>
    </row>
    <row r="53" spans="1:18" s="1538" customFormat="1" ht="24.75" thickBot="1">
      <c r="A53" s="1286" t="s">
        <v>1046</v>
      </c>
      <c r="B53" s="1527" t="s">
        <v>1314</v>
      </c>
      <c r="C53" s="322">
        <f ca="1">ROUND(IF(F53="押一",C49/12*F11,IF(F53="押二",C49/12*2*F11,IF(F53="押三",C49/12*3*F11,C54*F11))),0)</f>
        <v>0</v>
      </c>
      <c r="D53" s="1520" t="s">
        <v>2799</v>
      </c>
      <c r="E53" s="319" t="s">
        <v>1315</v>
      </c>
      <c r="F53" s="1248"/>
      <c r="I53" s="1593" t="s">
        <v>1452</v>
      </c>
      <c r="J53" s="2355">
        <f ca="1">IF(M47="住宅",IF(D1="——",MAX(J51,L48),MAX(J51,L48-'数据-取费表'!B24)),IF(D1="——",MIN(J51,L48),MIN(J51,L48-'数据-取费表'!B24)))</f>
        <v>-1.9</v>
      </c>
      <c r="K53" s="3499" t="s">
        <v>1453</v>
      </c>
      <c r="L53" s="3500"/>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1.9</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-1.9</v>
      </c>
      <c r="G1" s="1532">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0"/>
      <c r="H2" s="2889"/>
      <c r="I2" s="2889"/>
      <c r="J2" s="2889"/>
      <c r="K2" s="2890"/>
      <c r="L2" s="2889"/>
      <c r="M2" s="2889"/>
    </row>
    <row r="3" spans="1:37" ht="18" customHeight="1" thickBot="1">
      <c r="A3" s="1544" t="s">
        <v>1498</v>
      </c>
      <c r="B3" s="1545">
        <f ca="1">IF(ISERROR(D2/F43),0,ROUND(D2/F43,0))</f>
        <v>0</v>
      </c>
      <c r="C3" s="1541" t="s">
        <v>1499</v>
      </c>
      <c r="D3" s="1541"/>
      <c r="E3" s="1542"/>
      <c r="F3" s="1543"/>
      <c r="G3" s="2900"/>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501" t="s">
        <v>1308</v>
      </c>
      <c r="C6" s="1206">
        <f ca="1">ROUND(F6*F8*F7*(1-F9),0)</f>
        <v>0</v>
      </c>
      <c r="D6" s="160" t="s">
        <v>2789</v>
      </c>
      <c r="E6" s="308" t="s">
        <v>1310</v>
      </c>
      <c r="F6" s="309">
        <f ca="1">INDIRECT("'数据-取费表'!u"&amp;$G$1)</f>
        <v>0</v>
      </c>
      <c r="G6" s="1538"/>
      <c r="H6" s="1201" t="s">
        <v>1003</v>
      </c>
      <c r="I6" s="3501" t="s">
        <v>1308</v>
      </c>
      <c r="J6" s="307">
        <f ca="1">ROUND(M6*M8*M7*(1-M9),0)</f>
        <v>0</v>
      </c>
      <c r="K6" s="1530" t="s">
        <v>2790</v>
      </c>
      <c r="L6" s="308" t="s">
        <v>1310</v>
      </c>
      <c r="M6" s="309">
        <f ca="1">INDIRECT("'数据-取费表'!z"&amp;$G$1)</f>
        <v>0</v>
      </c>
    </row>
    <row r="7" spans="1:37" ht="18" customHeight="1">
      <c r="A7" s="1205"/>
      <c r="B7" s="3502"/>
      <c r="C7" s="1207"/>
      <c r="D7" s="313"/>
      <c r="E7" s="1208" t="s">
        <v>1311</v>
      </c>
      <c r="F7" s="309">
        <f ca="1">IF(INDIRECT("'数据-取费表'!ah"&amp;$G$1)="",INDIRECT("'数据-取费表'!k"&amp;$G$1),INDIRECT("'数据-取费表'!ah"&amp;$G$1))</f>
        <v>0</v>
      </c>
      <c r="G7" s="1538"/>
      <c r="H7" s="310"/>
      <c r="I7" s="3502"/>
      <c r="J7" s="312"/>
      <c r="K7" s="313"/>
      <c r="L7" s="308" t="s">
        <v>1311</v>
      </c>
      <c r="M7" s="309">
        <f ca="1">F7</f>
        <v>0</v>
      </c>
    </row>
    <row r="8" spans="1:37" ht="18" customHeight="1">
      <c r="A8" s="310"/>
      <c r="B8" s="3502"/>
      <c r="C8" s="312"/>
      <c r="D8" s="313"/>
      <c r="E8" s="308" t="s">
        <v>1312</v>
      </c>
      <c r="F8" s="309">
        <f ca="1">INDIRECT("'数据-取费表'!ai"&amp;$G$1)</f>
        <v>0</v>
      </c>
      <c r="G8" s="1538"/>
      <c r="H8" s="310"/>
      <c r="I8" s="3502"/>
      <c r="J8" s="312"/>
      <c r="K8" s="313"/>
      <c r="L8" s="308" t="s">
        <v>1312</v>
      </c>
      <c r="M8" s="309">
        <f ca="1">INDIRECT("'数据-取费表'!ai"&amp;$G$1)</f>
        <v>0</v>
      </c>
    </row>
    <row r="9" spans="1:37" ht="18" customHeight="1">
      <c r="A9" s="310"/>
      <c r="B9" s="3503"/>
      <c r="C9" s="312"/>
      <c r="D9" s="313"/>
      <c r="E9" s="308" t="s">
        <v>1313</v>
      </c>
      <c r="F9" s="318">
        <f ca="1">INDIRECT("'数据-取费表'!w"&amp;$G$1)</f>
        <v>0</v>
      </c>
      <c r="G9" s="1538"/>
      <c r="H9" s="310"/>
      <c r="I9" s="35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2799</v>
      </c>
      <c r="E10" s="319" t="s">
        <v>1315</v>
      </c>
      <c r="F10" s="1248"/>
      <c r="G10" s="1538"/>
      <c r="H10" s="1201" t="s">
        <v>1007</v>
      </c>
      <c r="I10" s="1519" t="s">
        <v>1314</v>
      </c>
      <c r="J10" s="307">
        <f ca="1">ROUND(IF(M10="押一",J6/12*M11,IF(M10="押二",J6/12*2*M11,IF(M10="押三",J6/12*3*M11,J11*M11))),0)</f>
        <v>0</v>
      </c>
      <c r="K10" s="1531" t="s">
        <v>2801</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1.6000000000000001E-3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1"/>
      <c r="I30" s="1552"/>
      <c r="J30" s="1553"/>
      <c r="K30" s="2667"/>
      <c r="L30" s="2892"/>
      <c r="M30" s="2893"/>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3" t="s">
        <v>2999</v>
      </c>
      <c r="I31" s="1552"/>
      <c r="J31" s="1553"/>
      <c r="K31" s="2667"/>
      <c r="L31" s="2892"/>
      <c r="M31" s="2893"/>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1"/>
      <c r="I32" s="1552"/>
      <c r="J32" s="1553"/>
      <c r="K32" s="2667"/>
      <c r="L32" s="2892"/>
      <c r="M32" s="2893"/>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4"/>
      <c r="I33" s="1552"/>
      <c r="J33" s="1553"/>
      <c r="K33" s="2895"/>
      <c r="L33" s="2894"/>
      <c r="M33" s="2894"/>
    </row>
    <row r="34" spans="1:18" ht="18" customHeight="1">
      <c r="A34" s="1201" t="s">
        <v>1294</v>
      </c>
      <c r="B34" s="160" t="s">
        <v>1346</v>
      </c>
      <c r="C34" s="25">
        <f ca="1">IF(项目基本情况!B11="自然人","——",ROUND(F34*F35,))</f>
        <v>0</v>
      </c>
      <c r="D34" s="330" t="s">
        <v>1347</v>
      </c>
      <c r="E34" s="308" t="s">
        <v>1348</v>
      </c>
      <c r="F34" s="331">
        <f>'数据-取费表'!B52</f>
        <v>0</v>
      </c>
      <c r="G34" s="1538"/>
      <c r="H34" s="2891"/>
      <c r="I34" s="1552"/>
      <c r="J34" s="1553"/>
      <c r="K34" s="2896"/>
      <c r="L34" s="2897"/>
      <c r="M34" s="2897"/>
    </row>
    <row r="35" spans="1:18" ht="18" customHeight="1">
      <c r="A35" s="1235"/>
      <c r="B35" s="1233"/>
      <c r="C35" s="29"/>
      <c r="D35" s="333"/>
      <c r="E35" s="308" t="s">
        <v>1352</v>
      </c>
      <c r="F35" s="309">
        <f ca="1">INDIRECT("'数据-取费表'!r"&amp;$G$1)</f>
        <v>0</v>
      </c>
      <c r="G35" s="1538"/>
      <c r="H35" s="2891"/>
      <c r="I35" s="1552"/>
      <c r="J35" s="1553"/>
      <c r="K35" s="2895"/>
      <c r="L35" s="2894"/>
      <c r="M35" s="2894"/>
    </row>
    <row r="36" spans="1:18" ht="18" customHeight="1">
      <c r="A36" s="1234" t="s">
        <v>1007</v>
      </c>
      <c r="B36" s="308" t="s">
        <v>1354</v>
      </c>
      <c r="C36" s="24">
        <f ca="1">ROUND(C29*F36,0)</f>
        <v>0</v>
      </c>
      <c r="D36" s="1498" t="s">
        <v>1387</v>
      </c>
      <c r="E36" s="308" t="s">
        <v>1327</v>
      </c>
      <c r="F36" s="334">
        <f ca="1">INDIRECT("'数据-取费表'!Ak"&amp;$G$1)</f>
        <v>0</v>
      </c>
      <c r="G36" s="1538"/>
      <c r="H36" s="2894"/>
      <c r="I36" s="1552"/>
      <c r="J36" s="1553"/>
      <c r="K36" s="2736"/>
      <c r="L36" s="2894"/>
      <c r="M36" s="2894"/>
    </row>
    <row r="37" spans="1:18" ht="18" customHeight="1">
      <c r="A37" s="1113" t="s">
        <v>1043</v>
      </c>
      <c r="B37" s="308" t="s">
        <v>1358</v>
      </c>
      <c r="C37" s="24">
        <f ca="1">ROUND(C13*F37,0)</f>
        <v>0</v>
      </c>
      <c r="D37" s="1498" t="s">
        <v>1359</v>
      </c>
      <c r="E37" s="308" t="s">
        <v>1360</v>
      </c>
      <c r="F37" s="336">
        <f ca="1">INDIRECT("'数据-取费表'!Al"&amp;$G$1)</f>
        <v>0</v>
      </c>
      <c r="G37" s="1538"/>
      <c r="H37" s="2894"/>
      <c r="I37" s="1552"/>
      <c r="J37" s="1553"/>
      <c r="K37" s="2736"/>
      <c r="L37" s="2894"/>
      <c r="M37" s="2894"/>
    </row>
    <row r="38" spans="1:18" ht="18" customHeight="1" thickBot="1">
      <c r="A38" s="1221" t="s">
        <v>1298</v>
      </c>
      <c r="B38" s="1222" t="s">
        <v>1344</v>
      </c>
      <c r="C38" s="1223">
        <f ca="1">ROUND(C5*F38,1)</f>
        <v>0</v>
      </c>
      <c r="D38" s="1224" t="s">
        <v>1364</v>
      </c>
      <c r="E38" s="1222" t="s">
        <v>1360</v>
      </c>
      <c r="F38" s="1218">
        <f ca="1">INDIRECT("'数据-取费表'!Am"&amp;$G$1)</f>
        <v>0</v>
      </c>
      <c r="G38" s="1538"/>
      <c r="H38" s="2894"/>
      <c r="I38" s="1552"/>
      <c r="J38" s="1553"/>
      <c r="K38" s="2898"/>
      <c r="L38" s="2894"/>
      <c r="M38" s="2894"/>
    </row>
    <row r="39" spans="1:18" ht="24.6" customHeight="1" thickTop="1">
      <c r="A39" s="1211" t="s">
        <v>999</v>
      </c>
      <c r="B39" s="1226" t="s">
        <v>1388</v>
      </c>
      <c r="C39" s="316">
        <f ca="1">C5-C30</f>
        <v>0</v>
      </c>
      <c r="D39" s="1227" t="s">
        <v>1389</v>
      </c>
      <c r="E39" s="1228"/>
      <c r="F39" s="1229"/>
      <c r="G39" s="1538"/>
      <c r="H39" s="2894"/>
      <c r="I39" s="1552"/>
      <c r="J39" s="1553"/>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8"/>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-1.9</v>
      </c>
      <c r="R52" s="1574" t="s">
        <v>1451</v>
      </c>
    </row>
    <row r="53" spans="1:18" s="1538" customFormat="1" ht="30.75" customHeight="1" thickBot="1">
      <c r="A53" s="1243" t="s">
        <v>1046</v>
      </c>
      <c r="B53" s="329" t="s">
        <v>1314</v>
      </c>
      <c r="C53" s="322">
        <f ca="1">ROUND(IF(F53="押一",C49/12*F11,IF(F53="押二",C49/12*2*F11,IF(F53="押三",C49/12*3*F11,C54*F11))),0)</f>
        <v>0</v>
      </c>
      <c r="D53" s="1520" t="s">
        <v>2802</v>
      </c>
      <c r="E53" s="319" t="s">
        <v>1315</v>
      </c>
      <c r="F53" s="1248"/>
      <c r="I53" s="1593" t="s">
        <v>1452</v>
      </c>
      <c r="J53" s="2355">
        <f ca="1">IF(M47="住宅",IF(D1="——",MAX(J51,L48),MAX(J51,L48-'数据-取费表'!B24)),IF(D1="——",MIN(J51,L48),MIN(J51,L48-'数据-取费表'!B24)))</f>
        <v>-1.9</v>
      </c>
      <c r="K53" s="3499" t="s">
        <v>1453</v>
      </c>
      <c r="L53" s="350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3127</v>
      </c>
      <c r="B1" s="3027"/>
      <c r="C1" s="3039"/>
      <c r="D1" s="3039"/>
      <c r="E1" s="3028"/>
      <c r="F1" s="3029"/>
      <c r="G1" s="3030"/>
      <c r="J1" s="3033" t="s">
        <v>3006</v>
      </c>
      <c r="K1" s="3034"/>
      <c r="L1" s="3034"/>
      <c r="M1" s="3034"/>
      <c r="N1" s="3034"/>
      <c r="O1" s="3034"/>
      <c r="P1" s="3034"/>
      <c r="Q1" s="3034"/>
      <c r="R1" s="3035"/>
      <c r="S1" s="3036"/>
      <c r="T1" s="3036"/>
      <c r="U1" s="3036"/>
    </row>
    <row r="2" spans="1:22" s="3048" customFormat="1" ht="13.15" customHeight="1">
      <c r="A2" s="1539" t="s">
        <v>3007</v>
      </c>
      <c r="B2" s="3038" t="e">
        <f>C40</f>
        <v>#DIV/0!</v>
      </c>
      <c r="C2" s="3039" t="s">
        <v>3008</v>
      </c>
      <c r="D2" s="3039"/>
      <c r="E2" s="3040"/>
      <c r="F2" s="3041"/>
      <c r="G2" s="3042"/>
      <c r="H2" s="3043"/>
      <c r="I2" s="3044"/>
      <c r="J2" s="3504" t="s">
        <v>3009</v>
      </c>
      <c r="K2" s="3505"/>
      <c r="L2" s="3045" t="s">
        <v>3010</v>
      </c>
      <c r="M2" s="3045" t="s">
        <v>3011</v>
      </c>
      <c r="N2" s="3045" t="s">
        <v>3012</v>
      </c>
      <c r="O2" s="3045" t="s">
        <v>3013</v>
      </c>
      <c r="P2" s="3045" t="s">
        <v>3014</v>
      </c>
      <c r="Q2" s="3046" t="s">
        <v>3015</v>
      </c>
      <c r="R2" s="3047" t="s">
        <v>3016</v>
      </c>
      <c r="S2" s="3036"/>
      <c r="T2" s="3036"/>
      <c r="U2" s="3036"/>
      <c r="V2" s="3044"/>
    </row>
    <row r="3" spans="1:22" s="3048" customFormat="1" ht="13.15" customHeight="1">
      <c r="A3" s="3049" t="s">
        <v>3017</v>
      </c>
      <c r="B3" s="3050" t="e">
        <f>ROUND(B2*10000/B4,0)</f>
        <v>#DIV/0!</v>
      </c>
      <c r="C3" s="3039" t="s">
        <v>3018</v>
      </c>
      <c r="D3" s="3039"/>
      <c r="E3" s="3040"/>
      <c r="F3" s="3041"/>
      <c r="G3" s="3042"/>
      <c r="H3" s="3043"/>
      <c r="I3" s="3044"/>
      <c r="J3" s="3506" t="s">
        <v>3019</v>
      </c>
      <c r="K3" s="3507"/>
      <c r="L3" s="3051"/>
      <c r="M3" s="3051"/>
      <c r="N3" s="3051"/>
      <c r="O3" s="3051"/>
      <c r="P3" s="3051"/>
      <c r="Q3" s="3052"/>
      <c r="R3" s="3053">
        <f>SUM(L3:Q3)</f>
        <v>0</v>
      </c>
      <c r="S3" s="3036"/>
      <c r="T3" s="3036"/>
      <c r="U3" s="3036"/>
      <c r="V3" s="3044"/>
    </row>
    <row r="4" spans="1:22" s="3048" customFormat="1" ht="13.15" customHeight="1">
      <c r="A4" s="3054" t="s">
        <v>3020</v>
      </c>
      <c r="B4" s="3055"/>
      <c r="C4" s="3039"/>
      <c r="D4" s="3039"/>
      <c r="E4" s="3040"/>
      <c r="F4" s="3041"/>
      <c r="G4" s="3042"/>
      <c r="H4" s="3043"/>
      <c r="I4" s="3044"/>
      <c r="J4" s="3506" t="s">
        <v>3021</v>
      </c>
      <c r="K4" s="3507"/>
      <c r="L4" s="3056"/>
      <c r="M4" s="3056"/>
      <c r="N4" s="3056"/>
      <c r="O4" s="3056"/>
      <c r="P4" s="3056"/>
      <c r="Q4" s="3057"/>
      <c r="R4" s="3058">
        <f>SUM(L4:Q4)</f>
        <v>0</v>
      </c>
      <c r="S4" s="3036"/>
      <c r="T4" s="3036"/>
      <c r="U4" s="3036"/>
      <c r="V4" s="3044"/>
    </row>
    <row r="5" spans="1:22" s="3048" customFormat="1" ht="13.15" customHeight="1" thickBot="1">
      <c r="A5" s="3059" t="s">
        <v>3022</v>
      </c>
      <c r="B5" s="3060"/>
      <c r="C5" s="3039"/>
      <c r="D5" s="3061"/>
      <c r="E5" s="3041"/>
      <c r="F5" s="3041"/>
      <c r="G5" s="3042"/>
      <c r="H5" s="3043"/>
      <c r="I5" s="3044"/>
      <c r="J5" s="3062" t="s">
        <v>3023</v>
      </c>
      <c r="K5" s="3063"/>
      <c r="L5" s="3063"/>
      <c r="M5" s="3064"/>
      <c r="N5" s="3064"/>
      <c r="O5" s="3064"/>
      <c r="P5" s="3064"/>
      <c r="Q5" s="3064"/>
      <c r="R5" s="3047">
        <f>SUM(R14,R19,R24,R25,R27,R28)</f>
        <v>0</v>
      </c>
      <c r="S5" s="3036"/>
      <c r="T5" s="3036" t="s">
        <v>3024</v>
      </c>
      <c r="U5" s="3036" t="e">
        <f>ROUND(R5*10000/365/R3,1)</f>
        <v>#DIV/0!</v>
      </c>
      <c r="V5" s="3044"/>
    </row>
    <row r="6" spans="1:22" s="3048" customFormat="1" ht="13.15" customHeight="1" thickBot="1">
      <c r="A6" s="3508" t="s">
        <v>3025</v>
      </c>
      <c r="B6" s="3509"/>
      <c r="C6" s="3510"/>
      <c r="D6" s="3065"/>
      <c r="E6" s="3066"/>
      <c r="F6" s="3067"/>
      <c r="G6" s="3068"/>
      <c r="H6" s="3043"/>
      <c r="I6" s="3044"/>
      <c r="J6" s="3511">
        <v>1</v>
      </c>
      <c r="K6" s="3512" t="s">
        <v>3026</v>
      </c>
      <c r="L6" s="3069" t="s">
        <v>3027</v>
      </c>
      <c r="M6" s="3070" t="s">
        <v>3028</v>
      </c>
      <c r="N6" s="3070" t="s">
        <v>3029</v>
      </c>
      <c r="O6" s="3070" t="s">
        <v>3030</v>
      </c>
      <c r="P6" s="3070" t="s">
        <v>3031</v>
      </c>
      <c r="Q6" s="3070" t="s">
        <v>3032</v>
      </c>
      <c r="R6" s="3053" t="s">
        <v>3033</v>
      </c>
      <c r="S6" s="3036"/>
      <c r="T6" s="3036" t="s">
        <v>3034</v>
      </c>
      <c r="U6" s="3036"/>
      <c r="V6" s="3044"/>
    </row>
    <row r="7" spans="1:22" s="3048" customFormat="1" ht="13.15" customHeight="1">
      <c r="A7" s="3071" t="s">
        <v>3035</v>
      </c>
      <c r="B7" s="3072"/>
      <c r="C7" s="3073"/>
      <c r="D7" s="3074">
        <f>SUM(D9,D10,D11,D17,0)</f>
        <v>0</v>
      </c>
      <c r="E7" s="3075" t="e">
        <f>E9+E10+E11+E17</f>
        <v>#DIV/0!</v>
      </c>
      <c r="F7" s="3076"/>
      <c r="G7" s="3077"/>
      <c r="H7" s="3043"/>
      <c r="I7" s="3044"/>
      <c r="J7" s="3511"/>
      <c r="K7" s="3513"/>
      <c r="L7" s="3078" t="s">
        <v>3036</v>
      </c>
      <c r="M7" s="3079"/>
      <c r="N7" s="3055"/>
      <c r="O7" s="3080"/>
      <c r="P7" s="3080"/>
      <c r="Q7" s="3081">
        <v>365</v>
      </c>
      <c r="R7" s="3082">
        <f>ROUND(M7*N7*O7*P7*Q7/10000,0)</f>
        <v>0</v>
      </c>
      <c r="S7" s="3036"/>
      <c r="T7" s="3036" t="s">
        <v>3037</v>
      </c>
      <c r="U7" s="3036"/>
      <c r="V7" s="3044"/>
    </row>
    <row r="8" spans="1:22" s="3048" customFormat="1" ht="13.15" customHeight="1">
      <c r="A8" s="3083" t="s">
        <v>3038</v>
      </c>
      <c r="B8" s="3515" t="s">
        <v>3039</v>
      </c>
      <c r="C8" s="3516"/>
      <c r="D8" s="3084" t="s">
        <v>3040</v>
      </c>
      <c r="E8" s="3085" t="s">
        <v>3041</v>
      </c>
      <c r="F8" s="3086" t="s">
        <v>3042</v>
      </c>
      <c r="G8" s="3087"/>
      <c r="H8" s="3043"/>
      <c r="I8" s="3044"/>
      <c r="J8" s="3511"/>
      <c r="K8" s="3513"/>
      <c r="L8" s="3078" t="s">
        <v>3043</v>
      </c>
      <c r="M8" s="3079"/>
      <c r="N8" s="3055"/>
      <c r="O8" s="3080"/>
      <c r="P8" s="3080"/>
      <c r="Q8" s="3081">
        <v>365</v>
      </c>
      <c r="R8" s="3082">
        <f t="shared" ref="R8:R13" si="0">ROUND(M8*N8*O8*P8*Q8/10000,0)</f>
        <v>0</v>
      </c>
      <c r="S8" s="3036"/>
      <c r="T8" s="3036" t="s">
        <v>3044</v>
      </c>
      <c r="U8" s="3036"/>
      <c r="V8" s="3044"/>
    </row>
    <row r="9" spans="1:22" s="3048" customFormat="1" ht="13.15" customHeight="1">
      <c r="A9" s="3083">
        <v>1</v>
      </c>
      <c r="B9" s="3515" t="s">
        <v>3045</v>
      </c>
      <c r="C9" s="3516"/>
      <c r="D9" s="3084">
        <f>ROUND(D6*E9,0)</f>
        <v>0</v>
      </c>
      <c r="E9" s="3088"/>
      <c r="F9" s="3089" t="s">
        <v>3046</v>
      </c>
      <c r="G9" s="3068"/>
      <c r="H9" s="3043"/>
      <c r="I9" s="3044"/>
      <c r="J9" s="3511"/>
      <c r="K9" s="3513"/>
      <c r="L9" s="3078" t="s">
        <v>3047</v>
      </c>
      <c r="M9" s="3079"/>
      <c r="N9" s="3055"/>
      <c r="O9" s="3080"/>
      <c r="P9" s="3080"/>
      <c r="Q9" s="3081">
        <v>365</v>
      </c>
      <c r="R9" s="3082">
        <f t="shared" si="0"/>
        <v>0</v>
      </c>
      <c r="S9" s="3036"/>
      <c r="T9" s="3036"/>
      <c r="U9" s="3036"/>
      <c r="V9" s="3044"/>
    </row>
    <row r="10" spans="1:22" s="3048" customFormat="1" ht="13.15" customHeight="1">
      <c r="A10" s="3083">
        <v>2</v>
      </c>
      <c r="B10" s="3515" t="s">
        <v>3048</v>
      </c>
      <c r="C10" s="3516"/>
      <c r="D10" s="3084">
        <f>ROUND(D6*E10,0)</f>
        <v>0</v>
      </c>
      <c r="E10" s="3088"/>
      <c r="F10" s="3089" t="s">
        <v>3049</v>
      </c>
      <c r="G10" s="3068"/>
      <c r="H10" s="3043"/>
      <c r="I10" s="3044"/>
      <c r="J10" s="3511"/>
      <c r="K10" s="3513"/>
      <c r="L10" s="3078" t="s">
        <v>3050</v>
      </c>
      <c r="M10" s="3079"/>
      <c r="N10" s="3055"/>
      <c r="O10" s="3080"/>
      <c r="P10" s="3080"/>
      <c r="Q10" s="3081">
        <v>365</v>
      </c>
      <c r="R10" s="3082">
        <f t="shared" si="0"/>
        <v>0</v>
      </c>
      <c r="S10" s="3036"/>
      <c r="T10" s="3036"/>
      <c r="U10" s="3036"/>
      <c r="V10" s="3044"/>
    </row>
    <row r="11" spans="1:22" s="3048" customFormat="1" ht="13.15" customHeight="1">
      <c r="A11" s="3083">
        <v>3</v>
      </c>
      <c r="B11" s="3515" t="s">
        <v>3051</v>
      </c>
      <c r="C11" s="3516"/>
      <c r="D11" s="3084">
        <f>D12+D14+D15+D16</f>
        <v>0</v>
      </c>
      <c r="E11" s="3090" t="e">
        <f>D11/D6</f>
        <v>#DIV/0!</v>
      </c>
      <c r="F11" s="3086"/>
      <c r="G11" s="3087"/>
      <c r="H11" s="3043"/>
      <c r="I11" s="3044"/>
      <c r="J11" s="3511"/>
      <c r="K11" s="3513"/>
      <c r="L11" s="3078" t="s">
        <v>3052</v>
      </c>
      <c r="M11" s="3079"/>
      <c r="N11" s="3055"/>
      <c r="O11" s="3080"/>
      <c r="P11" s="3080"/>
      <c r="Q11" s="3081">
        <v>365</v>
      </c>
      <c r="R11" s="3082">
        <f t="shared" si="0"/>
        <v>0</v>
      </c>
      <c r="S11" s="3036"/>
      <c r="T11" s="3036"/>
      <c r="U11" s="3036"/>
      <c r="V11" s="3044"/>
    </row>
    <row r="12" spans="1:22" s="3048" customFormat="1" ht="13.15" customHeight="1">
      <c r="A12" s="3091" t="s">
        <v>3053</v>
      </c>
      <c r="B12" s="3517" t="s">
        <v>3054</v>
      </c>
      <c r="C12" s="3518"/>
      <c r="D12" s="3092">
        <f>ROUND(D13*1.2%*(1-30%),0)</f>
        <v>0</v>
      </c>
      <c r="E12" s="3093">
        <v>1.2E-2</v>
      </c>
      <c r="F12" s="3086" t="s">
        <v>3055</v>
      </c>
      <c r="G12" s="3087"/>
      <c r="H12" s="3043"/>
      <c r="I12" s="3044"/>
      <c r="J12" s="3511"/>
      <c r="K12" s="3513"/>
      <c r="L12" s="3078" t="s">
        <v>3056</v>
      </c>
      <c r="M12" s="3079"/>
      <c r="N12" s="3055"/>
      <c r="O12" s="3080"/>
      <c r="P12" s="3080"/>
      <c r="Q12" s="3081">
        <v>365</v>
      </c>
      <c r="R12" s="3082">
        <f t="shared" si="0"/>
        <v>0</v>
      </c>
      <c r="S12" s="3036"/>
      <c r="T12" s="3036"/>
      <c r="U12" s="3036"/>
      <c r="V12" s="3044"/>
    </row>
    <row r="13" spans="1:22" s="3048" customFormat="1" ht="13.15" customHeight="1">
      <c r="A13" s="3091"/>
      <c r="B13" s="3094"/>
      <c r="C13" s="3095" t="s">
        <v>3057</v>
      </c>
      <c r="D13" s="3096"/>
      <c r="E13" s="3097"/>
      <c r="F13" s="3086"/>
      <c r="G13" s="3087"/>
      <c r="H13" s="3043"/>
      <c r="I13" s="3044"/>
      <c r="J13" s="3511"/>
      <c r="K13" s="3513"/>
      <c r="L13" s="3078" t="s">
        <v>3058</v>
      </c>
      <c r="M13" s="3079"/>
      <c r="N13" s="3055"/>
      <c r="O13" s="3080"/>
      <c r="P13" s="3080"/>
      <c r="Q13" s="3081">
        <v>365</v>
      </c>
      <c r="R13" s="3082">
        <f t="shared" si="0"/>
        <v>0</v>
      </c>
      <c r="S13" s="3036"/>
      <c r="T13" s="3036"/>
      <c r="U13" s="3036"/>
      <c r="V13" s="3044"/>
    </row>
    <row r="14" spans="1:22" s="3048" customFormat="1" ht="13.15" customHeight="1">
      <c r="A14" s="3091" t="s">
        <v>3059</v>
      </c>
      <c r="B14" s="3517" t="s">
        <v>3060</v>
      </c>
      <c r="C14" s="3518"/>
      <c r="D14" s="3092">
        <f>ROUND(E14*B5/10000,0)</f>
        <v>0</v>
      </c>
      <c r="E14" s="3081"/>
      <c r="F14" s="3086" t="s">
        <v>3061</v>
      </c>
      <c r="G14" s="3087"/>
      <c r="H14" s="3043"/>
      <c r="I14" s="3044"/>
      <c r="J14" s="3511"/>
      <c r="K14" s="3514"/>
      <c r="L14" s="3098" t="s">
        <v>3062</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3063</v>
      </c>
      <c r="B15" s="3517" t="s">
        <v>3064</v>
      </c>
      <c r="C15" s="3518"/>
      <c r="D15" s="3092">
        <f>ROUND(D6*E15,0)</f>
        <v>0</v>
      </c>
      <c r="E15" s="3093">
        <v>5.5E-2</v>
      </c>
      <c r="F15" s="3086" t="s">
        <v>3065</v>
      </c>
      <c r="G15" s="3068"/>
      <c r="H15" s="3043"/>
      <c r="I15" s="3044"/>
      <c r="J15" s="3511">
        <v>2</v>
      </c>
      <c r="K15" s="3512" t="s">
        <v>3066</v>
      </c>
      <c r="L15" s="3078" t="s">
        <v>3067</v>
      </c>
      <c r="M15" s="3079" t="s">
        <v>3068</v>
      </c>
      <c r="N15" s="3079" t="s">
        <v>3069</v>
      </c>
      <c r="O15" s="3080" t="s">
        <v>3070</v>
      </c>
      <c r="P15" s="3080" t="s">
        <v>3032</v>
      </c>
      <c r="Q15" s="3055" t="s">
        <v>3071</v>
      </c>
      <c r="R15" s="3102" t="s">
        <v>3033</v>
      </c>
      <c r="S15" s="3036"/>
      <c r="T15" s="3036"/>
      <c r="U15" s="3036"/>
      <c r="V15" s="3044"/>
    </row>
    <row r="16" spans="1:22" s="3048" customFormat="1" ht="13.15" customHeight="1">
      <c r="A16" s="3091" t="s">
        <v>3072</v>
      </c>
      <c r="B16" s="3517" t="s">
        <v>3073</v>
      </c>
      <c r="C16" s="3518"/>
      <c r="D16" s="3103">
        <f>D6*E16</f>
        <v>0</v>
      </c>
      <c r="E16" s="3104"/>
      <c r="F16" s="3089" t="s">
        <v>3074</v>
      </c>
      <c r="G16" s="3068"/>
      <c r="H16" s="3043"/>
      <c r="I16" s="3044"/>
      <c r="J16" s="3511"/>
      <c r="K16" s="3513"/>
      <c r="L16" s="3078" t="s">
        <v>3075</v>
      </c>
      <c r="M16" s="3079"/>
      <c r="N16" s="3079"/>
      <c r="O16" s="3080"/>
      <c r="P16" s="3081">
        <v>365</v>
      </c>
      <c r="Q16" s="3055"/>
      <c r="R16" s="3102">
        <f>ROUND(M16*N16*O16*P16/10000,0)</f>
        <v>0</v>
      </c>
      <c r="S16" s="3036"/>
      <c r="T16" s="3036"/>
      <c r="U16" s="3036"/>
      <c r="V16" s="3044"/>
    </row>
    <row r="17" spans="1:22" s="3048" customFormat="1" ht="13.15" customHeight="1" thickBot="1">
      <c r="A17" s="3105">
        <v>4</v>
      </c>
      <c r="B17" s="3519" t="s">
        <v>3076</v>
      </c>
      <c r="C17" s="3520"/>
      <c r="D17" s="3106">
        <f>ROUND(D6*E17,0)</f>
        <v>0</v>
      </c>
      <c r="E17" s="3107"/>
      <c r="F17" s="3108" t="s">
        <v>3077</v>
      </c>
      <c r="G17" s="3068"/>
      <c r="H17" s="3043"/>
      <c r="I17" s="3044"/>
      <c r="J17" s="3511"/>
      <c r="K17" s="3513"/>
      <c r="L17" s="3078" t="s">
        <v>3078</v>
      </c>
      <c r="M17" s="3079"/>
      <c r="N17" s="3079"/>
      <c r="O17" s="3080"/>
      <c r="P17" s="3081">
        <v>365</v>
      </c>
      <c r="Q17" s="3055"/>
      <c r="R17" s="3102">
        <f>ROUND(M17*N17*O17*P17/10000,0)</f>
        <v>0</v>
      </c>
      <c r="S17" s="3036"/>
      <c r="T17" s="3036"/>
      <c r="U17" s="3036"/>
      <c r="V17" s="3044"/>
    </row>
    <row r="18" spans="1:22" s="3048" customFormat="1" ht="13.15" customHeight="1" thickBot="1">
      <c r="A18" s="3071" t="s">
        <v>3079</v>
      </c>
      <c r="B18" s="3072"/>
      <c r="C18" s="3072"/>
      <c r="D18" s="3109">
        <f>ROUND(D6*E18,0)</f>
        <v>0</v>
      </c>
      <c r="E18" s="3110"/>
      <c r="F18" s="3111" t="s">
        <v>3080</v>
      </c>
      <c r="G18" s="3068"/>
      <c r="H18" s="3043"/>
      <c r="I18" s="3044"/>
      <c r="J18" s="3511"/>
      <c r="K18" s="3513"/>
      <c r="L18" s="3078" t="s">
        <v>3081</v>
      </c>
      <c r="M18" s="3079"/>
      <c r="N18" s="3079"/>
      <c r="O18" s="3080"/>
      <c r="P18" s="3081">
        <v>365</v>
      </c>
      <c r="Q18" s="3055"/>
      <c r="R18" s="3102">
        <f>ROUND(M18*N18*O18*P18/10000,0)</f>
        <v>0</v>
      </c>
      <c r="S18" s="3036"/>
      <c r="T18" s="3036"/>
      <c r="U18" s="3036"/>
      <c r="V18" s="3044"/>
    </row>
    <row r="19" spans="1:22" s="3048" customFormat="1" ht="13.15" customHeight="1" thickBot="1">
      <c r="A19" s="3112" t="s">
        <v>3082</v>
      </c>
      <c r="B19" s="3066"/>
      <c r="C19" s="3066"/>
      <c r="D19" s="3066"/>
      <c r="E19" s="3066"/>
      <c r="F19" s="3067"/>
      <c r="G19" s="3087"/>
      <c r="H19" s="3043"/>
      <c r="I19" s="3044"/>
      <c r="J19" s="3511"/>
      <c r="K19" s="3514"/>
      <c r="L19" s="3098" t="s">
        <v>3062</v>
      </c>
      <c r="M19" s="3099"/>
      <c r="N19" s="3099">
        <f>SUM(N16:N18)</f>
        <v>0</v>
      </c>
      <c r="O19" s="3100"/>
      <c r="P19" s="3113" t="s">
        <v>3126</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511">
        <v>3</v>
      </c>
      <c r="K20" s="3512" t="s">
        <v>3083</v>
      </c>
      <c r="L20" s="3078" t="s">
        <v>3084</v>
      </c>
      <c r="M20" s="3079" t="s">
        <v>3085</v>
      </c>
      <c r="N20" s="3116" t="s">
        <v>3086</v>
      </c>
      <c r="O20" s="3080" t="s">
        <v>3087</v>
      </c>
      <c r="P20" s="3081" t="s">
        <v>3088</v>
      </c>
      <c r="Q20" s="3055" t="s">
        <v>3089</v>
      </c>
      <c r="R20" s="3102" t="s">
        <v>3090</v>
      </c>
      <c r="S20" s="3117"/>
      <c r="T20" s="3117"/>
      <c r="U20" s="3117"/>
      <c r="V20" s="3044"/>
    </row>
    <row r="21" spans="1:22" s="3048" customFormat="1" ht="13.15" customHeight="1">
      <c r="A21" s="3071"/>
      <c r="B21" s="3072"/>
      <c r="C21" s="3118" t="s">
        <v>3091</v>
      </c>
      <c r="D21" s="3119" t="s">
        <v>3092</v>
      </c>
      <c r="E21" s="3120" t="s">
        <v>3093</v>
      </c>
      <c r="F21" s="3115"/>
      <c r="G21" s="3087"/>
      <c r="H21" s="3043"/>
      <c r="I21" s="3044"/>
      <c r="J21" s="3511"/>
      <c r="K21" s="3513"/>
      <c r="L21" s="3078" t="s">
        <v>3094</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3095</v>
      </c>
      <c r="D22" s="3123" t="s">
        <v>3096</v>
      </c>
      <c r="E22" s="3124" t="s">
        <v>3097</v>
      </c>
      <c r="F22" s="3115"/>
      <c r="G22" s="3125"/>
      <c r="H22" s="3043"/>
      <c r="I22" s="3044"/>
      <c r="J22" s="3511"/>
      <c r="K22" s="3513"/>
      <c r="L22" s="3078" t="s">
        <v>3098</v>
      </c>
      <c r="M22" s="3079"/>
      <c r="N22" s="3079"/>
      <c r="O22" s="3080"/>
      <c r="P22" s="3081">
        <v>365</v>
      </c>
      <c r="Q22" s="3055"/>
      <c r="R22" s="3121">
        <f>ROUND(M22*N22*O22*P22/10000,0)</f>
        <v>0</v>
      </c>
      <c r="S22" s="3117"/>
      <c r="T22" s="3117"/>
      <c r="U22" s="3117"/>
      <c r="V22" s="3044"/>
    </row>
    <row r="23" spans="1:22" s="3048" customFormat="1" ht="13.15" customHeight="1">
      <c r="A23" s="3126">
        <v>1</v>
      </c>
      <c r="B23" s="3127" t="s">
        <v>3099</v>
      </c>
      <c r="C23" s="3128">
        <f>D6</f>
        <v>0</v>
      </c>
      <c r="D23" s="3129">
        <f>C23*(1+D24)</f>
        <v>0</v>
      </c>
      <c r="E23" s="3130">
        <f>D23*(1+E24)</f>
        <v>0</v>
      </c>
      <c r="F23" s="3131"/>
      <c r="G23" s="3132"/>
      <c r="H23" s="3043"/>
      <c r="I23" s="3044"/>
      <c r="J23" s="3511"/>
      <c r="K23" s="3513"/>
      <c r="L23" s="3078" t="s">
        <v>3100</v>
      </c>
      <c r="M23" s="3079"/>
      <c r="N23" s="3079"/>
      <c r="O23" s="3080"/>
      <c r="P23" s="3081">
        <v>365</v>
      </c>
      <c r="Q23" s="3055"/>
      <c r="R23" s="3121">
        <f>ROUND(M23*N23*O23*P23/10000,0)</f>
        <v>0</v>
      </c>
      <c r="S23" s="3036"/>
      <c r="T23" s="3036"/>
      <c r="U23" s="3036"/>
      <c r="V23" s="3044"/>
    </row>
    <row r="24" spans="1:22" s="3048" customFormat="1" ht="13.15" customHeight="1">
      <c r="A24" s="3133"/>
      <c r="B24" s="3134" t="s">
        <v>3101</v>
      </c>
      <c r="C24" s="3135"/>
      <c r="D24" s="3136"/>
      <c r="E24" s="3137"/>
      <c r="F24" s="3138"/>
      <c r="G24" s="3132"/>
      <c r="H24" s="3043"/>
      <c r="I24" s="3044"/>
      <c r="J24" s="3511"/>
      <c r="K24" s="3514"/>
      <c r="L24" s="3098" t="s">
        <v>3062</v>
      </c>
      <c r="M24" s="3099">
        <f>SUM(M21:M23)</f>
        <v>0</v>
      </c>
      <c r="N24" s="3099"/>
      <c r="O24" s="3100"/>
      <c r="P24" s="3113" t="s">
        <v>3126</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3102</v>
      </c>
      <c r="L25" s="3141"/>
      <c r="M25" s="3141"/>
      <c r="N25" s="3141"/>
      <c r="O25" s="3141"/>
      <c r="P25" s="3142"/>
      <c r="Q25" s="3143">
        <v>0</v>
      </c>
      <c r="R25" s="3114">
        <f>ROUND(R14*Q25,0)</f>
        <v>0</v>
      </c>
      <c r="S25" s="3036"/>
      <c r="T25" s="3036"/>
      <c r="U25" s="3036"/>
      <c r="V25" s="3144"/>
    </row>
    <row r="26" spans="1:22" s="3145" customFormat="1" ht="13.15" customHeight="1">
      <c r="A26" s="3126">
        <v>2</v>
      </c>
      <c r="B26" s="3127" t="s">
        <v>3103</v>
      </c>
      <c r="C26" s="3128">
        <f>D7</f>
        <v>0</v>
      </c>
      <c r="D26" s="3129">
        <f>D23*D27</f>
        <v>0</v>
      </c>
      <c r="E26" s="3130">
        <f>E23*E27</f>
        <v>0</v>
      </c>
      <c r="F26" s="3131"/>
      <c r="G26" s="3132"/>
      <c r="H26" s="3043"/>
      <c r="I26" s="3044"/>
      <c r="J26" s="3521">
        <v>5</v>
      </c>
      <c r="K26" s="3146" t="s">
        <v>3104</v>
      </c>
      <c r="L26" s="3147"/>
      <c r="M26" s="3148"/>
      <c r="N26" s="3149" t="s">
        <v>3105</v>
      </c>
      <c r="O26" s="3149" t="s">
        <v>3106</v>
      </c>
      <c r="P26" s="3150" t="s">
        <v>3107</v>
      </c>
      <c r="Q26" s="3150" t="s">
        <v>3108</v>
      </c>
      <c r="R26" s="3053" t="s">
        <v>3033</v>
      </c>
      <c r="S26" s="3151"/>
      <c r="T26" s="3151"/>
      <c r="U26" s="3151"/>
      <c r="V26" s="3144"/>
    </row>
    <row r="27" spans="1:22" s="3048" customFormat="1" ht="13.15" customHeight="1">
      <c r="A27" s="3133"/>
      <c r="B27" s="3134" t="s">
        <v>3109</v>
      </c>
      <c r="C27" s="3152" t="e">
        <f>E7</f>
        <v>#DIV/0!</v>
      </c>
      <c r="D27" s="3136"/>
      <c r="E27" s="3137"/>
      <c r="F27" s="3138"/>
      <c r="G27" s="3132"/>
      <c r="H27" s="3153"/>
      <c r="I27" s="3144"/>
      <c r="J27" s="3522"/>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3110</v>
      </c>
      <c r="F28" s="3138"/>
      <c r="G28" s="3125"/>
      <c r="H28" s="3153"/>
      <c r="I28" s="3144"/>
      <c r="J28" s="3159">
        <v>6</v>
      </c>
      <c r="K28" s="3160" t="s">
        <v>3111</v>
      </c>
      <c r="L28" s="3161" t="s">
        <v>3112</v>
      </c>
      <c r="M28" s="3162"/>
      <c r="N28" s="3161" t="s">
        <v>3113</v>
      </c>
      <c r="O28" s="3163"/>
      <c r="P28" s="3161" t="s">
        <v>3114</v>
      </c>
      <c r="Q28" s="3164">
        <v>1.4999999999999999E-2</v>
      </c>
      <c r="R28" s="3165"/>
      <c r="S28" s="3117"/>
      <c r="T28" s="3117"/>
      <c r="U28" s="3117"/>
      <c r="V28" s="3144"/>
    </row>
    <row r="29" spans="1:22" s="3145" customFormat="1" ht="13.15" customHeight="1">
      <c r="A29" s="3126">
        <v>3</v>
      </c>
      <c r="B29" s="3127" t="s">
        <v>3115</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3109</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3116</v>
      </c>
      <c r="K31" s="3034"/>
      <c r="L31" s="3034"/>
      <c r="M31" s="3034"/>
      <c r="N31" s="3034"/>
      <c r="O31" s="3034"/>
      <c r="P31" s="3034"/>
      <c r="Q31" s="3034"/>
      <c r="R31" s="3035"/>
      <c r="S31" s="3117"/>
      <c r="T31" s="3036"/>
      <c r="U31" s="3036"/>
      <c r="V31" s="3144"/>
    </row>
    <row r="32" spans="1:22" s="3145" customFormat="1" ht="13.15" customHeight="1">
      <c r="A32" s="3126">
        <v>4</v>
      </c>
      <c r="B32" s="3127" t="s">
        <v>3117</v>
      </c>
      <c r="C32" s="3128">
        <f>C23-C26-C29</f>
        <v>0</v>
      </c>
      <c r="D32" s="3129">
        <f>D23-D26-D29</f>
        <v>0</v>
      </c>
      <c r="E32" s="3130">
        <f>E23-E26-E29</f>
        <v>0</v>
      </c>
      <c r="F32" s="3131"/>
      <c r="G32" s="3125"/>
      <c r="H32" s="3043"/>
      <c r="I32" s="3044"/>
      <c r="J32" s="3504" t="s">
        <v>3009</v>
      </c>
      <c r="K32" s="3505"/>
      <c r="L32" s="3045" t="s">
        <v>3010</v>
      </c>
      <c r="M32" s="3045" t="s">
        <v>3011</v>
      </c>
      <c r="N32" s="3045" t="s">
        <v>3012</v>
      </c>
      <c r="O32" s="3045" t="s">
        <v>3013</v>
      </c>
      <c r="P32" s="3045" t="s">
        <v>3014</v>
      </c>
      <c r="Q32" s="3046" t="s">
        <v>3015</v>
      </c>
      <c r="R32" s="3168" t="s">
        <v>3016</v>
      </c>
      <c r="S32" s="3117"/>
      <c r="T32" s="3036"/>
      <c r="U32" s="3036"/>
      <c r="V32" s="3144"/>
    </row>
    <row r="33" spans="1:23" s="3048" customFormat="1" ht="13.15" customHeight="1">
      <c r="A33" s="3126"/>
      <c r="B33" s="3127"/>
      <c r="C33" s="3128"/>
      <c r="D33" s="3169"/>
      <c r="E33" s="3170"/>
      <c r="F33" s="3131"/>
      <c r="G33" s="3125"/>
      <c r="H33" s="3153"/>
      <c r="I33" s="3144"/>
      <c r="J33" s="3506" t="s">
        <v>3019</v>
      </c>
      <c r="K33" s="3507"/>
      <c r="L33" s="3051"/>
      <c r="M33" s="3051"/>
      <c r="N33" s="3051"/>
      <c r="O33" s="3051"/>
      <c r="P33" s="3051"/>
      <c r="Q33" s="3052"/>
      <c r="R33" s="3171">
        <f>SUM(L33:Q33)</f>
        <v>0</v>
      </c>
      <c r="S33" s="3117"/>
      <c r="T33" s="3036"/>
      <c r="U33" s="3036"/>
      <c r="V33" s="3044"/>
    </row>
    <row r="34" spans="1:23" s="3048" customFormat="1" ht="13.15" customHeight="1">
      <c r="A34" s="3126">
        <v>5</v>
      </c>
      <c r="B34" s="3127" t="s">
        <v>3118</v>
      </c>
      <c r="C34" s="3172"/>
      <c r="D34" s="3173"/>
      <c r="E34" s="3174"/>
      <c r="F34" s="3131"/>
      <c r="G34" s="3125"/>
      <c r="H34" s="3153"/>
      <c r="I34" s="3144"/>
      <c r="J34" s="3506" t="s">
        <v>3021</v>
      </c>
      <c r="K34" s="3507"/>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3119</v>
      </c>
      <c r="C35" s="3176"/>
      <c r="D35" s="3177"/>
      <c r="E35" s="3178"/>
      <c r="F35" s="3131"/>
      <c r="G35" s="3179"/>
      <c r="H35" s="3043"/>
      <c r="I35" s="3144"/>
      <c r="J35" s="3062" t="s">
        <v>3023</v>
      </c>
      <c r="K35" s="3063"/>
      <c r="L35" s="3063"/>
      <c r="M35" s="3064"/>
      <c r="N35" s="3064"/>
      <c r="O35" s="3064"/>
      <c r="P35" s="3064"/>
      <c r="Q35" s="3064"/>
      <c r="R35" s="3180">
        <f>R40+R41+R43</f>
        <v>0</v>
      </c>
      <c r="S35" s="3117"/>
      <c r="T35" s="3036" t="s">
        <v>3024</v>
      </c>
      <c r="U35" s="3036"/>
      <c r="V35" s="3044"/>
    </row>
    <row r="36" spans="1:23" s="3048" customFormat="1" ht="13.15" customHeight="1" thickBot="1">
      <c r="A36" s="3126">
        <v>7</v>
      </c>
      <c r="B36" s="3181" t="s">
        <v>3120</v>
      </c>
      <c r="C36" s="3182"/>
      <c r="D36" s="3183"/>
      <c r="E36" s="3184"/>
      <c r="F36" s="3185">
        <f>C36+D36+E36</f>
        <v>0</v>
      </c>
      <c r="G36" s="3125"/>
      <c r="H36" s="3043"/>
      <c r="I36" s="3044"/>
      <c r="J36" s="3511">
        <v>1</v>
      </c>
      <c r="K36" s="3512" t="s">
        <v>3121</v>
      </c>
      <c r="L36" s="3069"/>
      <c r="M36" s="3070"/>
      <c r="N36" s="3070"/>
      <c r="O36" s="3070"/>
      <c r="P36" s="3070"/>
      <c r="Q36" s="3070"/>
      <c r="R36" s="3053" t="s">
        <v>3033</v>
      </c>
      <c r="S36" s="3117"/>
      <c r="T36" s="3036" t="s">
        <v>3034</v>
      </c>
      <c r="U36" s="3036"/>
      <c r="V36" s="3044"/>
    </row>
    <row r="37" spans="1:23" s="3048" customFormat="1" ht="13.15" customHeight="1">
      <c r="A37" s="3126"/>
      <c r="B37" s="3127"/>
      <c r="C37" s="3127"/>
      <c r="D37" s="3127"/>
      <c r="E37" s="3127"/>
      <c r="F37" s="3131"/>
      <c r="G37" s="3125"/>
      <c r="H37" s="3043"/>
      <c r="I37" s="3044"/>
      <c r="J37" s="3511"/>
      <c r="K37" s="3513"/>
      <c r="L37" s="3078"/>
      <c r="M37" s="3079"/>
      <c r="N37" s="3055"/>
      <c r="O37" s="3080"/>
      <c r="P37" s="3080"/>
      <c r="Q37" s="3081"/>
      <c r="R37" s="3082"/>
      <c r="S37" s="3117"/>
      <c r="T37" s="3036" t="s">
        <v>3037</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511"/>
      <c r="K38" s="3513"/>
      <c r="L38" s="3078"/>
      <c r="M38" s="3079"/>
      <c r="N38" s="3055"/>
      <c r="O38" s="3080"/>
      <c r="P38" s="3080"/>
      <c r="Q38" s="3081"/>
      <c r="R38" s="3082"/>
      <c r="S38" s="3117"/>
      <c r="T38" s="3036" t="s">
        <v>3044</v>
      </c>
      <c r="U38" s="3036"/>
      <c r="V38" s="3044"/>
    </row>
    <row r="39" spans="1:23" s="3048" customFormat="1" ht="13.15" customHeight="1">
      <c r="A39" s="3126">
        <v>9</v>
      </c>
      <c r="B39" s="3127" t="s">
        <v>3122</v>
      </c>
      <c r="C39" s="3092" t="e">
        <f>C38</f>
        <v>#DIV/0!</v>
      </c>
      <c r="D39" s="3127">
        <f>D38/(1+D34)^C36</f>
        <v>0</v>
      </c>
      <c r="E39" s="3127">
        <f>E38/(1+E34)^(C36+D36)</f>
        <v>0</v>
      </c>
      <c r="F39" s="3131"/>
      <c r="G39" s="3186"/>
      <c r="H39" s="3043"/>
      <c r="I39" s="3044"/>
      <c r="J39" s="3511"/>
      <c r="K39" s="3513"/>
      <c r="L39" s="3078"/>
      <c r="M39" s="3079"/>
      <c r="N39" s="3055"/>
      <c r="O39" s="3080"/>
      <c r="P39" s="3080"/>
      <c r="Q39" s="3081"/>
      <c r="R39" s="3082"/>
      <c r="S39" s="3117"/>
      <c r="T39" s="3036"/>
      <c r="U39" s="3036"/>
      <c r="V39" s="3044"/>
    </row>
    <row r="40" spans="1:23" s="3048" customFormat="1" ht="13.15" customHeight="1">
      <c r="A40" s="3187">
        <v>10</v>
      </c>
      <c r="B40" s="3127" t="s">
        <v>3123</v>
      </c>
      <c r="C40" s="3188" t="e">
        <f>C39+D39+E39</f>
        <v>#DIV/0!</v>
      </c>
      <c r="D40" s="3189"/>
      <c r="E40" s="3189"/>
      <c r="F40" s="3190"/>
      <c r="G40" s="3125"/>
      <c r="H40" s="3043"/>
      <c r="I40" s="3044"/>
      <c r="J40" s="3511"/>
      <c r="K40" s="3514"/>
      <c r="L40" s="3098" t="s">
        <v>3062</v>
      </c>
      <c r="M40" s="3099"/>
      <c r="N40" s="3099"/>
      <c r="O40" s="3100"/>
      <c r="P40" s="3100"/>
      <c r="Q40" s="3101"/>
      <c r="R40" s="3047">
        <f>SUM(R37:R39)</f>
        <v>0</v>
      </c>
      <c r="S40" s="3117"/>
      <c r="T40" s="3036"/>
      <c r="U40" s="3036"/>
      <c r="V40" s="3044"/>
    </row>
    <row r="41" spans="1:23" s="3048" customFormat="1" ht="13.15" customHeight="1" thickBot="1">
      <c r="A41" s="3191">
        <v>11</v>
      </c>
      <c r="B41" s="3192" t="s">
        <v>3124</v>
      </c>
      <c r="C41" s="3192" t="e">
        <f>ROUND(C40*10000/B4,0)</f>
        <v>#DIV/0!</v>
      </c>
      <c r="D41" s="3193"/>
      <c r="E41" s="3193"/>
      <c r="F41" s="3194"/>
      <c r="G41" s="3195"/>
      <c r="H41" s="3043"/>
      <c r="I41" s="3044"/>
      <c r="J41" s="3139">
        <v>2</v>
      </c>
      <c r="K41" s="3140" t="s">
        <v>3102</v>
      </c>
      <c r="L41" s="3141"/>
      <c r="M41" s="3141"/>
      <c r="N41" s="3141"/>
      <c r="O41" s="3141"/>
      <c r="P41" s="3142"/>
      <c r="Q41" s="3143"/>
      <c r="R41" s="3114">
        <f>ROUND(R40*Q41,0)</f>
        <v>0</v>
      </c>
      <c r="S41" s="3117"/>
      <c r="T41" s="3036"/>
      <c r="U41" s="3151"/>
      <c r="V41" s="3044"/>
    </row>
    <row r="42" spans="1:23" s="3048" customFormat="1" ht="13.15" customHeight="1">
      <c r="G42" s="3195"/>
      <c r="H42" s="3043"/>
      <c r="I42" s="3044"/>
      <c r="J42" s="3521">
        <v>3</v>
      </c>
      <c r="K42" s="3146" t="s">
        <v>3104</v>
      </c>
      <c r="L42" s="3147"/>
      <c r="M42" s="3148"/>
      <c r="N42" s="3149" t="s">
        <v>3105</v>
      </c>
      <c r="O42" s="3149" t="s">
        <v>3106</v>
      </c>
      <c r="P42" s="3150" t="s">
        <v>3107</v>
      </c>
      <c r="Q42" s="3150" t="s">
        <v>3108</v>
      </c>
      <c r="R42" s="3053" t="s">
        <v>3033</v>
      </c>
      <c r="S42" s="3151"/>
      <c r="T42" s="3151"/>
      <c r="U42" s="3036"/>
      <c r="V42" s="3044"/>
    </row>
    <row r="43" spans="1:23" ht="13.15" customHeight="1">
      <c r="A43" s="3048"/>
      <c r="B43" s="3048"/>
      <c r="C43" s="3048"/>
      <c r="D43" s="3048"/>
      <c r="E43" s="3048"/>
      <c r="F43" s="3048"/>
      <c r="I43" s="3031"/>
      <c r="J43" s="3522"/>
      <c r="K43" s="3154"/>
      <c r="L43" s="3155"/>
      <c r="M43" s="3156"/>
      <c r="N43" s="3079"/>
      <c r="O43" s="3079"/>
      <c r="P43" s="3079"/>
      <c r="Q43" s="3143"/>
      <c r="R43" s="3114">
        <f>ROUND(O43*N43*P43*(1-Q43)/10000,0)</f>
        <v>0</v>
      </c>
      <c r="S43" s="3117"/>
      <c r="T43" s="3036"/>
      <c r="V43" s="3197"/>
      <c r="W43" s="3198"/>
    </row>
    <row r="44" spans="1:23" ht="13.15" customHeight="1" thickBot="1">
      <c r="J44" s="3159">
        <v>6</v>
      </c>
      <c r="K44" s="3160" t="s">
        <v>3111</v>
      </c>
      <c r="L44" s="3199" t="s">
        <v>3112</v>
      </c>
      <c r="M44" s="3162"/>
      <c r="N44" s="3199" t="s">
        <v>3113</v>
      </c>
      <c r="O44" s="3162"/>
      <c r="P44" s="3199" t="s">
        <v>3114</v>
      </c>
      <c r="Q44" s="3164">
        <v>1.4999999999999999E-2</v>
      </c>
      <c r="R44" s="31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2288</v>
      </c>
      <c r="B1" s="2023"/>
      <c r="C1" s="2023"/>
      <c r="D1" s="2023"/>
      <c r="E1" s="2024"/>
      <c r="F1" s="2901"/>
      <c r="G1" s="1644"/>
      <c r="H1" s="1644"/>
      <c r="I1" s="1644"/>
      <c r="J1" s="1644"/>
      <c r="K1" s="1644"/>
      <c r="L1" s="1644"/>
      <c r="M1" s="1644"/>
      <c r="N1" s="1644"/>
      <c r="O1" s="1644"/>
      <c r="P1" s="1644"/>
      <c r="Q1" s="1644"/>
      <c r="R1" s="1644"/>
      <c r="S1" s="1644"/>
    </row>
    <row r="2" spans="1:22" ht="15.75">
      <c r="A2" s="2025" t="s">
        <v>2089</v>
      </c>
      <c r="B2" s="2026">
        <f ca="1">SUMIF(B6:B13,"&lt;&gt;#ref!",B6:B13)</f>
        <v>0</v>
      </c>
      <c r="C2" s="2027" t="s">
        <v>2281</v>
      </c>
      <c r="D2" s="2028" t="s">
        <v>2282</v>
      </c>
      <c r="E2" s="2799">
        <f>SUM(E6:E13)</f>
        <v>0</v>
      </c>
      <c r="F2" s="2901"/>
      <c r="G2" s="1644"/>
      <c r="H2" s="1644"/>
      <c r="I2" s="1644"/>
      <c r="J2" s="1644"/>
      <c r="K2" s="1644"/>
      <c r="L2" s="1644"/>
      <c r="M2" s="1644"/>
      <c r="N2" s="1644"/>
      <c r="O2" s="1644"/>
      <c r="P2" s="1644"/>
      <c r="Q2" s="1644"/>
      <c r="R2" s="1644"/>
      <c r="S2" s="1644"/>
    </row>
    <row r="3" spans="1:22" ht="15.75">
      <c r="A3" s="2025" t="s">
        <v>1300</v>
      </c>
      <c r="B3" s="2793" t="e">
        <f ca="1">ROUND(B2*10000/E2,0)</f>
        <v>#DIV/0!</v>
      </c>
      <c r="C3" s="2027" t="s">
        <v>2289</v>
      </c>
      <c r="D3" s="2903"/>
      <c r="E3" s="2905"/>
      <c r="F3" s="2901"/>
      <c r="G3" s="1644"/>
      <c r="H3" s="1644"/>
      <c r="I3" s="1644"/>
      <c r="J3" s="1644"/>
      <c r="K3" s="1644"/>
      <c r="L3" s="1644"/>
      <c r="M3" s="1644"/>
      <c r="N3" s="1644"/>
      <c r="O3" s="1644"/>
      <c r="P3" s="1644"/>
      <c r="Q3" s="1644"/>
      <c r="R3" s="1644"/>
      <c r="S3" s="1644"/>
    </row>
    <row r="4" spans="1:22" ht="15.75">
      <c r="A4" s="2906"/>
      <c r="B4" s="2903"/>
      <c r="C4" s="2903"/>
      <c r="D4" s="2903"/>
      <c r="E4" s="2905"/>
      <c r="F4" s="2901"/>
      <c r="G4" s="1644"/>
      <c r="H4" s="1644"/>
      <c r="I4" s="1644"/>
      <c r="J4" s="1644"/>
      <c r="K4" s="1644"/>
      <c r="L4" s="1644"/>
      <c r="M4" s="1644"/>
      <c r="N4" s="1644"/>
      <c r="O4" s="1644"/>
      <c r="P4" s="1644"/>
      <c r="Q4" s="1644"/>
      <c r="R4" s="1644"/>
      <c r="S4" s="1644"/>
    </row>
    <row r="5" spans="1:22" ht="15">
      <c r="A5" s="2795" t="s">
        <v>2283</v>
      </c>
      <c r="B5" s="3523" t="s">
        <v>2284</v>
      </c>
      <c r="C5" s="3524"/>
      <c r="D5" s="2902"/>
      <c r="E5" s="2029" t="s">
        <v>2285</v>
      </c>
      <c r="F5" s="2030" t="s">
        <v>2286</v>
      </c>
      <c r="G5" s="1644"/>
      <c r="H5" s="1644"/>
      <c r="I5" s="1644"/>
      <c r="J5" s="1644"/>
      <c r="K5" s="1644"/>
      <c r="L5" s="1644"/>
      <c r="M5" s="1644"/>
      <c r="N5" s="1644"/>
      <c r="O5" s="1644"/>
      <c r="P5" s="1644"/>
      <c r="Q5" s="1644"/>
      <c r="R5" s="1644"/>
      <c r="S5" s="1644"/>
    </row>
    <row r="6" spans="1:22">
      <c r="A6" s="2796">
        <f>'数据-取费表'!AN6</f>
        <v>0</v>
      </c>
      <c r="B6" s="2794" t="e">
        <f ca="1">IF(F6="是",'数据-取费表'!AO6,0)</f>
        <v>#REF!</v>
      </c>
      <c r="C6" s="2027" t="s">
        <v>2281</v>
      </c>
      <c r="D6" s="2903"/>
      <c r="E6" s="2798">
        <f>IF(OR(A6=0,F6="否"),0,'数据-取费表'!K6+'数据-取费表'!S6)</f>
        <v>0</v>
      </c>
      <c r="F6" s="2031" t="s">
        <v>2287</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7" t="s">
        <v>2281</v>
      </c>
      <c r="D7" s="2903"/>
      <c r="E7" s="2798">
        <f>IF(OR(A7=0,F7="否"),0,'数据-取费表'!K7+'数据-取费表'!S7)</f>
        <v>0</v>
      </c>
      <c r="F7" s="2031" t="s">
        <v>2287</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7" t="s">
        <v>2281</v>
      </c>
      <c r="D8" s="2903"/>
      <c r="E8" s="2798">
        <f>IF(OR(A8=0,F8="否"),0,'数据-取费表'!K8+'数据-取费表'!S8)</f>
        <v>0</v>
      </c>
      <c r="F8" s="2031" t="s">
        <v>2287</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7" t="s">
        <v>2281</v>
      </c>
      <c r="D9" s="2903"/>
      <c r="E9" s="2798">
        <f>IF(OR(A9=0,F9="否"),0,'数据-取费表'!K9+'数据-取费表'!S9)</f>
        <v>0</v>
      </c>
      <c r="F9" s="2031" t="s">
        <v>2287</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7" t="s">
        <v>2281</v>
      </c>
      <c r="D10" s="2903"/>
      <c r="E10" s="2798">
        <f>IF(OR(A10=0,F10="否"),0,'数据-取费表'!K10+'数据-取费表'!S10)</f>
        <v>0</v>
      </c>
      <c r="F10" s="2031" t="s">
        <v>2287</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7" t="s">
        <v>2281</v>
      </c>
      <c r="D11" s="2903"/>
      <c r="E11" s="2798">
        <f>IF(OR(A11=0,F11="否"),0,'数据-取费表'!K11+'数据-取费表'!S11)</f>
        <v>0</v>
      </c>
      <c r="F11" s="2031" t="s">
        <v>2287</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7" t="s">
        <v>2281</v>
      </c>
      <c r="D12" s="2903"/>
      <c r="E12" s="2798">
        <f>IF(OR(A12=0,F12="否"),0,'数据-取费表'!K12+'数据-取费表'!S12)</f>
        <v>0</v>
      </c>
      <c r="F12" s="2031" t="s">
        <v>2287</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2" t="s">
        <v>2281</v>
      </c>
      <c r="D13" s="2904"/>
      <c r="E13" s="2798">
        <f>IF(OR(A13=0,F13="否"),0,'数据-取费表'!K13+'数据-取费表'!S13)</f>
        <v>0</v>
      </c>
      <c r="F13" s="2031" t="s">
        <v>2287</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033" t="s">
        <v>2291</v>
      </c>
      <c r="C1" s="1378" t="s">
        <v>2292</v>
      </c>
      <c r="D1" s="1365"/>
      <c r="E1" s="2513"/>
      <c r="F1" s="2034" t="s">
        <v>2293</v>
      </c>
      <c r="G1" s="1375" t="s">
        <v>2294</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2295</v>
      </c>
      <c r="F2" s="2038"/>
      <c r="G2" s="1038"/>
      <c r="H2" s="1038"/>
      <c r="I2" s="1038"/>
      <c r="J2" s="1038"/>
      <c r="K2" s="2039"/>
      <c r="L2" s="2907"/>
      <c r="M2" s="2908"/>
      <c r="N2" s="2908"/>
      <c r="O2" s="2908"/>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2296</v>
      </c>
      <c r="D3" s="359">
        <f>IF(D1="",'数据-汇总表'!E3,SUMIF('数据-汇总表'!$C19:$C33,D1,'数据-汇总表'!$E19:$E33))</f>
        <v>39892.17</v>
      </c>
      <c r="E3" s="1038"/>
      <c r="F3" s="2043"/>
      <c r="G3" s="1038"/>
      <c r="H3" s="1038"/>
      <c r="I3" s="1038"/>
      <c r="J3" s="1038"/>
      <c r="K3" s="2039"/>
      <c r="L3" s="2907"/>
      <c r="M3" s="2908"/>
      <c r="N3" s="2908"/>
      <c r="O3" s="2908"/>
      <c r="P3" s="2040"/>
      <c r="Q3" s="2041"/>
      <c r="R3" s="2041"/>
      <c r="S3" s="2041"/>
      <c r="T3" s="2041"/>
      <c r="U3" s="2041"/>
      <c r="V3" s="2041"/>
      <c r="W3" s="2041"/>
      <c r="X3" s="2041"/>
      <c r="Y3" s="2041"/>
      <c r="Z3" s="2041"/>
      <c r="AA3" s="2041"/>
      <c r="AB3" s="2041"/>
      <c r="AC3" s="1192"/>
    </row>
    <row r="4" spans="1:29" ht="15">
      <c r="A4" s="361" t="s">
        <v>2297</v>
      </c>
      <c r="B4" s="362"/>
      <c r="C4" s="3471" t="s">
        <v>2298</v>
      </c>
      <c r="D4" s="3472"/>
      <c r="E4" s="3473" t="s">
        <v>2299</v>
      </c>
      <c r="F4" s="3474"/>
      <c r="G4" s="3471" t="s">
        <v>2300</v>
      </c>
      <c r="H4" s="3472"/>
      <c r="I4" s="3471" t="s">
        <v>2301</v>
      </c>
      <c r="J4" s="3472"/>
      <c r="K4" s="2044" t="s">
        <v>2302</v>
      </c>
      <c r="L4" s="2909"/>
      <c r="M4" s="2910"/>
      <c r="N4" s="2910"/>
      <c r="O4" s="2910"/>
      <c r="P4" s="3475" t="s">
        <v>2303</v>
      </c>
      <c r="Q4" s="3476"/>
      <c r="R4" s="3458" t="s">
        <v>2299</v>
      </c>
      <c r="S4" s="3459"/>
      <c r="T4" s="3458" t="s">
        <v>2300</v>
      </c>
      <c r="U4" s="3459"/>
      <c r="V4" s="3483" t="s">
        <v>2301</v>
      </c>
      <c r="W4" s="3483"/>
      <c r="X4" s="1509"/>
      <c r="Y4" s="3458" t="s">
        <v>2303</v>
      </c>
      <c r="Z4" s="3459"/>
      <c r="AA4" s="3453" t="s">
        <v>2299</v>
      </c>
      <c r="AB4" s="3453" t="s">
        <v>2300</v>
      </c>
      <c r="AC4" s="3453" t="s">
        <v>2301</v>
      </c>
    </row>
    <row r="5" spans="1:29" ht="15">
      <c r="A5" s="364"/>
      <c r="B5" s="365"/>
      <c r="C5" s="3464" t="s">
        <v>2304</v>
      </c>
      <c r="D5" s="3465"/>
      <c r="E5" s="3462" t="s">
        <v>2305</v>
      </c>
      <c r="F5" s="3463"/>
      <c r="G5" s="3464" t="s">
        <v>2306</v>
      </c>
      <c r="H5" s="3465"/>
      <c r="I5" s="3464" t="s">
        <v>2307</v>
      </c>
      <c r="J5" s="3465"/>
      <c r="K5" s="2045"/>
      <c r="L5" s="2909"/>
      <c r="M5" s="2910"/>
      <c r="N5" s="2910"/>
      <c r="O5" s="2910"/>
      <c r="P5" s="3477"/>
      <c r="Q5" s="3478"/>
      <c r="R5" s="3460"/>
      <c r="S5" s="3461"/>
      <c r="T5" s="3460"/>
      <c r="U5" s="3461"/>
      <c r="V5" s="3483"/>
      <c r="W5" s="3483"/>
      <c r="X5" s="1509"/>
      <c r="Y5" s="3460"/>
      <c r="Z5" s="3461"/>
      <c r="AA5" s="3454"/>
      <c r="AB5" s="3454"/>
      <c r="AC5" s="3454"/>
    </row>
    <row r="6" spans="1:29" ht="15.75" thickBot="1">
      <c r="A6" s="366"/>
      <c r="B6" s="367"/>
      <c r="C6" s="3466" t="s">
        <v>2308</v>
      </c>
      <c r="D6" s="3467"/>
      <c r="E6" s="3468" t="s">
        <v>2308</v>
      </c>
      <c r="F6" s="3469"/>
      <c r="G6" s="3466" t="s">
        <v>2308</v>
      </c>
      <c r="H6" s="3467"/>
      <c r="I6" s="3466" t="s">
        <v>2308</v>
      </c>
      <c r="J6" s="3467"/>
      <c r="K6" s="2045" t="s">
        <v>2309</v>
      </c>
      <c r="L6" s="2909"/>
      <c r="M6" s="2910"/>
      <c r="N6" s="2910"/>
      <c r="O6" s="2910"/>
      <c r="P6" s="3479"/>
      <c r="Q6" s="3480"/>
      <c r="R6" s="3460"/>
      <c r="S6" s="3461"/>
      <c r="T6" s="3481"/>
      <c r="U6" s="3482"/>
      <c r="V6" s="3483"/>
      <c r="W6" s="3483"/>
      <c r="X6" s="1509"/>
      <c r="Y6" s="3481"/>
      <c r="Z6" s="3482"/>
      <c r="AA6" s="3455"/>
      <c r="AB6" s="3455"/>
      <c r="AC6" s="3455"/>
    </row>
    <row r="7" spans="1:29" s="113" customFormat="1" ht="15.75" thickBot="1">
      <c r="A7" s="368" t="s">
        <v>2310</v>
      </c>
      <c r="B7" s="369"/>
      <c r="C7" s="370">
        <f>'数据-取费表'!B2</f>
        <v>44623</v>
      </c>
      <c r="D7" s="371">
        <v>100</v>
      </c>
      <c r="E7" s="372"/>
      <c r="F7" s="373">
        <f>SUMIF(58:58,YEAR(E7)&amp;"-"&amp;MONTH(E7),59:59)</f>
        <v>0</v>
      </c>
      <c r="G7" s="372"/>
      <c r="H7" s="371">
        <f>SUMIF(58:58,YEAR(G7)&amp;"-"&amp;MONTH(G7),59:59)</f>
        <v>0</v>
      </c>
      <c r="I7" s="372"/>
      <c r="J7" s="371">
        <f>SUMIF(58:58,YEAR(I7)&amp;"-"&amp;MONTH(I7),59:59)</f>
        <v>0</v>
      </c>
      <c r="K7" s="2046"/>
      <c r="L7" s="2911"/>
      <c r="M7" s="2912"/>
      <c r="N7" s="2912"/>
      <c r="O7" s="2912"/>
      <c r="P7" s="3456" t="s">
        <v>2311</v>
      </c>
      <c r="Q7" s="3484"/>
      <c r="R7" s="710" t="s">
        <v>23</v>
      </c>
      <c r="S7" s="711">
        <f t="shared" ref="S7:S15" si="0">F7</f>
        <v>0</v>
      </c>
      <c r="T7" s="710" t="s">
        <v>23</v>
      </c>
      <c r="U7" s="711">
        <f t="shared" ref="U7:U15" si="1">H7</f>
        <v>0</v>
      </c>
      <c r="V7" s="710" t="s">
        <v>23</v>
      </c>
      <c r="W7" s="711">
        <f t="shared" ref="W7:W15" si="2">J7</f>
        <v>0</v>
      </c>
      <c r="X7" s="712"/>
      <c r="Y7" s="3456" t="s">
        <v>2311</v>
      </c>
      <c r="Z7" s="3457"/>
      <c r="AA7" s="713" t="e">
        <f>D7/F7</f>
        <v>#DIV/0!</v>
      </c>
      <c r="AB7" s="713" t="e">
        <f>D7/H7</f>
        <v>#DIV/0!</v>
      </c>
      <c r="AC7" s="713" t="e">
        <f>D7/J7</f>
        <v>#DIV/0!</v>
      </c>
    </row>
    <row r="8" spans="1:29" s="113" customFormat="1" ht="15.75" thickBot="1">
      <c r="A8" s="368" t="s">
        <v>2312</v>
      </c>
      <c r="B8" s="369"/>
      <c r="C8" s="374" t="s">
        <v>2313</v>
      </c>
      <c r="D8" s="371">
        <v>100</v>
      </c>
      <c r="E8" s="2047"/>
      <c r="F8" s="373">
        <f>SUMIF(61:61,E8,62:62)-SUMIF(61:61,C8,62:62)+100</f>
        <v>0</v>
      </c>
      <c r="G8" s="374"/>
      <c r="H8" s="371">
        <f>SUMIF(61:61,G8,62:62)-SUMIF(61:61,C8,62:62)+100</f>
        <v>0</v>
      </c>
      <c r="I8" s="2047"/>
      <c r="J8" s="371">
        <f>SUMIF(61:61,I8,62:62)-SUMIF(61:61,C8,62:62)+100</f>
        <v>0</v>
      </c>
      <c r="K8" s="2046"/>
      <c r="L8" s="2911"/>
      <c r="M8" s="2912"/>
      <c r="N8" s="2912"/>
      <c r="O8" s="2912"/>
      <c r="P8" s="3456" t="s">
        <v>2314</v>
      </c>
      <c r="Q8" s="3457"/>
      <c r="R8" s="710" t="s">
        <v>23</v>
      </c>
      <c r="S8" s="711">
        <f t="shared" si="0"/>
        <v>0</v>
      </c>
      <c r="T8" s="710" t="s">
        <v>23</v>
      </c>
      <c r="U8" s="711">
        <f t="shared" si="1"/>
        <v>0</v>
      </c>
      <c r="V8" s="710" t="s">
        <v>23</v>
      </c>
      <c r="W8" s="711">
        <f t="shared" si="2"/>
        <v>0</v>
      </c>
      <c r="X8" s="712"/>
      <c r="Y8" s="3456" t="s">
        <v>2314</v>
      </c>
      <c r="Z8" s="3457"/>
      <c r="AA8" s="713" t="e">
        <f t="shared" ref="AA8:AA19" si="3">D8/F8</f>
        <v>#DIV/0!</v>
      </c>
      <c r="AB8" s="713" t="e">
        <f t="shared" ref="AB8:AB19" si="4">D8/H8</f>
        <v>#DIV/0!</v>
      </c>
      <c r="AC8" s="713" t="e">
        <f t="shared" ref="AC8:AC19" si="5">D8/J8</f>
        <v>#DIV/0!</v>
      </c>
    </row>
    <row r="9" spans="1:29" s="113" customFormat="1">
      <c r="A9" s="375" t="s">
        <v>2315</v>
      </c>
      <c r="B9" s="67" t="s">
        <v>2316</v>
      </c>
      <c r="C9" s="376"/>
      <c r="D9" s="131">
        <v>100</v>
      </c>
      <c r="E9" s="377"/>
      <c r="F9" s="378">
        <f>SUMIF(63:63,E9,64:64)-SUMIF(63:63,C9,64:64)+100</f>
        <v>100</v>
      </c>
      <c r="G9" s="379"/>
      <c r="H9" s="131">
        <f>SUMIF(63:63,G9,64:64)-SUMIF(63:63,C9,64:64)+100</f>
        <v>100</v>
      </c>
      <c r="I9" s="379"/>
      <c r="J9" s="131">
        <f>SUMIF(63:63,I9,64:64)-SUMIF(63:63,C9,64:64)+100</f>
        <v>100</v>
      </c>
      <c r="K9" s="2046"/>
      <c r="L9" s="2911"/>
      <c r="M9" s="2912"/>
      <c r="N9" s="2912"/>
      <c r="O9" s="2912"/>
      <c r="P9" s="3494"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94"/>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2320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94"/>
      <c r="Q11" s="1497" t="str">
        <f t="shared" si="6"/>
        <v>容积率</v>
      </c>
      <c r="R11" s="710" t="s">
        <v>21</v>
      </c>
      <c r="S11" s="711" t="e">
        <f t="shared" si="0"/>
        <v>#N/A</v>
      </c>
      <c r="T11" s="710" t="s">
        <v>21</v>
      </c>
      <c r="U11" s="711" t="e">
        <f t="shared" si="1"/>
        <v>#N/A</v>
      </c>
      <c r="V11" s="710" t="s">
        <v>21</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1"/>
      <c r="M12" s="2912"/>
      <c r="N12" s="2912"/>
      <c r="O12" s="2912"/>
      <c r="P12" s="3494"/>
      <c r="Q12" s="1497">
        <f t="shared" si="6"/>
        <v>111</v>
      </c>
      <c r="R12" s="710" t="s">
        <v>21</v>
      </c>
      <c r="S12" s="711">
        <f t="shared" si="0"/>
        <v>100</v>
      </c>
      <c r="T12" s="710" t="s">
        <v>21</v>
      </c>
      <c r="U12" s="711">
        <f t="shared" si="1"/>
        <v>100</v>
      </c>
      <c r="V12" s="710" t="s">
        <v>21</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6"/>
      <c r="M13" s="2910"/>
      <c r="N13" s="2910"/>
      <c r="O13" s="2910"/>
      <c r="P13" s="3494"/>
      <c r="Q13" s="1497">
        <f t="shared" si="6"/>
        <v>111</v>
      </c>
      <c r="R13" s="710" t="s">
        <v>21</v>
      </c>
      <c r="S13" s="711">
        <f t="shared" si="0"/>
        <v>100</v>
      </c>
      <c r="T13" s="710" t="s">
        <v>21</v>
      </c>
      <c r="U13" s="711">
        <f t="shared" si="1"/>
        <v>100</v>
      </c>
      <c r="V13" s="710" t="s">
        <v>21</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6"/>
      <c r="M14" s="2910"/>
      <c r="N14" s="2910"/>
      <c r="O14" s="2910"/>
      <c r="P14" s="3494"/>
      <c r="Q14" s="1497">
        <f t="shared" si="6"/>
        <v>111</v>
      </c>
      <c r="R14" s="710" t="s">
        <v>21</v>
      </c>
      <c r="S14" s="711">
        <f t="shared" si="0"/>
        <v>100</v>
      </c>
      <c r="T14" s="710" t="s">
        <v>21</v>
      </c>
      <c r="U14" s="711">
        <f t="shared" si="1"/>
        <v>100</v>
      </c>
      <c r="V14" s="710" t="s">
        <v>21</v>
      </c>
      <c r="W14" s="711">
        <f t="shared" si="2"/>
        <v>100</v>
      </c>
      <c r="X14" s="712"/>
      <c r="Y14" s="3429"/>
      <c r="Z14" s="55">
        <f t="shared" si="7"/>
        <v>111</v>
      </c>
      <c r="AA14" s="713">
        <f t="shared" si="3"/>
        <v>1</v>
      </c>
      <c r="AB14" s="713">
        <f t="shared" si="4"/>
        <v>1</v>
      </c>
      <c r="AC14" s="713">
        <f t="shared" si="5"/>
        <v>1</v>
      </c>
    </row>
    <row r="15" spans="1:29" ht="99.75">
      <c r="A15" s="399" t="s">
        <v>2321</v>
      </c>
      <c r="B15" s="65" t="s">
        <v>1884</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531" t="s">
        <v>2322</v>
      </c>
      <c r="Q15" s="1506" t="str">
        <f t="shared" si="6"/>
        <v>居住社区成熟度</v>
      </c>
      <c r="R15" s="714" t="s">
        <v>21</v>
      </c>
      <c r="S15" s="715">
        <f t="shared" si="0"/>
        <v>100</v>
      </c>
      <c r="T15" s="714" t="s">
        <v>21</v>
      </c>
      <c r="U15" s="715">
        <f t="shared" si="1"/>
        <v>100</v>
      </c>
      <c r="V15" s="714" t="s">
        <v>21</v>
      </c>
      <c r="W15" s="715">
        <f t="shared" si="2"/>
        <v>100</v>
      </c>
      <c r="X15" s="1509"/>
      <c r="Y15" s="3485" t="s">
        <v>2322</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16"/>
      <c r="M16" s="2910"/>
      <c r="N16" s="2910"/>
      <c r="O16" s="2910"/>
      <c r="P16" s="3532"/>
      <c r="Q16" s="1506"/>
      <c r="R16" s="714"/>
      <c r="S16" s="715"/>
      <c r="T16" s="714"/>
      <c r="U16" s="715"/>
      <c r="V16" s="714"/>
      <c r="W16" s="715"/>
      <c r="X16" s="1509"/>
      <c r="Y16" s="3486"/>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532"/>
      <c r="Q17" s="1506" t="str">
        <f>B17</f>
        <v>交通便捷度</v>
      </c>
      <c r="R17" s="714" t="s">
        <v>21</v>
      </c>
      <c r="S17" s="715">
        <f>F17</f>
        <v>100</v>
      </c>
      <c r="T17" s="714" t="s">
        <v>21</v>
      </c>
      <c r="U17" s="715">
        <f>H17</f>
        <v>100</v>
      </c>
      <c r="V17" s="714" t="s">
        <v>21</v>
      </c>
      <c r="W17" s="715">
        <f>J17</f>
        <v>100</v>
      </c>
      <c r="X17" s="1509"/>
      <c r="Y17" s="3486"/>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16"/>
      <c r="M18" s="2910"/>
      <c r="N18" s="2910"/>
      <c r="O18" s="2910"/>
      <c r="P18" s="3532"/>
      <c r="Q18" s="1506"/>
      <c r="R18" s="714"/>
      <c r="S18" s="715"/>
      <c r="T18" s="714"/>
      <c r="U18" s="715"/>
      <c r="V18" s="714"/>
      <c r="W18" s="715"/>
      <c r="X18" s="1509"/>
      <c r="Y18" s="3486"/>
      <c r="Z18" s="1510"/>
      <c r="AA18" s="1507">
        <v>1</v>
      </c>
      <c r="AB18" s="1507">
        <v>1</v>
      </c>
      <c r="AC18" s="1507">
        <v>1</v>
      </c>
    </row>
    <row r="19" spans="1:29" ht="42.75">
      <c r="A19" s="387"/>
      <c r="B19" s="410" t="s">
        <v>1885</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532"/>
      <c r="Q19" s="1506" t="str">
        <f>B19</f>
        <v>公共配套设施</v>
      </c>
      <c r="R19" s="714" t="s">
        <v>21</v>
      </c>
      <c r="S19" s="715">
        <f>F19</f>
        <v>100</v>
      </c>
      <c r="T19" s="714" t="s">
        <v>21</v>
      </c>
      <c r="U19" s="715">
        <f>H19</f>
        <v>100</v>
      </c>
      <c r="V19" s="714" t="s">
        <v>21</v>
      </c>
      <c r="W19" s="715">
        <f>J19</f>
        <v>100</v>
      </c>
      <c r="X19" s="1509"/>
      <c r="Y19" s="3486"/>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16"/>
      <c r="M20" s="2910"/>
      <c r="N20" s="2910"/>
      <c r="O20" s="2910"/>
      <c r="P20" s="3532"/>
      <c r="Q20" s="1506"/>
      <c r="R20" s="714"/>
      <c r="S20" s="715"/>
      <c r="T20" s="714"/>
      <c r="U20" s="715"/>
      <c r="V20" s="714"/>
      <c r="W20" s="715"/>
      <c r="X20" s="1509"/>
      <c r="Y20" s="3486"/>
      <c r="Z20" s="1510"/>
      <c r="AA20" s="1507">
        <v>1</v>
      </c>
      <c r="AB20" s="1507">
        <v>1</v>
      </c>
      <c r="AC20" s="1507">
        <v>1</v>
      </c>
    </row>
    <row r="21" spans="1:29" ht="28.5">
      <c r="A21" s="387"/>
      <c r="B21" s="1265" t="s">
        <v>1887</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532"/>
      <c r="Q21" s="1506" t="str">
        <f>B21</f>
        <v>基础设施水平</v>
      </c>
      <c r="R21" s="714" t="s">
        <v>17</v>
      </c>
      <c r="S21" s="715">
        <f>F21</f>
        <v>100</v>
      </c>
      <c r="T21" s="714" t="s">
        <v>17</v>
      </c>
      <c r="U21" s="715">
        <f>H21</f>
        <v>100</v>
      </c>
      <c r="V21" s="714" t="s">
        <v>17</v>
      </c>
      <c r="W21" s="715">
        <f>J21</f>
        <v>100</v>
      </c>
      <c r="X21" s="1509"/>
      <c r="Y21" s="3486"/>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16"/>
      <c r="M22" s="2910"/>
      <c r="N22" s="2910"/>
      <c r="O22" s="2910"/>
      <c r="P22" s="3532"/>
      <c r="Q22" s="1506"/>
      <c r="R22" s="714"/>
      <c r="S22" s="715"/>
      <c r="T22" s="714"/>
      <c r="U22" s="715"/>
      <c r="V22" s="714"/>
      <c r="W22" s="715"/>
      <c r="X22" s="1509"/>
      <c r="Y22" s="3486"/>
      <c r="Z22" s="1510"/>
      <c r="AA22" s="1507">
        <v>1</v>
      </c>
      <c r="AB22" s="1507">
        <v>1</v>
      </c>
      <c r="AC22" s="1507">
        <v>1</v>
      </c>
    </row>
    <row r="23" spans="1:29" ht="57">
      <c r="A23" s="387"/>
      <c r="B23" s="410" t="s">
        <v>1888</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532"/>
      <c r="Q23" s="1506" t="str">
        <f>B23</f>
        <v>自然及人文环境</v>
      </c>
      <c r="R23" s="714" t="s">
        <v>21</v>
      </c>
      <c r="S23" s="715">
        <f>F23</f>
        <v>100</v>
      </c>
      <c r="T23" s="714" t="s">
        <v>21</v>
      </c>
      <c r="U23" s="715">
        <f>H23</f>
        <v>100</v>
      </c>
      <c r="V23" s="714" t="s">
        <v>21</v>
      </c>
      <c r="W23" s="715">
        <f>J23</f>
        <v>100</v>
      </c>
      <c r="X23" s="1509"/>
      <c r="Y23" s="3486"/>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16"/>
      <c r="M24" s="2910"/>
      <c r="N24" s="2910"/>
      <c r="O24" s="2910"/>
      <c r="P24" s="3532"/>
      <c r="Q24" s="1506"/>
      <c r="R24" s="714"/>
      <c r="S24" s="715"/>
      <c r="T24" s="714"/>
      <c r="U24" s="715"/>
      <c r="V24" s="714"/>
      <c r="W24" s="715"/>
      <c r="X24" s="1509"/>
      <c r="Y24" s="3486"/>
      <c r="Z24" s="1510"/>
      <c r="AA24" s="1507">
        <v>1</v>
      </c>
      <c r="AB24" s="1507">
        <v>1</v>
      </c>
      <c r="AC24" s="1507">
        <v>1</v>
      </c>
    </row>
    <row r="25" spans="1:29" ht="15">
      <c r="A25" s="387"/>
      <c r="B25" s="381" t="s">
        <v>2323</v>
      </c>
      <c r="C25" s="419"/>
      <c r="D25" s="394">
        <v>100</v>
      </c>
      <c r="E25" s="2061"/>
      <c r="F25" s="394">
        <f>SUMIF(86:86,E25,87:87)-SUMIF(86:86,C25,87:87)+100</f>
        <v>100</v>
      </c>
      <c r="G25" s="2062"/>
      <c r="H25" s="394">
        <f>SUMIF(86:86,G25,87:87)-SUMIF(86:86,C25,87:87)+100</f>
        <v>100</v>
      </c>
      <c r="I25" s="2062"/>
      <c r="J25" s="394">
        <f>SUMIF(86:86,I25,87:87)-SUMIF(86:86,C25,87:87)+100</f>
        <v>100</v>
      </c>
      <c r="K25" s="385"/>
      <c r="L25" s="2916"/>
      <c r="M25" s="2910"/>
      <c r="N25" s="2910"/>
      <c r="O25" s="2910"/>
      <c r="P25" s="353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6"/>
      <c r="Z25" s="1510" t="str">
        <f>Q25</f>
        <v>楼层-1</v>
      </c>
      <c r="AA25" s="1507">
        <f t="shared" ref="AA25:AA46" si="15">D25/F25</f>
        <v>1</v>
      </c>
      <c r="AB25" s="1507">
        <f t="shared" ref="AB25:AB46" si="16">D25/H25</f>
        <v>1</v>
      </c>
      <c r="AC25" s="1507">
        <f t="shared" ref="AC25:AC46" si="17">D25/J25</f>
        <v>1</v>
      </c>
    </row>
    <row r="26" spans="1:29" ht="15">
      <c r="A26" s="387"/>
      <c r="B26" s="381" t="s">
        <v>2324</v>
      </c>
      <c r="C26" s="419"/>
      <c r="D26" s="394">
        <v>100</v>
      </c>
      <c r="E26" s="2061"/>
      <c r="F26" s="394">
        <f>SUMIF(88:88,E26,89:89)-SUMIF(88:88,C26,89:89)+100</f>
        <v>100</v>
      </c>
      <c r="G26" s="2062"/>
      <c r="H26" s="394">
        <f>SUMIF(88:88,G26,89:89)-SUMIF(88:88,C26,89:89)+100</f>
        <v>100</v>
      </c>
      <c r="I26" s="2062"/>
      <c r="J26" s="394">
        <f>SUMIF(88:88,I26,89:89)-SUMIF(88:88,C26,89:89)+100</f>
        <v>100</v>
      </c>
      <c r="K26" s="385"/>
      <c r="L26" s="2916"/>
      <c r="M26" s="2910"/>
      <c r="N26" s="2910"/>
      <c r="O26" s="2910"/>
      <c r="P26" s="3532"/>
      <c r="Q26" s="1506" t="str">
        <f t="shared" si="11"/>
        <v>朝向</v>
      </c>
      <c r="R26" s="714" t="s">
        <v>21</v>
      </c>
      <c r="S26" s="715">
        <f t="shared" si="12"/>
        <v>100</v>
      </c>
      <c r="T26" s="714" t="s">
        <v>21</v>
      </c>
      <c r="U26" s="715">
        <f t="shared" si="13"/>
        <v>100</v>
      </c>
      <c r="V26" s="714" t="s">
        <v>21</v>
      </c>
      <c r="W26" s="715">
        <f t="shared" si="14"/>
        <v>100</v>
      </c>
      <c r="X26" s="1509"/>
      <c r="Y26" s="348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1"/>
      <c r="M27" s="2912"/>
      <c r="N27" s="2912"/>
      <c r="O27" s="2912"/>
      <c r="P27" s="3532"/>
      <c r="Q27" s="1497">
        <f t="shared" si="11"/>
        <v>111</v>
      </c>
      <c r="R27" s="710" t="s">
        <v>21</v>
      </c>
      <c r="S27" s="711">
        <f t="shared" si="12"/>
        <v>100</v>
      </c>
      <c r="T27" s="710" t="s">
        <v>21</v>
      </c>
      <c r="U27" s="711">
        <f t="shared" si="13"/>
        <v>100</v>
      </c>
      <c r="V27" s="710" t="s">
        <v>21</v>
      </c>
      <c r="W27" s="711">
        <f t="shared" si="14"/>
        <v>100</v>
      </c>
      <c r="X27" s="712"/>
      <c r="Y27" s="348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6"/>
      <c r="M28" s="2910"/>
      <c r="N28" s="2910"/>
      <c r="O28" s="2910"/>
      <c r="P28" s="3532"/>
      <c r="Q28" s="1506">
        <f t="shared" si="11"/>
        <v>111</v>
      </c>
      <c r="R28" s="714" t="s">
        <v>21</v>
      </c>
      <c r="S28" s="715">
        <f t="shared" si="12"/>
        <v>100</v>
      </c>
      <c r="T28" s="714" t="s">
        <v>21</v>
      </c>
      <c r="U28" s="715">
        <f t="shared" si="13"/>
        <v>100</v>
      </c>
      <c r="V28" s="714" t="s">
        <v>21</v>
      </c>
      <c r="W28" s="715">
        <f t="shared" si="14"/>
        <v>100</v>
      </c>
      <c r="X28" s="1509"/>
      <c r="Y28" s="348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6"/>
      <c r="M29" s="2910"/>
      <c r="N29" s="2910"/>
      <c r="O29" s="2910"/>
      <c r="P29" s="3532"/>
      <c r="Q29" s="1506">
        <f t="shared" si="11"/>
        <v>111</v>
      </c>
      <c r="R29" s="714" t="s">
        <v>21</v>
      </c>
      <c r="S29" s="715">
        <f t="shared" si="12"/>
        <v>100</v>
      </c>
      <c r="T29" s="714" t="s">
        <v>21</v>
      </c>
      <c r="U29" s="715">
        <f t="shared" si="13"/>
        <v>100</v>
      </c>
      <c r="V29" s="714" t="s">
        <v>21</v>
      </c>
      <c r="W29" s="715">
        <f t="shared" si="14"/>
        <v>100</v>
      </c>
      <c r="X29" s="1509"/>
      <c r="Y29" s="348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6"/>
      <c r="M30" s="2910"/>
      <c r="N30" s="2910"/>
      <c r="O30" s="2910"/>
      <c r="P30" s="3532"/>
      <c r="Q30" s="1506">
        <f t="shared" si="11"/>
        <v>111</v>
      </c>
      <c r="R30" s="714" t="s">
        <v>21</v>
      </c>
      <c r="S30" s="715">
        <f t="shared" si="12"/>
        <v>100</v>
      </c>
      <c r="T30" s="714" t="s">
        <v>21</v>
      </c>
      <c r="U30" s="715">
        <f t="shared" si="13"/>
        <v>100</v>
      </c>
      <c r="V30" s="714" t="s">
        <v>21</v>
      </c>
      <c r="W30" s="715">
        <f t="shared" si="14"/>
        <v>100</v>
      </c>
      <c r="X30" s="1509"/>
      <c r="Y30" s="348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6"/>
      <c r="M31" s="2910"/>
      <c r="N31" s="2910"/>
      <c r="O31" s="2910"/>
      <c r="P31" s="3532"/>
      <c r="Q31" s="1506">
        <f t="shared" si="11"/>
        <v>111</v>
      </c>
      <c r="R31" s="714" t="s">
        <v>21</v>
      </c>
      <c r="S31" s="715">
        <f t="shared" si="12"/>
        <v>100</v>
      </c>
      <c r="T31" s="714" t="s">
        <v>21</v>
      </c>
      <c r="U31" s="715">
        <f t="shared" si="13"/>
        <v>100</v>
      </c>
      <c r="V31" s="714" t="s">
        <v>21</v>
      </c>
      <c r="W31" s="715">
        <f t="shared" si="14"/>
        <v>100</v>
      </c>
      <c r="X31" s="1509"/>
      <c r="Y31" s="3486"/>
      <c r="Z31" s="1510">
        <f t="shared" si="18"/>
        <v>111</v>
      </c>
      <c r="AA31" s="1507">
        <f t="shared" si="15"/>
        <v>1</v>
      </c>
      <c r="AB31" s="1507">
        <f t="shared" si="16"/>
        <v>1</v>
      </c>
      <c r="AC31" s="1507">
        <f t="shared" si="17"/>
        <v>1</v>
      </c>
    </row>
    <row r="32" spans="1:29" ht="15">
      <c r="A32" s="399" t="s">
        <v>2325</v>
      </c>
      <c r="B32" s="67" t="s">
        <v>2326</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6"/>
      <c r="M32" s="2910"/>
      <c r="N32" s="2910"/>
      <c r="O32" s="2910"/>
      <c r="P32" s="3527" t="s">
        <v>2327</v>
      </c>
      <c r="Q32" s="1506" t="str">
        <f t="shared" si="11"/>
        <v>建筑类型</v>
      </c>
      <c r="R32" s="714" t="s">
        <v>21</v>
      </c>
      <c r="S32" s="715">
        <f t="shared" si="12"/>
        <v>100</v>
      </c>
      <c r="T32" s="714" t="s">
        <v>21</v>
      </c>
      <c r="U32" s="715">
        <f t="shared" si="13"/>
        <v>100</v>
      </c>
      <c r="V32" s="714" t="s">
        <v>21</v>
      </c>
      <c r="W32" s="715">
        <f t="shared" si="14"/>
        <v>100</v>
      </c>
      <c r="X32" s="1509"/>
      <c r="Y32" s="3488" t="s">
        <v>2327</v>
      </c>
      <c r="Z32" s="1510" t="str">
        <f t="shared" si="18"/>
        <v>建筑类型</v>
      </c>
      <c r="AA32" s="1507">
        <f t="shared" si="15"/>
        <v>1</v>
      </c>
      <c r="AB32" s="1507">
        <f t="shared" si="16"/>
        <v>1</v>
      </c>
      <c r="AC32" s="1507">
        <f t="shared" si="17"/>
        <v>1</v>
      </c>
    </row>
    <row r="33" spans="1:29" s="430" customFormat="1" ht="15">
      <c r="A33" s="427"/>
      <c r="B33" s="381" t="s">
        <v>2328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5"/>
      <c r="M33" s="2917"/>
      <c r="N33" s="2917"/>
      <c r="O33" s="2917"/>
      <c r="P33" s="3528"/>
      <c r="Q33" s="716" t="str">
        <f t="shared" si="11"/>
        <v>项目建筑规模</v>
      </c>
      <c r="R33" s="717" t="s">
        <v>21</v>
      </c>
      <c r="S33" s="718" t="e">
        <f t="shared" si="12"/>
        <v>#N/A</v>
      </c>
      <c r="T33" s="717" t="s">
        <v>21</v>
      </c>
      <c r="U33" s="718" t="e">
        <f t="shared" si="13"/>
        <v>#N/A</v>
      </c>
      <c r="V33" s="717" t="s">
        <v>21</v>
      </c>
      <c r="W33" s="718" t="e">
        <f t="shared" si="14"/>
        <v>#N/A</v>
      </c>
      <c r="X33" s="719"/>
      <c r="Y33" s="3488"/>
      <c r="Z33" s="720" t="str">
        <f t="shared" si="18"/>
        <v>项目建筑规模</v>
      </c>
      <c r="AA33" s="1507" t="e">
        <f t="shared" si="15"/>
        <v>#N/A</v>
      </c>
      <c r="AB33" s="1507" t="e">
        <f t="shared" si="16"/>
        <v>#N/A</v>
      </c>
      <c r="AC33" s="1507" t="e">
        <f t="shared" si="17"/>
        <v>#N/A</v>
      </c>
    </row>
    <row r="34" spans="1:29" ht="15">
      <c r="A34" s="431"/>
      <c r="B34" s="381" t="s">
        <v>2329</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6"/>
      <c r="M34" s="2910"/>
      <c r="N34" s="2910"/>
      <c r="O34" s="2910"/>
      <c r="P34" s="3528"/>
      <c r="Q34" s="1506" t="str">
        <f t="shared" si="11"/>
        <v>建筑结构</v>
      </c>
      <c r="R34" s="714" t="s">
        <v>21</v>
      </c>
      <c r="S34" s="715">
        <f t="shared" si="12"/>
        <v>100</v>
      </c>
      <c r="T34" s="714" t="s">
        <v>21</v>
      </c>
      <c r="U34" s="715">
        <f t="shared" si="13"/>
        <v>100</v>
      </c>
      <c r="V34" s="714" t="s">
        <v>21</v>
      </c>
      <c r="W34" s="715">
        <f t="shared" si="14"/>
        <v>100</v>
      </c>
      <c r="X34" s="1509"/>
      <c r="Y34" s="3488"/>
      <c r="Z34" s="1510" t="str">
        <f t="shared" si="18"/>
        <v>建筑结构</v>
      </c>
      <c r="AA34" s="1507">
        <f t="shared" si="15"/>
        <v>1</v>
      </c>
      <c r="AB34" s="1507">
        <f t="shared" si="16"/>
        <v>1</v>
      </c>
      <c r="AC34" s="1507">
        <f t="shared" si="17"/>
        <v>1</v>
      </c>
    </row>
    <row r="35" spans="1:29" ht="15">
      <c r="A35" s="431"/>
      <c r="B35" s="381" t="s">
        <v>2330</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6"/>
      <c r="M35" s="2910"/>
      <c r="N35" s="2910"/>
      <c r="O35" s="2910"/>
      <c r="P35" s="3528"/>
      <c r="Q35" s="1506" t="str">
        <f t="shared" si="11"/>
        <v>建筑品质</v>
      </c>
      <c r="R35" s="714" t="s">
        <v>21</v>
      </c>
      <c r="S35" s="715">
        <f t="shared" si="12"/>
        <v>100</v>
      </c>
      <c r="T35" s="714" t="s">
        <v>21</v>
      </c>
      <c r="U35" s="715">
        <f t="shared" si="13"/>
        <v>100</v>
      </c>
      <c r="V35" s="714" t="s">
        <v>21</v>
      </c>
      <c r="W35" s="715">
        <f t="shared" si="14"/>
        <v>100</v>
      </c>
      <c r="X35" s="1509"/>
      <c r="Y35" s="3488"/>
      <c r="Z35" s="1510" t="str">
        <f t="shared" si="18"/>
        <v>建筑品质</v>
      </c>
      <c r="AA35" s="1507">
        <f t="shared" si="15"/>
        <v>1</v>
      </c>
      <c r="AB35" s="1507">
        <f t="shared" si="16"/>
        <v>1</v>
      </c>
      <c r="AC35" s="1507">
        <f t="shared" si="17"/>
        <v>1</v>
      </c>
    </row>
    <row r="36" spans="1:29" ht="15">
      <c r="A36" s="431"/>
      <c r="B36" s="381" t="s">
        <v>2331</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6"/>
      <c r="M36" s="2910"/>
      <c r="N36" s="2910"/>
      <c r="O36" s="2910"/>
      <c r="P36" s="3528"/>
      <c r="Q36" s="1506" t="str">
        <f t="shared" si="11"/>
        <v>公共部分装修</v>
      </c>
      <c r="R36" s="714" t="s">
        <v>21</v>
      </c>
      <c r="S36" s="715">
        <f t="shared" si="12"/>
        <v>100</v>
      </c>
      <c r="T36" s="714" t="s">
        <v>21</v>
      </c>
      <c r="U36" s="715">
        <f t="shared" si="13"/>
        <v>100</v>
      </c>
      <c r="V36" s="714" t="s">
        <v>21</v>
      </c>
      <c r="W36" s="715">
        <f t="shared" si="14"/>
        <v>100</v>
      </c>
      <c r="X36" s="1509"/>
      <c r="Y36" s="3488"/>
      <c r="Z36" s="1510" t="str">
        <f t="shared" si="18"/>
        <v>公共部分装修</v>
      </c>
      <c r="AA36" s="1507">
        <f t="shared" si="15"/>
        <v>1</v>
      </c>
      <c r="AB36" s="1507">
        <f t="shared" si="16"/>
        <v>1</v>
      </c>
      <c r="AC36" s="1507">
        <f t="shared" si="17"/>
        <v>1</v>
      </c>
    </row>
    <row r="37" spans="1:29" s="113" customFormat="1" ht="15">
      <c r="A37" s="432"/>
      <c r="B37" s="381" t="s">
        <v>2332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528"/>
      <c r="Q37" s="1497" t="str">
        <f t="shared" si="11"/>
        <v>成新度</v>
      </c>
      <c r="R37" s="710" t="s">
        <v>21</v>
      </c>
      <c r="S37" s="711" t="e">
        <f t="shared" si="12"/>
        <v>#N/A</v>
      </c>
      <c r="T37" s="710" t="s">
        <v>21</v>
      </c>
      <c r="U37" s="711" t="e">
        <f t="shared" si="13"/>
        <v>#N/A</v>
      </c>
      <c r="V37" s="710" t="s">
        <v>21</v>
      </c>
      <c r="W37" s="711" t="e">
        <f t="shared" si="14"/>
        <v>#N/A</v>
      </c>
      <c r="X37" s="712"/>
      <c r="Y37" s="3488"/>
      <c r="Z37" s="55" t="str">
        <f t="shared" si="18"/>
        <v>成新度</v>
      </c>
      <c r="AA37" s="713" t="e">
        <f t="shared" si="15"/>
        <v>#N/A</v>
      </c>
      <c r="AB37" s="713" t="e">
        <f t="shared" si="16"/>
        <v>#N/A</v>
      </c>
      <c r="AC37" s="713" t="e">
        <f t="shared" si="17"/>
        <v>#N/A</v>
      </c>
    </row>
    <row r="38" spans="1:29" ht="15">
      <c r="A38" s="431"/>
      <c r="B38" s="381" t="s">
        <v>2333</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6"/>
      <c r="M38" s="2910"/>
      <c r="N38" s="2910"/>
      <c r="O38" s="2910"/>
      <c r="P38" s="3528" t="s">
        <v>2327</v>
      </c>
      <c r="Q38" s="1506" t="str">
        <f t="shared" si="11"/>
        <v>物业管理</v>
      </c>
      <c r="R38" s="714" t="s">
        <v>21</v>
      </c>
      <c r="S38" s="715">
        <f t="shared" si="12"/>
        <v>100</v>
      </c>
      <c r="T38" s="714" t="s">
        <v>21</v>
      </c>
      <c r="U38" s="715">
        <f t="shared" si="13"/>
        <v>100</v>
      </c>
      <c r="V38" s="714" t="s">
        <v>21</v>
      </c>
      <c r="W38" s="715">
        <f t="shared" si="14"/>
        <v>100</v>
      </c>
      <c r="X38" s="1509"/>
      <c r="Y38" s="3488" t="s">
        <v>2327</v>
      </c>
      <c r="Z38" s="1510" t="str">
        <f t="shared" si="18"/>
        <v>物业管理</v>
      </c>
      <c r="AA38" s="1507">
        <f t="shared" si="15"/>
        <v>1</v>
      </c>
      <c r="AB38" s="1507">
        <f t="shared" si="16"/>
        <v>1</v>
      </c>
      <c r="AC38" s="1507">
        <f t="shared" si="17"/>
        <v>1</v>
      </c>
    </row>
    <row r="39" spans="1:29" ht="15">
      <c r="A39" s="431"/>
      <c r="B39" s="381" t="s">
        <v>2334</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6"/>
      <c r="M39" s="2910"/>
      <c r="N39" s="2910"/>
      <c r="O39" s="2910"/>
      <c r="P39" s="3528"/>
      <c r="Q39" s="1506" t="str">
        <f t="shared" si="11"/>
        <v>市政基础设施</v>
      </c>
      <c r="R39" s="714" t="s">
        <v>21</v>
      </c>
      <c r="S39" s="715">
        <f t="shared" si="12"/>
        <v>100</v>
      </c>
      <c r="T39" s="714" t="s">
        <v>21</v>
      </c>
      <c r="U39" s="715">
        <f t="shared" si="13"/>
        <v>100</v>
      </c>
      <c r="V39" s="714" t="s">
        <v>21</v>
      </c>
      <c r="W39" s="715">
        <f t="shared" si="14"/>
        <v>100</v>
      </c>
      <c r="X39" s="1509"/>
      <c r="Y39" s="3488"/>
      <c r="Z39" s="1510" t="str">
        <f t="shared" si="18"/>
        <v>市政基础设施</v>
      </c>
      <c r="AA39" s="1507">
        <f t="shared" si="15"/>
        <v>1</v>
      </c>
      <c r="AB39" s="1507">
        <f t="shared" si="16"/>
        <v>1</v>
      </c>
      <c r="AC39" s="1507">
        <f t="shared" si="17"/>
        <v>1</v>
      </c>
    </row>
    <row r="40" spans="1:29" ht="15">
      <c r="A40" s="431"/>
      <c r="B40" s="381" t="s">
        <v>2335</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6"/>
      <c r="M40" s="2910"/>
      <c r="N40" s="2910"/>
      <c r="O40" s="2910"/>
      <c r="P40" s="3528"/>
      <c r="Q40" s="1506" t="str">
        <f t="shared" si="11"/>
        <v>房型</v>
      </c>
      <c r="R40" s="714" t="s">
        <v>21</v>
      </c>
      <c r="S40" s="715">
        <f t="shared" si="12"/>
        <v>100</v>
      </c>
      <c r="T40" s="714" t="s">
        <v>21</v>
      </c>
      <c r="U40" s="715">
        <f t="shared" si="13"/>
        <v>100</v>
      </c>
      <c r="V40" s="714" t="s">
        <v>21</v>
      </c>
      <c r="W40" s="715">
        <f t="shared" si="14"/>
        <v>100</v>
      </c>
      <c r="X40" s="1509"/>
      <c r="Y40" s="3488"/>
      <c r="Z40" s="1510" t="str">
        <f t="shared" si="18"/>
        <v>房型</v>
      </c>
      <c r="AA40" s="1507">
        <f t="shared" si="15"/>
        <v>1</v>
      </c>
      <c r="AB40" s="1507">
        <f t="shared" si="16"/>
        <v>1</v>
      </c>
      <c r="AC40" s="1507">
        <f t="shared" si="17"/>
        <v>1</v>
      </c>
    </row>
    <row r="41" spans="1:29" s="430" customFormat="1" ht="28.5">
      <c r="A41" s="427"/>
      <c r="B41" s="381" t="s">
        <v>2336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5"/>
      <c r="M41" s="2917"/>
      <c r="N41" s="2917"/>
      <c r="O41" s="2917"/>
      <c r="P41" s="3528"/>
      <c r="Q41" s="716" t="str">
        <f t="shared" si="11"/>
        <v>单套/主力户型建筑面积</v>
      </c>
      <c r="R41" s="717" t="s">
        <v>21</v>
      </c>
      <c r="S41" s="718">
        <f t="shared" si="12"/>
        <v>100</v>
      </c>
      <c r="T41" s="717" t="s">
        <v>21</v>
      </c>
      <c r="U41" s="718">
        <f t="shared" si="13"/>
        <v>100</v>
      </c>
      <c r="V41" s="717" t="s">
        <v>21</v>
      </c>
      <c r="W41" s="718">
        <f t="shared" si="14"/>
        <v>100</v>
      </c>
      <c r="X41" s="719"/>
      <c r="Y41" s="3488"/>
      <c r="Z41" s="720" t="str">
        <f t="shared" si="18"/>
        <v>单套/主力户型建筑面积</v>
      </c>
      <c r="AA41" s="1507">
        <f t="shared" si="15"/>
        <v>1</v>
      </c>
      <c r="AB41" s="1507">
        <f t="shared" si="16"/>
        <v>1</v>
      </c>
      <c r="AC41" s="1507">
        <f t="shared" si="17"/>
        <v>1</v>
      </c>
    </row>
    <row r="42" spans="1:29" ht="15">
      <c r="A42" s="431"/>
      <c r="B42" s="381" t="s">
        <v>2337</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6"/>
      <c r="M42" s="2910"/>
      <c r="N42" s="2910"/>
      <c r="O42" s="2910"/>
      <c r="P42" s="3528"/>
      <c r="Q42" s="1506" t="str">
        <f t="shared" si="11"/>
        <v>内部装修</v>
      </c>
      <c r="R42" s="714" t="s">
        <v>21</v>
      </c>
      <c r="S42" s="715">
        <f t="shared" si="12"/>
        <v>100</v>
      </c>
      <c r="T42" s="714" t="s">
        <v>21</v>
      </c>
      <c r="U42" s="715">
        <f t="shared" si="13"/>
        <v>100</v>
      </c>
      <c r="V42" s="714" t="s">
        <v>21</v>
      </c>
      <c r="W42" s="715">
        <f t="shared" si="14"/>
        <v>100</v>
      </c>
      <c r="X42" s="1509"/>
      <c r="Y42" s="3488"/>
      <c r="Z42" s="1510" t="str">
        <f t="shared" si="18"/>
        <v>内部装修</v>
      </c>
      <c r="AA42" s="1507">
        <f t="shared" si="15"/>
        <v>1</v>
      </c>
      <c r="AB42" s="1507">
        <f t="shared" si="16"/>
        <v>1</v>
      </c>
      <c r="AC42" s="1507">
        <f t="shared" si="17"/>
        <v>1</v>
      </c>
    </row>
    <row r="43" spans="1:29" ht="15">
      <c r="A43" s="431"/>
      <c r="B43" s="381" t="s">
        <v>2338</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6"/>
      <c r="M43" s="2910"/>
      <c r="N43" s="2910"/>
      <c r="O43" s="2910"/>
      <c r="P43" s="3528"/>
      <c r="Q43" s="1506" t="str">
        <f t="shared" si="11"/>
        <v>内部装修维护情况</v>
      </c>
      <c r="R43" s="714" t="s">
        <v>21</v>
      </c>
      <c r="S43" s="715">
        <f t="shared" si="12"/>
        <v>100</v>
      </c>
      <c r="T43" s="714" t="s">
        <v>21</v>
      </c>
      <c r="U43" s="715">
        <f t="shared" si="13"/>
        <v>100</v>
      </c>
      <c r="V43" s="714" t="s">
        <v>21</v>
      </c>
      <c r="W43" s="715">
        <f t="shared" si="14"/>
        <v>100</v>
      </c>
      <c r="X43" s="1509"/>
      <c r="Y43" s="348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1"/>
      <c r="M44" s="2912"/>
      <c r="N44" s="2912"/>
      <c r="O44" s="2912"/>
      <c r="P44" s="3528"/>
      <c r="Q44" s="1497">
        <f t="shared" si="11"/>
        <v>111</v>
      </c>
      <c r="R44" s="710" t="s">
        <v>21</v>
      </c>
      <c r="S44" s="711">
        <f t="shared" si="12"/>
        <v>100</v>
      </c>
      <c r="T44" s="710" t="s">
        <v>21</v>
      </c>
      <c r="U44" s="711">
        <f t="shared" si="13"/>
        <v>100</v>
      </c>
      <c r="V44" s="710" t="s">
        <v>21</v>
      </c>
      <c r="W44" s="711">
        <f t="shared" si="14"/>
        <v>100</v>
      </c>
      <c r="X44" s="712"/>
      <c r="Y44" s="348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6"/>
      <c r="M45" s="2910"/>
      <c r="N45" s="2910"/>
      <c r="O45" s="2910"/>
      <c r="P45" s="3528"/>
      <c r="Q45" s="1506">
        <f t="shared" si="11"/>
        <v>111</v>
      </c>
      <c r="R45" s="714" t="s">
        <v>21</v>
      </c>
      <c r="S45" s="715">
        <f t="shared" si="12"/>
        <v>100</v>
      </c>
      <c r="T45" s="714" t="s">
        <v>21</v>
      </c>
      <c r="U45" s="715">
        <f t="shared" si="13"/>
        <v>100</v>
      </c>
      <c r="V45" s="714" t="s">
        <v>21</v>
      </c>
      <c r="W45" s="715">
        <f t="shared" si="14"/>
        <v>100</v>
      </c>
      <c r="X45" s="1509"/>
      <c r="Y45" s="3488"/>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6"/>
      <c r="M46" s="2910"/>
      <c r="N46" s="2910"/>
      <c r="O46" s="2910"/>
      <c r="P46" s="3529"/>
      <c r="Q46" s="1506">
        <f t="shared" si="11"/>
        <v>111</v>
      </c>
      <c r="R46" s="714" t="s">
        <v>20</v>
      </c>
      <c r="S46" s="715">
        <f t="shared" si="12"/>
        <v>100</v>
      </c>
      <c r="T46" s="714" t="s">
        <v>20</v>
      </c>
      <c r="U46" s="715">
        <f t="shared" si="13"/>
        <v>100</v>
      </c>
      <c r="V46" s="714" t="s">
        <v>20</v>
      </c>
      <c r="W46" s="715">
        <f t="shared" si="14"/>
        <v>100</v>
      </c>
      <c r="X46" s="1509"/>
      <c r="Y46" s="3530"/>
      <c r="Z46" s="1510">
        <f t="shared" si="18"/>
        <v>111</v>
      </c>
      <c r="AA46" s="1507">
        <f t="shared" si="15"/>
        <v>1</v>
      </c>
      <c r="AB46" s="1507">
        <f t="shared" si="16"/>
        <v>1</v>
      </c>
      <c r="AC46" s="1507">
        <f t="shared" si="17"/>
        <v>1</v>
      </c>
    </row>
    <row r="47" spans="1:29" ht="15">
      <c r="A47" s="438" t="s">
        <v>2339</v>
      </c>
      <c r="B47" s="439"/>
      <c r="C47" s="1288" t="s">
        <v>19</v>
      </c>
      <c r="D47" s="1289"/>
      <c r="E47" s="1290"/>
      <c r="F47" s="1291"/>
      <c r="G47" s="1292"/>
      <c r="H47" s="1293"/>
      <c r="I47" s="1290"/>
      <c r="J47" s="1293"/>
      <c r="K47" s="2069"/>
      <c r="L47" s="2918"/>
      <c r="M47" s="2919"/>
      <c r="N47" s="2910"/>
      <c r="O47" s="2919"/>
      <c r="P47" s="3470" t="str">
        <f>A47</f>
        <v>成交单价（元/平方米）</v>
      </c>
      <c r="Q47" s="3470"/>
      <c r="R47" s="3526">
        <f>E47</f>
        <v>0</v>
      </c>
      <c r="S47" s="3526"/>
      <c r="T47" s="3526">
        <f>G47</f>
        <v>0</v>
      </c>
      <c r="U47" s="3526"/>
      <c r="V47" s="3526">
        <f>I47</f>
        <v>0</v>
      </c>
      <c r="W47" s="3526"/>
      <c r="X47" s="699"/>
      <c r="Y47" s="721"/>
      <c r="Z47" s="699"/>
      <c r="AA47" s="699"/>
      <c r="AB47" s="699"/>
      <c r="AC47" s="699"/>
    </row>
    <row r="48" spans="1:29" ht="15.75" thickBot="1">
      <c r="A48" s="445" t="s">
        <v>2340</v>
      </c>
      <c r="B48" s="446"/>
      <c r="C48" s="1294" t="e">
        <f>R49</f>
        <v>#DIV/0!</v>
      </c>
      <c r="D48" s="2507" t="s">
        <v>2822</v>
      </c>
      <c r="E48" s="1295" t="e">
        <f>R48</f>
        <v>#DIV/0!</v>
      </c>
      <c r="F48" s="2508"/>
      <c r="G48" s="1294" t="e">
        <f>T48</f>
        <v>#DIV/0!</v>
      </c>
      <c r="H48" s="2508"/>
      <c r="I48" s="1295" t="e">
        <f>V48</f>
        <v>#DIV/0!</v>
      </c>
      <c r="J48" s="2508"/>
      <c r="K48" s="2509">
        <f>F48+H48+J48</f>
        <v>0</v>
      </c>
      <c r="L48" s="2918"/>
      <c r="M48" s="2919"/>
      <c r="N48" s="2919"/>
      <c r="O48" s="2919"/>
      <c r="P48" s="3470" t="str">
        <f>A48</f>
        <v>比较价值（元/平方米）</v>
      </c>
      <c r="Q48" s="3470"/>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2341</v>
      </c>
      <c r="B49" s="450"/>
      <c r="C49" s="1296" t="e">
        <f>R49</f>
        <v>#DIV/0!</v>
      </c>
      <c r="D49" s="1297"/>
      <c r="E49" s="1297"/>
      <c r="F49" s="1297"/>
      <c r="G49" s="1297"/>
      <c r="H49" s="1297"/>
      <c r="I49" s="1297"/>
      <c r="J49" s="1297"/>
      <c r="K49" s="2070"/>
      <c r="L49" s="2918"/>
      <c r="M49" s="2919"/>
      <c r="N49" s="2919"/>
      <c r="O49" s="2919"/>
      <c r="P49" s="3490" t="str">
        <f>A49</f>
        <v>估价对象XX用房的比较价值（楼面单价，元/平方米）</v>
      </c>
      <c r="Q49" s="3491"/>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2"/>
    </row>
    <row r="55" spans="1:29" s="459" customFormat="1">
      <c r="A55" s="2922"/>
      <c r="B55" s="2925"/>
      <c r="C55" s="2926"/>
      <c r="D55" s="2922"/>
      <c r="E55" s="2922"/>
      <c r="F55" s="2922"/>
      <c r="G55" s="2922"/>
      <c r="H55" s="2922"/>
      <c r="I55" s="2922"/>
      <c r="J55" s="2922"/>
      <c r="K55" s="2927"/>
      <c r="L55" s="2921"/>
      <c r="M55" s="2922"/>
      <c r="N55" s="2922"/>
      <c r="O55" s="2922"/>
      <c r="P55" s="2072"/>
    </row>
    <row r="56" spans="1:29">
      <c r="A56" s="2919"/>
      <c r="B56" s="2925"/>
      <c r="C56" s="2926"/>
      <c r="D56" s="2919"/>
      <c r="E56" s="2919"/>
      <c r="F56" s="2919"/>
      <c r="G56" s="2919"/>
      <c r="H56" s="2919"/>
      <c r="I56" s="2919"/>
      <c r="J56" s="2919"/>
      <c r="K56" s="2924"/>
      <c r="L56" s="2920"/>
      <c r="M56" s="2919"/>
      <c r="N56" s="2919"/>
      <c r="O56" s="2919"/>
    </row>
    <row r="57" spans="1:29" ht="21.75" thickBot="1">
      <c r="A57" s="703" t="s">
        <v>2345</v>
      </c>
      <c r="B57" s="699"/>
      <c r="C57" s="704"/>
      <c r="D57" s="704"/>
      <c r="E57" s="704"/>
      <c r="F57" s="705"/>
      <c r="G57" s="705"/>
      <c r="H57" s="704"/>
      <c r="I57" s="704"/>
      <c r="J57" s="704"/>
      <c r="K57" s="1072"/>
      <c r="L57" s="1073"/>
      <c r="M57" s="1071"/>
      <c r="N57" s="1071"/>
      <c r="O57" s="1071"/>
      <c r="P57" s="2073"/>
      <c r="Q57" s="461"/>
    </row>
    <row r="58" spans="1:29" s="465" customFormat="1" ht="15">
      <c r="A58" s="462" t="s">
        <v>2346</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2347</v>
      </c>
      <c r="B60" s="473"/>
      <c r="C60" s="474"/>
      <c r="D60" s="475"/>
      <c r="E60" s="475"/>
      <c r="F60" s="475"/>
      <c r="G60" s="475"/>
      <c r="H60" s="475"/>
      <c r="I60" s="475"/>
      <c r="J60" s="475"/>
      <c r="K60" s="475"/>
      <c r="L60" s="475"/>
      <c r="M60" s="476"/>
      <c r="N60" s="475"/>
      <c r="O60" s="476"/>
      <c r="P60" s="2075"/>
      <c r="Q60" s="461"/>
    </row>
    <row r="61" spans="1:29" s="113" customFormat="1" ht="15">
      <c r="A61" s="478" t="s">
        <v>2348</v>
      </c>
      <c r="B61" s="467"/>
      <c r="C61" s="479" t="s">
        <v>2349</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2350</v>
      </c>
      <c r="B63" s="485" t="s">
        <v>2316</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2319</v>
      </c>
      <c r="C65" s="496" t="s">
        <v>2351</v>
      </c>
      <c r="D65" s="496" t="s">
        <v>2352</v>
      </c>
      <c r="E65" s="496" t="s">
        <v>2353</v>
      </c>
      <c r="F65" s="496" t="s">
        <v>2354</v>
      </c>
      <c r="G65" s="496" t="s">
        <v>2355</v>
      </c>
      <c r="H65" s="496" t="s">
        <v>2356</v>
      </c>
      <c r="I65" s="496" t="s">
        <v>2357</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2320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2321</v>
      </c>
      <c r="B76" s="485" t="s">
        <v>2358</v>
      </c>
      <c r="C76" s="530" t="s">
        <v>2359</v>
      </c>
      <c r="D76" s="530" t="s">
        <v>2360</v>
      </c>
      <c r="E76" s="530" t="s">
        <v>2361</v>
      </c>
      <c r="F76" s="530" t="s">
        <v>2362</v>
      </c>
      <c r="G76" s="530" t="s">
        <v>2363</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2364</v>
      </c>
      <c r="C78" s="535" t="s">
        <v>2359</v>
      </c>
      <c r="D78" s="535" t="s">
        <v>2360</v>
      </c>
      <c r="E78" s="535" t="s">
        <v>2361</v>
      </c>
      <c r="F78" s="535" t="s">
        <v>2362</v>
      </c>
      <c r="G78" s="535" t="s">
        <v>2363</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2365</v>
      </c>
      <c r="C80" s="535" t="s">
        <v>2359</v>
      </c>
      <c r="D80" s="535" t="s">
        <v>2360</v>
      </c>
      <c r="E80" s="535" t="s">
        <v>2361</v>
      </c>
      <c r="F80" s="535" t="s">
        <v>2362</v>
      </c>
      <c r="G80" s="535" t="s">
        <v>2363</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1887</v>
      </c>
      <c r="C82" s="496" t="s">
        <v>2366</v>
      </c>
      <c r="D82" s="496" t="s">
        <v>2367</v>
      </c>
      <c r="E82" s="496" t="s">
        <v>2368</v>
      </c>
      <c r="F82" s="496" t="s">
        <v>2369</v>
      </c>
      <c r="G82" s="496" t="s">
        <v>2370</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2371</v>
      </c>
      <c r="C84" s="535" t="s">
        <v>2359</v>
      </c>
      <c r="D84" s="535" t="s">
        <v>2360</v>
      </c>
      <c r="E84" s="535" t="s">
        <v>2361</v>
      </c>
      <c r="F84" s="535" t="s">
        <v>2362</v>
      </c>
      <c r="G84" s="535" t="s">
        <v>2363</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2372</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2373</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2325</v>
      </c>
      <c r="B100" s="485" t="s">
        <v>2374</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2376</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2377</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2378</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2379</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2380</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2381</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2336</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2382</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2383</v>
      </c>
      <c r="C124" s="535" t="s">
        <v>2359</v>
      </c>
      <c r="D124" s="535" t="s">
        <v>2360</v>
      </c>
      <c r="E124" s="535" t="s">
        <v>2361</v>
      </c>
      <c r="F124" s="535" t="s">
        <v>2362</v>
      </c>
      <c r="G124" s="535" t="s">
        <v>2363</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2384</v>
      </c>
    </row>
    <row r="137" spans="1:17" ht="15">
      <c r="B137" s="2085" t="s">
        <v>2385</v>
      </c>
      <c r="C137" s="2086"/>
      <c r="D137" s="2086"/>
      <c r="E137" s="2086"/>
      <c r="F137" s="2086"/>
      <c r="G137" s="2087"/>
      <c r="H137" s="2088"/>
      <c r="I137" s="2089" t="s">
        <v>2386</v>
      </c>
      <c r="J137" s="2086"/>
      <c r="K137" s="2090"/>
    </row>
    <row r="138" spans="1:17" ht="15">
      <c r="B138" s="2091"/>
      <c r="C138" s="142" t="s">
        <v>2387</v>
      </c>
      <c r="D138" s="142" t="s">
        <v>2388</v>
      </c>
      <c r="E138" s="2092" t="s">
        <v>2389</v>
      </c>
      <c r="F138" s="2093" t="s">
        <v>2390</v>
      </c>
      <c r="G138" s="142" t="s">
        <v>2388</v>
      </c>
      <c r="H138" s="143" t="s">
        <v>2389</v>
      </c>
      <c r="I138" s="2094"/>
      <c r="J138" s="142" t="s">
        <v>2391</v>
      </c>
      <c r="K138" s="143" t="s">
        <v>2392</v>
      </c>
    </row>
    <row r="139" spans="1:17" ht="15">
      <c r="B139" s="998">
        <v>6</v>
      </c>
      <c r="C139" s="999">
        <v>96</v>
      </c>
      <c r="D139" s="2095" t="s">
        <v>2393</v>
      </c>
      <c r="E139" s="1000">
        <v>100</v>
      </c>
      <c r="F139" s="1001">
        <v>102.5</v>
      </c>
      <c r="G139" s="2095" t="s">
        <v>2393</v>
      </c>
      <c r="H139" s="1002">
        <v>105</v>
      </c>
      <c r="I139" s="2096" t="s">
        <v>2394</v>
      </c>
      <c r="J139" s="999">
        <v>20</v>
      </c>
      <c r="K139" s="1003">
        <f>C145/(J139-2)</f>
        <v>4.0555555555555553E-3</v>
      </c>
    </row>
    <row r="140" spans="1:17" ht="15">
      <c r="B140" s="1004">
        <v>5</v>
      </c>
      <c r="C140" s="1005">
        <v>100</v>
      </c>
      <c r="D140" s="1005"/>
      <c r="E140" s="1006"/>
      <c r="F140" s="1007">
        <v>102</v>
      </c>
      <c r="G140" s="1005"/>
      <c r="H140" s="1008"/>
      <c r="I140" s="2097" t="s">
        <v>2395</v>
      </c>
      <c r="J140" s="277">
        <f>ROUNDUP((J139-1)/2,0)</f>
        <v>10</v>
      </c>
      <c r="K140" s="1009">
        <v>100</v>
      </c>
    </row>
    <row r="141" spans="1:17" ht="15">
      <c r="B141" s="1004">
        <v>4</v>
      </c>
      <c r="C141" s="1005">
        <v>102</v>
      </c>
      <c r="D141" s="1005"/>
      <c r="E141" s="1006"/>
      <c r="F141" s="1007">
        <v>101.5</v>
      </c>
      <c r="G141" s="1005"/>
      <c r="H141" s="1008"/>
      <c r="I141" s="2097" t="s">
        <v>2396</v>
      </c>
      <c r="J141" s="277">
        <v>1</v>
      </c>
      <c r="K141" s="1010">
        <f>ROUND(100+(J141-J140)*K139*100,1)</f>
        <v>96.4</v>
      </c>
    </row>
    <row r="142" spans="1:17" ht="15">
      <c r="B142" s="1004">
        <v>3</v>
      </c>
      <c r="C142" s="1005">
        <v>103</v>
      </c>
      <c r="D142" s="1005"/>
      <c r="E142" s="1006"/>
      <c r="F142" s="1007">
        <v>101</v>
      </c>
      <c r="G142" s="1005"/>
      <c r="H142" s="1008"/>
      <c r="I142" s="2097" t="s">
        <v>2397</v>
      </c>
      <c r="J142" s="277">
        <f>J139</f>
        <v>20</v>
      </c>
      <c r="K142" s="1011">
        <v>95</v>
      </c>
    </row>
    <row r="143" spans="1:17" ht="15">
      <c r="B143" s="1004">
        <v>2</v>
      </c>
      <c r="C143" s="1005">
        <v>100</v>
      </c>
      <c r="D143" s="1005"/>
      <c r="E143" s="1006"/>
      <c r="F143" s="1007">
        <v>100.5</v>
      </c>
      <c r="G143" s="1005"/>
      <c r="H143" s="1008"/>
      <c r="I143" s="2097" t="s">
        <v>2398</v>
      </c>
      <c r="J143" s="1005">
        <v>15</v>
      </c>
      <c r="K143" s="1010">
        <f>ROUND(100+(J143-J140)*K139*100,1)</f>
        <v>102</v>
      </c>
    </row>
    <row r="144" spans="1:17" ht="15">
      <c r="B144" s="1004">
        <v>1</v>
      </c>
      <c r="C144" s="1005">
        <v>98</v>
      </c>
      <c r="D144" s="2098" t="s">
        <v>2399</v>
      </c>
      <c r="E144" s="1006">
        <v>102</v>
      </c>
      <c r="F144" s="1012">
        <v>100</v>
      </c>
      <c r="G144" s="2098" t="s">
        <v>2399</v>
      </c>
      <c r="H144" s="1008">
        <v>105</v>
      </c>
      <c r="I144" s="2097" t="s">
        <v>2398</v>
      </c>
      <c r="J144" s="1005">
        <v>18</v>
      </c>
      <c r="K144" s="1010">
        <f>ROUND(100+(J144-J140)*K139*100,1)</f>
        <v>103.2</v>
      </c>
    </row>
    <row r="145" spans="2:11" ht="15.75" thickBot="1">
      <c r="B145" s="2099" t="s">
        <v>2400</v>
      </c>
      <c r="C145" s="1013">
        <f>ROUND(MAX(C139:C144)/MIN(C139:C144)-1,3)</f>
        <v>7.2999999999999995E-2</v>
      </c>
      <c r="D145" s="1014"/>
      <c r="E145" s="1014"/>
      <c r="F145" s="2100" t="s">
        <v>2401</v>
      </c>
      <c r="G145" s="2101"/>
      <c r="H145" s="2102"/>
      <c r="I145" s="2103" t="s">
        <v>2398</v>
      </c>
      <c r="J145" s="1015">
        <v>8</v>
      </c>
      <c r="K145" s="1016">
        <f>ROUND(100+(J145-J140)*K139*100,1)</f>
        <v>99.2</v>
      </c>
    </row>
    <row r="147" spans="2:11">
      <c r="B147" s="2084" t="s">
        <v>2402</v>
      </c>
    </row>
    <row r="148" spans="2:11">
      <c r="B148" s="2084" t="s">
        <v>2403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民生信托：</v>
      </c>
    </row>
    <row r="4" spans="1:1" ht="36">
      <c r="A4" s="1635" t="str">
        <f>"受贵公司委托，我公司对"&amp;项目基本情况!S1&amp;"进行了预评估。"</f>
        <v>受贵公司委托，我公司对福建省福州市长乐区鹤上镇京岭路北侧、道庆路西侧房地产市场价值进行了预评估。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估价对象为福建省福州市长乐区鹤上镇京岭路北侧、道庆路西侧房地产，为所有。根据《国有土地使用证》[]，估价对象（分摊）出让国有建设用地使用权面积为13546.29平方米，建筑面积为39892.17平方米。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长乐区鹤上镇京岭路北侧、道庆路西侧房地产,属开发建设的，该项目尚在开发建设中。根据《国有土地使用证》[]，估价对象（分摊）出让国有建设用地使用权面积为13546.29平方米，规划建筑面积为39892.17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2022年3月3日（评估专业人员实地查勘之日）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5" t="str">
        <f>IF(项目基本情况!B9="房地产市场价值","——",IF(项目基本情况!E8="房地产抵押价值",定义!C54,IF(项目基本情况!E8="已注销",定义!C55,定义!C56)))</f>
        <v>——</v>
      </c>
    </row>
    <row r="21" spans="1:1" ht="18">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5" t="str">
        <f>IF(项目基本情况!B9="房地产市场价值","——",IF(项目基本情况!E9="——","",定义!C57))</f>
        <v>——</v>
      </c>
    </row>
    <row r="23" spans="1:1" ht="18.75">
      <c r="A23" s="1640" t="s">
        <v>1514</v>
      </c>
    </row>
    <row r="24" spans="1:1" ht="18">
      <c r="A24" s="1642" t="str">
        <f>"本次评估采用的主估价方法为"&amp;结果表!K4&amp;"和"&amp;结果表!L4&amp;"。"</f>
        <v>本次评估采用的主估价方法为成本法和成本法。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033" t="s">
        <v>2404</v>
      </c>
      <c r="C1" s="1378" t="s">
        <v>2292</v>
      </c>
      <c r="D1" s="1365"/>
      <c r="E1" s="2512"/>
      <c r="F1" s="2034"/>
      <c r="G1" s="1375" t="s">
        <v>2405</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28"/>
      <c r="M2" s="2929"/>
      <c r="N2" s="2929"/>
      <c r="O2" s="2929"/>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2406</v>
      </c>
      <c r="D3" s="359">
        <f>IF(D1="",'数据-汇总表'!E3,SUMIF('数据-汇总表'!$C19:$C33,D1,'数据-汇总表'!$E19:$E33))</f>
        <v>39892.17</v>
      </c>
      <c r="E3" s="2109"/>
      <c r="F3" s="1040"/>
      <c r="G3" s="1039"/>
      <c r="H3" s="1039"/>
      <c r="I3" s="1039"/>
      <c r="J3" s="1039"/>
      <c r="K3" s="1041"/>
      <c r="L3" s="2928"/>
      <c r="M3" s="2929"/>
      <c r="N3" s="2929"/>
      <c r="O3" s="2929"/>
      <c r="P3" s="2107"/>
      <c r="Q3" s="1043"/>
      <c r="R3" s="1043"/>
      <c r="S3" s="1043"/>
      <c r="T3" s="1043"/>
      <c r="U3" s="1043"/>
      <c r="V3" s="1043"/>
      <c r="W3" s="1043"/>
      <c r="X3" s="1043"/>
      <c r="Y3" s="1043"/>
      <c r="Z3" s="1043"/>
      <c r="AA3" s="1043"/>
      <c r="AB3" s="1043"/>
      <c r="AC3" s="2109"/>
    </row>
    <row r="4" spans="1:29" ht="15">
      <c r="A4" s="361" t="s">
        <v>2407</v>
      </c>
      <c r="B4" s="362"/>
      <c r="C4" s="3471" t="s">
        <v>2408</v>
      </c>
      <c r="D4" s="3472"/>
      <c r="E4" s="3473" t="s">
        <v>2409</v>
      </c>
      <c r="F4" s="3474"/>
      <c r="G4" s="3471" t="s">
        <v>2410</v>
      </c>
      <c r="H4" s="3472"/>
      <c r="I4" s="3471" t="s">
        <v>2411</v>
      </c>
      <c r="J4" s="3472"/>
      <c r="K4" s="567" t="s">
        <v>2412</v>
      </c>
      <c r="L4" s="2909"/>
      <c r="M4" s="2910"/>
      <c r="N4" s="2910"/>
      <c r="O4" s="2910"/>
      <c r="P4" s="3475" t="s">
        <v>2413</v>
      </c>
      <c r="Q4" s="3476"/>
      <c r="R4" s="3458" t="s">
        <v>2409</v>
      </c>
      <c r="S4" s="3459"/>
      <c r="T4" s="3458" t="s">
        <v>2410</v>
      </c>
      <c r="U4" s="3459"/>
      <c r="V4" s="3483" t="s">
        <v>2411</v>
      </c>
      <c r="W4" s="3483"/>
      <c r="X4" s="1509"/>
      <c r="Y4" s="3458" t="s">
        <v>2413</v>
      </c>
      <c r="Z4" s="3459"/>
      <c r="AA4" s="3453" t="s">
        <v>2409</v>
      </c>
      <c r="AB4" s="3483" t="s">
        <v>2410</v>
      </c>
      <c r="AC4" s="3453" t="s">
        <v>2411</v>
      </c>
    </row>
    <row r="5" spans="1:29" ht="15">
      <c r="A5" s="364"/>
      <c r="B5" s="365"/>
      <c r="C5" s="3464" t="s">
        <v>2304</v>
      </c>
      <c r="D5" s="3465"/>
      <c r="E5" s="3462" t="s">
        <v>2305</v>
      </c>
      <c r="F5" s="3463"/>
      <c r="G5" s="3464" t="s">
        <v>2306</v>
      </c>
      <c r="H5" s="3465"/>
      <c r="I5" s="3464" t="s">
        <v>2307</v>
      </c>
      <c r="J5" s="3465"/>
      <c r="K5" s="567"/>
      <c r="L5" s="2909"/>
      <c r="M5" s="2910"/>
      <c r="N5" s="2910"/>
      <c r="O5" s="2910"/>
      <c r="P5" s="3477"/>
      <c r="Q5" s="3478"/>
      <c r="R5" s="3460"/>
      <c r="S5" s="3461"/>
      <c r="T5" s="3460"/>
      <c r="U5" s="3461"/>
      <c r="V5" s="3483"/>
      <c r="W5" s="3483"/>
      <c r="X5" s="1509"/>
      <c r="Y5" s="3460"/>
      <c r="Z5" s="3461"/>
      <c r="AA5" s="3454"/>
      <c r="AB5" s="3483"/>
      <c r="AC5" s="3454"/>
    </row>
    <row r="6" spans="1:29" ht="15.75" thickBot="1">
      <c r="A6" s="366"/>
      <c r="B6" s="367"/>
      <c r="C6" s="3466" t="s">
        <v>2308</v>
      </c>
      <c r="D6" s="3467"/>
      <c r="E6" s="3468" t="s">
        <v>2308</v>
      </c>
      <c r="F6" s="3469"/>
      <c r="G6" s="3466" t="s">
        <v>2308</v>
      </c>
      <c r="H6" s="3467"/>
      <c r="I6" s="3466" t="s">
        <v>2308</v>
      </c>
      <c r="J6" s="3467"/>
      <c r="K6" s="567" t="s">
        <v>2309</v>
      </c>
      <c r="L6" s="2909"/>
      <c r="M6" s="2910"/>
      <c r="N6" s="2910"/>
      <c r="O6" s="2910"/>
      <c r="P6" s="3479"/>
      <c r="Q6" s="3480"/>
      <c r="R6" s="3460"/>
      <c r="S6" s="3461"/>
      <c r="T6" s="3481"/>
      <c r="U6" s="3482"/>
      <c r="V6" s="3483"/>
      <c r="W6" s="3483"/>
      <c r="X6" s="1509"/>
      <c r="Y6" s="3481"/>
      <c r="Z6" s="3482"/>
      <c r="AA6" s="3455"/>
      <c r="AB6" s="3483"/>
      <c r="AC6" s="3455"/>
    </row>
    <row r="7" spans="1:29" s="113" customFormat="1" ht="15.75" thickBot="1">
      <c r="A7" s="368" t="s">
        <v>2310</v>
      </c>
      <c r="B7" s="369"/>
      <c r="C7" s="370">
        <f>'数据-取费表'!B2</f>
        <v>44623</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6" t="s">
        <v>2311</v>
      </c>
      <c r="Q7" s="3484"/>
      <c r="R7" s="710" t="s">
        <v>17</v>
      </c>
      <c r="S7" s="711">
        <f t="shared" ref="S7:S15" si="0">F7</f>
        <v>0</v>
      </c>
      <c r="T7" s="710" t="s">
        <v>17</v>
      </c>
      <c r="U7" s="711">
        <f t="shared" ref="U7:U15" si="1">H7</f>
        <v>0</v>
      </c>
      <c r="V7" s="710" t="s">
        <v>17</v>
      </c>
      <c r="W7" s="711">
        <f t="shared" ref="W7:W15" si="2">J7</f>
        <v>0</v>
      </c>
      <c r="X7" s="712"/>
      <c r="Y7" s="3456" t="s">
        <v>2311</v>
      </c>
      <c r="Z7" s="3457"/>
      <c r="AA7" s="713" t="e">
        <f>D7/F7</f>
        <v>#DIV/0!</v>
      </c>
      <c r="AB7" s="713" t="e">
        <f>D7/H7</f>
        <v>#DIV/0!</v>
      </c>
      <c r="AC7" s="713" t="e">
        <f>D7/J7</f>
        <v>#DIV/0!</v>
      </c>
    </row>
    <row r="8" spans="1:29" s="113" customFormat="1" ht="15.75" thickBot="1">
      <c r="A8" s="368" t="s">
        <v>2312</v>
      </c>
      <c r="B8" s="369"/>
      <c r="C8" s="374" t="s">
        <v>2414</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6" t="s">
        <v>2314</v>
      </c>
      <c r="Q8" s="3457"/>
      <c r="R8" s="710" t="s">
        <v>17</v>
      </c>
      <c r="S8" s="711">
        <f t="shared" si="0"/>
        <v>0</v>
      </c>
      <c r="T8" s="710" t="s">
        <v>17</v>
      </c>
      <c r="U8" s="711">
        <f t="shared" si="1"/>
        <v>0</v>
      </c>
      <c r="V8" s="710" t="s">
        <v>17</v>
      </c>
      <c r="W8" s="711">
        <f t="shared" si="2"/>
        <v>0</v>
      </c>
      <c r="X8" s="712"/>
      <c r="Y8" s="3456" t="s">
        <v>2314</v>
      </c>
      <c r="Z8" s="3457"/>
      <c r="AA8" s="713" t="e">
        <f t="shared" ref="AA8:AA46" si="3">D8/F8</f>
        <v>#DIV/0!</v>
      </c>
      <c r="AB8" s="713" t="e">
        <f t="shared" ref="AB8:AB46" si="4">D8/H8</f>
        <v>#DIV/0!</v>
      </c>
      <c r="AC8" s="713" t="e">
        <f t="shared" ref="AC8:AC46" si="5">D8/J8</f>
        <v>#DIV/0!</v>
      </c>
    </row>
    <row r="9" spans="1:29" s="113" customFormat="1">
      <c r="A9" s="375" t="s">
        <v>2315</v>
      </c>
      <c r="B9" s="67" t="s">
        <v>2316</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94"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94"/>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2320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94"/>
      <c r="Q11" s="149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94"/>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94"/>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94"/>
      <c r="Q14" s="149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71.25">
      <c r="A15" s="399" t="s">
        <v>2321</v>
      </c>
      <c r="B15" s="65" t="s">
        <v>2415</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531" t="s">
        <v>2322</v>
      </c>
      <c r="Q15" s="1506" t="str">
        <f t="shared" si="6"/>
        <v>商业繁华度</v>
      </c>
      <c r="R15" s="714" t="s">
        <v>17</v>
      </c>
      <c r="S15" s="715">
        <f t="shared" si="0"/>
        <v>100</v>
      </c>
      <c r="T15" s="714" t="s">
        <v>17</v>
      </c>
      <c r="U15" s="715">
        <f t="shared" si="1"/>
        <v>100</v>
      </c>
      <c r="V15" s="714" t="s">
        <v>17</v>
      </c>
      <c r="W15" s="715">
        <f t="shared" si="2"/>
        <v>100</v>
      </c>
      <c r="X15" s="1509"/>
      <c r="Y15" s="3485" t="s">
        <v>2322</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6"/>
      <c r="M16" s="2910"/>
      <c r="N16" s="2910"/>
      <c r="O16" s="2910"/>
      <c r="P16" s="3532"/>
      <c r="Q16" s="1506"/>
      <c r="R16" s="714"/>
      <c r="S16" s="715"/>
      <c r="T16" s="714"/>
      <c r="U16" s="715"/>
      <c r="V16" s="714"/>
      <c r="W16" s="715"/>
      <c r="X16" s="1509"/>
      <c r="Y16" s="3486"/>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532"/>
      <c r="Q17" s="1506" t="str">
        <f>B17</f>
        <v>交通便捷度</v>
      </c>
      <c r="R17" s="714" t="s">
        <v>17</v>
      </c>
      <c r="S17" s="715">
        <f>F17</f>
        <v>100</v>
      </c>
      <c r="T17" s="714" t="s">
        <v>17</v>
      </c>
      <c r="U17" s="715">
        <f>H17</f>
        <v>100</v>
      </c>
      <c r="V17" s="714" t="s">
        <v>17</v>
      </c>
      <c r="W17" s="715">
        <f>J17</f>
        <v>100</v>
      </c>
      <c r="X17" s="1509"/>
      <c r="Y17" s="3486"/>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16"/>
      <c r="M18" s="2910"/>
      <c r="N18" s="2910"/>
      <c r="O18" s="2910"/>
      <c r="P18" s="3532"/>
      <c r="Q18" s="1506"/>
      <c r="R18" s="714"/>
      <c r="S18" s="715"/>
      <c r="T18" s="714"/>
      <c r="U18" s="715"/>
      <c r="V18" s="714"/>
      <c r="W18" s="715"/>
      <c r="X18" s="1509"/>
      <c r="Y18" s="3486"/>
      <c r="Z18" s="1510"/>
      <c r="AA18" s="1507">
        <v>1</v>
      </c>
      <c r="AB18" s="1507">
        <v>1</v>
      </c>
      <c r="AC18" s="1507">
        <v>1</v>
      </c>
    </row>
    <row r="19" spans="1:29" ht="42.75">
      <c r="A19" s="387"/>
      <c r="B19" s="410" t="s">
        <v>2416</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532"/>
      <c r="Q19" s="1506" t="str">
        <f>B19</f>
        <v>公共配套设施</v>
      </c>
      <c r="R19" s="714" t="s">
        <v>17</v>
      </c>
      <c r="S19" s="715">
        <f>F19</f>
        <v>100</v>
      </c>
      <c r="T19" s="714" t="s">
        <v>17</v>
      </c>
      <c r="U19" s="715">
        <f>H19</f>
        <v>100</v>
      </c>
      <c r="V19" s="714" t="s">
        <v>17</v>
      </c>
      <c r="W19" s="715">
        <f>J19</f>
        <v>100</v>
      </c>
      <c r="X19" s="1509"/>
      <c r="Y19" s="3486"/>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16"/>
      <c r="M20" s="2910"/>
      <c r="N20" s="2910"/>
      <c r="O20" s="2910"/>
      <c r="P20" s="3532"/>
      <c r="Q20" s="1506"/>
      <c r="R20" s="714"/>
      <c r="S20" s="715"/>
      <c r="T20" s="714"/>
      <c r="U20" s="715"/>
      <c r="V20" s="714"/>
      <c r="W20" s="715"/>
      <c r="X20" s="1509"/>
      <c r="Y20" s="3486"/>
      <c r="Z20" s="1510"/>
      <c r="AA20" s="1507">
        <v>1</v>
      </c>
      <c r="AB20" s="1507">
        <v>1</v>
      </c>
      <c r="AC20" s="1507">
        <v>1</v>
      </c>
    </row>
    <row r="21" spans="1:29" ht="28.5">
      <c r="A21" s="387"/>
      <c r="B21" s="1265" t="s">
        <v>2417</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532"/>
      <c r="Q21" s="1506" t="str">
        <f>B21</f>
        <v>基础设施水平</v>
      </c>
      <c r="R21" s="714" t="s">
        <v>17</v>
      </c>
      <c r="S21" s="715">
        <f>F21</f>
        <v>100</v>
      </c>
      <c r="T21" s="714" t="s">
        <v>17</v>
      </c>
      <c r="U21" s="715">
        <f>H21</f>
        <v>100</v>
      </c>
      <c r="V21" s="714" t="s">
        <v>17</v>
      </c>
      <c r="W21" s="715">
        <f>J21</f>
        <v>100</v>
      </c>
      <c r="X21" s="1509"/>
      <c r="Y21" s="3486"/>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16"/>
      <c r="M22" s="2910"/>
      <c r="N22" s="2910"/>
      <c r="O22" s="2910"/>
      <c r="P22" s="3532"/>
      <c r="Q22" s="1506"/>
      <c r="R22" s="714"/>
      <c r="S22" s="715"/>
      <c r="T22" s="714"/>
      <c r="U22" s="715"/>
      <c r="V22" s="714"/>
      <c r="W22" s="715"/>
      <c r="X22" s="1509"/>
      <c r="Y22" s="3486"/>
      <c r="Z22" s="1510"/>
      <c r="AA22" s="1507">
        <v>1</v>
      </c>
      <c r="AB22" s="1507">
        <v>1</v>
      </c>
      <c r="AC22" s="1507">
        <v>1</v>
      </c>
    </row>
    <row r="23" spans="1:29" ht="57">
      <c r="A23" s="387"/>
      <c r="B23" s="410" t="s">
        <v>1888</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532"/>
      <c r="Q23" s="1506" t="str">
        <f>B23</f>
        <v>自然及人文环境</v>
      </c>
      <c r="R23" s="714" t="s">
        <v>17</v>
      </c>
      <c r="S23" s="715">
        <f>F23</f>
        <v>100</v>
      </c>
      <c r="T23" s="714" t="s">
        <v>17</v>
      </c>
      <c r="U23" s="715">
        <f>H23</f>
        <v>100</v>
      </c>
      <c r="V23" s="714" t="s">
        <v>17</v>
      </c>
      <c r="W23" s="715">
        <f>J23</f>
        <v>100</v>
      </c>
      <c r="X23" s="1509"/>
      <c r="Y23" s="3486"/>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16"/>
      <c r="M24" s="2910"/>
      <c r="N24" s="2910"/>
      <c r="O24" s="2910"/>
      <c r="P24" s="3532"/>
      <c r="Q24" s="1506"/>
      <c r="R24" s="714"/>
      <c r="S24" s="715"/>
      <c r="T24" s="714"/>
      <c r="U24" s="715"/>
      <c r="V24" s="714"/>
      <c r="W24" s="715"/>
      <c r="X24" s="1509"/>
      <c r="Y24" s="3486"/>
      <c r="Z24" s="1510"/>
      <c r="AA24" s="1507">
        <v>1</v>
      </c>
      <c r="AB24" s="1507">
        <v>1</v>
      </c>
      <c r="AC24" s="1507">
        <v>1</v>
      </c>
    </row>
    <row r="25" spans="1:29" ht="15">
      <c r="A25" s="387"/>
      <c r="B25" s="381" t="s">
        <v>2418</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532"/>
      <c r="Q25" s="1506" t="str">
        <f t="shared" ref="Q25:Q46" si="11">B25</f>
        <v>临街状况</v>
      </c>
      <c r="R25" s="714" t="s">
        <v>17</v>
      </c>
      <c r="S25" s="715">
        <f>F25</f>
        <v>100</v>
      </c>
      <c r="T25" s="714" t="s">
        <v>17</v>
      </c>
      <c r="U25" s="715">
        <f>H25</f>
        <v>100</v>
      </c>
      <c r="V25" s="714" t="s">
        <v>17</v>
      </c>
      <c r="W25" s="715">
        <f>J25</f>
        <v>100</v>
      </c>
      <c r="X25" s="1509"/>
      <c r="Y25" s="3486"/>
      <c r="Z25" s="1510" t="str">
        <f>Q25</f>
        <v>临街状况</v>
      </c>
      <c r="AA25" s="1507">
        <f t="shared" si="3"/>
        <v>1</v>
      </c>
      <c r="AB25" s="1507">
        <f t="shared" si="4"/>
        <v>1</v>
      </c>
      <c r="AC25" s="1507">
        <f t="shared" si="5"/>
        <v>1</v>
      </c>
    </row>
    <row r="26" spans="1:29" ht="15">
      <c r="A26" s="387"/>
      <c r="B26" s="1267" t="s">
        <v>2419</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532"/>
      <c r="Q26" s="1506" t="str">
        <f t="shared" si="11"/>
        <v>平面位置/可视性</v>
      </c>
      <c r="R26" s="714" t="s">
        <v>17</v>
      </c>
      <c r="S26" s="715">
        <f>F26</f>
        <v>100</v>
      </c>
      <c r="T26" s="714" t="s">
        <v>17</v>
      </c>
      <c r="U26" s="715">
        <f>H26</f>
        <v>100</v>
      </c>
      <c r="V26" s="714" t="s">
        <v>17</v>
      </c>
      <c r="W26" s="715">
        <f>J26</f>
        <v>100</v>
      </c>
      <c r="X26" s="1509"/>
      <c r="Y26" s="3486"/>
      <c r="Z26" s="1510" t="str">
        <f>Q26</f>
        <v>平面位置/可视性</v>
      </c>
      <c r="AA26" s="1507">
        <f t="shared" si="3"/>
        <v>1</v>
      </c>
      <c r="AB26" s="1507">
        <f t="shared" si="4"/>
        <v>1</v>
      </c>
      <c r="AC26" s="1507">
        <f t="shared" si="5"/>
        <v>1</v>
      </c>
    </row>
    <row r="27" spans="1:29" s="113" customFormat="1" ht="15">
      <c r="A27" s="390"/>
      <c r="B27" s="410" t="s">
        <v>2420</v>
      </c>
      <c r="C27" s="2111"/>
      <c r="D27" s="421">
        <v>100</v>
      </c>
      <c r="E27" s="2111"/>
      <c r="F27" s="423">
        <f>SUMIF(90:90,E27,91:91)-SUMIF(90:90,C27,91:91)+100</f>
        <v>100</v>
      </c>
      <c r="G27" s="2111"/>
      <c r="H27" s="421">
        <f>SUMIF(90:90,G27,91:91)-SUMIF(90:90,C27,91:91)+100</f>
        <v>100</v>
      </c>
      <c r="I27" s="2111"/>
      <c r="J27" s="421">
        <f>SUMIF(90:90,I27,91:91)-SUMIF(90:90,C27,91:91)+100</f>
        <v>100</v>
      </c>
      <c r="K27" s="569"/>
      <c r="L27" s="2911"/>
      <c r="M27" s="2912"/>
      <c r="N27" s="2912"/>
      <c r="O27" s="2912"/>
      <c r="P27" s="3532"/>
      <c r="Q27" s="1497" t="str">
        <f t="shared" si="11"/>
        <v>人流量</v>
      </c>
      <c r="R27" s="710" t="s">
        <v>17</v>
      </c>
      <c r="S27" s="711">
        <f>F27</f>
        <v>100</v>
      </c>
      <c r="T27" s="710" t="s">
        <v>17</v>
      </c>
      <c r="U27" s="711">
        <f>H27</f>
        <v>100</v>
      </c>
      <c r="V27" s="710" t="s">
        <v>17</v>
      </c>
      <c r="W27" s="711">
        <f>J27</f>
        <v>100</v>
      </c>
      <c r="X27" s="712"/>
      <c r="Y27" s="3486"/>
      <c r="Z27" s="55" t="str">
        <f>Q27</f>
        <v>人流量</v>
      </c>
      <c r="AA27" s="1507">
        <f>D27/F27</f>
        <v>1</v>
      </c>
      <c r="AB27" s="1507">
        <f>D27/H27</f>
        <v>1</v>
      </c>
      <c r="AC27" s="1507">
        <f>D27/J27</f>
        <v>1</v>
      </c>
    </row>
    <row r="28" spans="1:29" ht="15">
      <c r="A28" s="387"/>
      <c r="B28" s="381" t="s">
        <v>2421</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53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532"/>
      <c r="Q29" s="1506">
        <f t="shared" si="11"/>
        <v>111</v>
      </c>
      <c r="R29" s="714" t="s">
        <v>17</v>
      </c>
      <c r="S29" s="715">
        <f t="shared" si="12"/>
        <v>100</v>
      </c>
      <c r="T29" s="714" t="s">
        <v>17</v>
      </c>
      <c r="U29" s="715">
        <f t="shared" si="13"/>
        <v>100</v>
      </c>
      <c r="V29" s="714" t="s">
        <v>17</v>
      </c>
      <c r="W29" s="715">
        <f t="shared" si="14"/>
        <v>100</v>
      </c>
      <c r="X29" s="1509"/>
      <c r="Y29" s="348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532"/>
      <c r="Q30" s="1506">
        <f t="shared" si="11"/>
        <v>111</v>
      </c>
      <c r="R30" s="714" t="s">
        <v>17</v>
      </c>
      <c r="S30" s="715">
        <f t="shared" si="12"/>
        <v>100</v>
      </c>
      <c r="T30" s="714" t="s">
        <v>17</v>
      </c>
      <c r="U30" s="715">
        <f t="shared" si="13"/>
        <v>100</v>
      </c>
      <c r="V30" s="714" t="s">
        <v>17</v>
      </c>
      <c r="W30" s="715">
        <f t="shared" si="14"/>
        <v>100</v>
      </c>
      <c r="X30" s="1509"/>
      <c r="Y30" s="348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532"/>
      <c r="Q31" s="1506">
        <f t="shared" si="11"/>
        <v>111</v>
      </c>
      <c r="R31" s="714" t="s">
        <v>17</v>
      </c>
      <c r="S31" s="715">
        <f t="shared" si="12"/>
        <v>100</v>
      </c>
      <c r="T31" s="714" t="s">
        <v>17</v>
      </c>
      <c r="U31" s="715">
        <f t="shared" si="13"/>
        <v>100</v>
      </c>
      <c r="V31" s="714" t="s">
        <v>17</v>
      </c>
      <c r="W31" s="715">
        <f t="shared" si="14"/>
        <v>100</v>
      </c>
      <c r="X31" s="1509"/>
      <c r="Y31" s="3486"/>
      <c r="Z31" s="1510">
        <f t="shared" si="15"/>
        <v>111</v>
      </c>
      <c r="AA31" s="1507">
        <f t="shared" si="3"/>
        <v>1</v>
      </c>
      <c r="AB31" s="1507">
        <f t="shared" si="4"/>
        <v>1</v>
      </c>
      <c r="AC31" s="1507">
        <f t="shared" si="5"/>
        <v>1</v>
      </c>
    </row>
    <row r="32" spans="1:29" ht="15">
      <c r="A32" s="399" t="s">
        <v>2325</v>
      </c>
      <c r="B32" s="67" t="s">
        <v>2422</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6"/>
      <c r="M32" s="2910"/>
      <c r="N32" s="2910"/>
      <c r="O32" s="2910"/>
      <c r="P32" s="3527" t="s">
        <v>2327</v>
      </c>
      <c r="Q32" s="1506" t="str">
        <f t="shared" si="11"/>
        <v>商业类型</v>
      </c>
      <c r="R32" s="714" t="s">
        <v>17</v>
      </c>
      <c r="S32" s="715">
        <f t="shared" si="12"/>
        <v>100</v>
      </c>
      <c r="T32" s="714" t="s">
        <v>17</v>
      </c>
      <c r="U32" s="715">
        <f t="shared" si="13"/>
        <v>100</v>
      </c>
      <c r="V32" s="714" t="s">
        <v>17</v>
      </c>
      <c r="W32" s="715">
        <f t="shared" si="14"/>
        <v>100</v>
      </c>
      <c r="X32" s="1509"/>
      <c r="Y32" s="3488" t="s">
        <v>2327</v>
      </c>
      <c r="Z32" s="1510" t="str">
        <f t="shared" si="15"/>
        <v>商业类型</v>
      </c>
      <c r="AA32" s="1507">
        <f t="shared" si="3"/>
        <v>1</v>
      </c>
      <c r="AB32" s="1507">
        <f t="shared" si="4"/>
        <v>1</v>
      </c>
      <c r="AC32" s="1507">
        <f t="shared" si="5"/>
        <v>1</v>
      </c>
    </row>
    <row r="33" spans="1:29" s="430" customFormat="1" ht="15">
      <c r="A33" s="427"/>
      <c r="B33" s="381" t="s">
        <v>2328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528"/>
      <c r="Q33" s="716" t="str">
        <f t="shared" si="11"/>
        <v>项目建筑规模</v>
      </c>
      <c r="R33" s="717" t="s">
        <v>17</v>
      </c>
      <c r="S33" s="718" t="e">
        <f t="shared" si="12"/>
        <v>#N/A</v>
      </c>
      <c r="T33" s="717" t="s">
        <v>17</v>
      </c>
      <c r="U33" s="718" t="e">
        <f t="shared" si="13"/>
        <v>#N/A</v>
      </c>
      <c r="V33" s="717" t="s">
        <v>17</v>
      </c>
      <c r="W33" s="718" t="e">
        <f t="shared" si="14"/>
        <v>#N/A</v>
      </c>
      <c r="X33" s="719"/>
      <c r="Y33" s="3488"/>
      <c r="Z33" s="720" t="str">
        <f t="shared" si="15"/>
        <v>项目建筑规模</v>
      </c>
      <c r="AA33" s="1507" t="e">
        <f t="shared" si="3"/>
        <v>#N/A</v>
      </c>
      <c r="AB33" s="1507" t="e">
        <f t="shared" si="4"/>
        <v>#N/A</v>
      </c>
      <c r="AC33" s="1507" t="e">
        <f t="shared" si="5"/>
        <v>#N/A</v>
      </c>
    </row>
    <row r="34" spans="1:29" ht="15">
      <c r="A34" s="431"/>
      <c r="B34" s="381" t="s">
        <v>2329</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6"/>
      <c r="M34" s="2910"/>
      <c r="N34" s="2910"/>
      <c r="O34" s="2910"/>
      <c r="P34" s="3528"/>
      <c r="Q34" s="1506" t="str">
        <f t="shared" si="11"/>
        <v>建筑结构</v>
      </c>
      <c r="R34" s="714" t="s">
        <v>17</v>
      </c>
      <c r="S34" s="715">
        <f t="shared" si="12"/>
        <v>100</v>
      </c>
      <c r="T34" s="714" t="s">
        <v>17</v>
      </c>
      <c r="U34" s="715">
        <f t="shared" si="13"/>
        <v>100</v>
      </c>
      <c r="V34" s="714" t="s">
        <v>17</v>
      </c>
      <c r="W34" s="715">
        <f t="shared" si="14"/>
        <v>100</v>
      </c>
      <c r="X34" s="1509"/>
      <c r="Y34" s="3488"/>
      <c r="Z34" s="1510" t="str">
        <f t="shared" si="15"/>
        <v>建筑结构</v>
      </c>
      <c r="AA34" s="1507">
        <f t="shared" si="3"/>
        <v>1</v>
      </c>
      <c r="AB34" s="1507">
        <f t="shared" si="4"/>
        <v>1</v>
      </c>
      <c r="AC34" s="1507">
        <f t="shared" si="5"/>
        <v>1</v>
      </c>
    </row>
    <row r="35" spans="1:29" ht="15">
      <c r="A35" s="431"/>
      <c r="B35" s="381" t="s">
        <v>2423</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6"/>
      <c r="M35" s="2910"/>
      <c r="N35" s="2910"/>
      <c r="O35" s="2910"/>
      <c r="P35" s="3528"/>
      <c r="Q35" s="1506" t="str">
        <f t="shared" si="11"/>
        <v>公共部分装修</v>
      </c>
      <c r="R35" s="714" t="s">
        <v>17</v>
      </c>
      <c r="S35" s="715">
        <f t="shared" si="12"/>
        <v>100</v>
      </c>
      <c r="T35" s="714" t="s">
        <v>17</v>
      </c>
      <c r="U35" s="715">
        <f t="shared" si="13"/>
        <v>100</v>
      </c>
      <c r="V35" s="714" t="s">
        <v>17</v>
      </c>
      <c r="W35" s="715">
        <f t="shared" si="14"/>
        <v>100</v>
      </c>
      <c r="X35" s="1509"/>
      <c r="Y35" s="3488"/>
      <c r="Z35" s="1510" t="str">
        <f t="shared" si="15"/>
        <v>公共部分装修</v>
      </c>
      <c r="AA35" s="1507">
        <f t="shared" si="3"/>
        <v>1</v>
      </c>
      <c r="AB35" s="1507">
        <f t="shared" si="4"/>
        <v>1</v>
      </c>
      <c r="AC35" s="1507">
        <f t="shared" si="5"/>
        <v>1</v>
      </c>
    </row>
    <row r="36" spans="1:29" ht="15">
      <c r="A36" s="431"/>
      <c r="B36" s="381" t="s">
        <v>2424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528"/>
      <c r="Q36" s="1506" t="str">
        <f t="shared" si="11"/>
        <v>成新度</v>
      </c>
      <c r="R36" s="714" t="s">
        <v>17</v>
      </c>
      <c r="S36" s="715" t="e">
        <f t="shared" si="12"/>
        <v>#N/A</v>
      </c>
      <c r="T36" s="714" t="s">
        <v>17</v>
      </c>
      <c r="U36" s="715" t="e">
        <f t="shared" si="13"/>
        <v>#N/A</v>
      </c>
      <c r="V36" s="714" t="s">
        <v>17</v>
      </c>
      <c r="W36" s="715" t="e">
        <f t="shared" si="14"/>
        <v>#N/A</v>
      </c>
      <c r="X36" s="1509"/>
      <c r="Y36" s="3488"/>
      <c r="Z36" s="1510" t="str">
        <f t="shared" si="15"/>
        <v>成新度</v>
      </c>
      <c r="AA36" s="1507" t="e">
        <f t="shared" si="3"/>
        <v>#N/A</v>
      </c>
      <c r="AB36" s="1507" t="e">
        <f t="shared" si="4"/>
        <v>#N/A</v>
      </c>
      <c r="AC36" s="1507" t="e">
        <f t="shared" si="5"/>
        <v>#N/A</v>
      </c>
    </row>
    <row r="37" spans="1:29" s="113" customFormat="1" ht="15">
      <c r="A37" s="432"/>
      <c r="B37" s="381" t="s">
        <v>2425</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1"/>
      <c r="M37" s="2912"/>
      <c r="N37" s="2912"/>
      <c r="O37" s="2912"/>
      <c r="P37" s="3528"/>
      <c r="Q37" s="1497" t="str">
        <f t="shared" si="11"/>
        <v>市政基础设施</v>
      </c>
      <c r="R37" s="710" t="s">
        <v>17</v>
      </c>
      <c r="S37" s="711">
        <f t="shared" si="12"/>
        <v>100</v>
      </c>
      <c r="T37" s="710" t="s">
        <v>17</v>
      </c>
      <c r="U37" s="711">
        <f t="shared" si="13"/>
        <v>100</v>
      </c>
      <c r="V37" s="710" t="s">
        <v>17</v>
      </c>
      <c r="W37" s="711">
        <f t="shared" si="14"/>
        <v>100</v>
      </c>
      <c r="X37" s="712"/>
      <c r="Y37" s="3488"/>
      <c r="Z37" s="55" t="str">
        <f t="shared" si="15"/>
        <v>市政基础设施</v>
      </c>
      <c r="AA37" s="713">
        <f t="shared" si="3"/>
        <v>1</v>
      </c>
      <c r="AB37" s="713">
        <f t="shared" si="4"/>
        <v>1</v>
      </c>
      <c r="AC37" s="713">
        <f t="shared" si="5"/>
        <v>1</v>
      </c>
    </row>
    <row r="38" spans="1:29" ht="15">
      <c r="A38" s="431"/>
      <c r="B38" s="381" t="s">
        <v>2426</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6"/>
      <c r="M38" s="2910"/>
      <c r="N38" s="2910"/>
      <c r="O38" s="2910"/>
      <c r="P38" s="3528" t="s">
        <v>2327</v>
      </c>
      <c r="Q38" s="1506" t="str">
        <f t="shared" si="11"/>
        <v>业态</v>
      </c>
      <c r="R38" s="714" t="s">
        <v>17</v>
      </c>
      <c r="S38" s="715">
        <f t="shared" si="12"/>
        <v>100</v>
      </c>
      <c r="T38" s="714" t="s">
        <v>17</v>
      </c>
      <c r="U38" s="715">
        <f t="shared" si="13"/>
        <v>100</v>
      </c>
      <c r="V38" s="714" t="s">
        <v>17</v>
      </c>
      <c r="W38" s="715">
        <f t="shared" si="14"/>
        <v>100</v>
      </c>
      <c r="X38" s="1509"/>
      <c r="Y38" s="3488" t="s">
        <v>2327</v>
      </c>
      <c r="Z38" s="1510" t="str">
        <f t="shared" si="15"/>
        <v>业态</v>
      </c>
      <c r="AA38" s="1507">
        <f t="shared" si="3"/>
        <v>1</v>
      </c>
      <c r="AB38" s="1507">
        <f t="shared" si="4"/>
        <v>1</v>
      </c>
      <c r="AC38" s="1507">
        <f t="shared" si="5"/>
        <v>1</v>
      </c>
    </row>
    <row r="39" spans="1:29" ht="15">
      <c r="A39" s="431"/>
      <c r="B39" s="381" t="s">
        <v>2427</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6"/>
      <c r="M39" s="2910"/>
      <c r="N39" s="2910"/>
      <c r="O39" s="2910"/>
      <c r="P39" s="3528"/>
      <c r="Q39" s="1506" t="str">
        <f t="shared" si="11"/>
        <v>层高</v>
      </c>
      <c r="R39" s="714" t="s">
        <v>17</v>
      </c>
      <c r="S39" s="715">
        <f t="shared" si="12"/>
        <v>100</v>
      </c>
      <c r="T39" s="714" t="s">
        <v>17</v>
      </c>
      <c r="U39" s="715">
        <f t="shared" si="13"/>
        <v>100</v>
      </c>
      <c r="V39" s="714" t="s">
        <v>17</v>
      </c>
      <c r="W39" s="715">
        <f t="shared" si="14"/>
        <v>100</v>
      </c>
      <c r="X39" s="1509"/>
      <c r="Y39" s="3488"/>
      <c r="Z39" s="1510" t="str">
        <f t="shared" si="15"/>
        <v>层高</v>
      </c>
      <c r="AA39" s="1507">
        <f t="shared" si="3"/>
        <v>1</v>
      </c>
      <c r="AB39" s="1507">
        <f t="shared" si="4"/>
        <v>1</v>
      </c>
      <c r="AC39" s="1507">
        <f t="shared" si="5"/>
        <v>1</v>
      </c>
    </row>
    <row r="40" spans="1:29" ht="15">
      <c r="A40" s="431"/>
      <c r="B40" s="381" t="s">
        <v>2428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528"/>
      <c r="Q40" s="1506" t="str">
        <f t="shared" si="11"/>
        <v>单套建筑面积</v>
      </c>
      <c r="R40" s="714" t="s">
        <v>17</v>
      </c>
      <c r="S40" s="715">
        <f t="shared" si="12"/>
        <v>100</v>
      </c>
      <c r="T40" s="714" t="s">
        <v>17</v>
      </c>
      <c r="U40" s="715">
        <f t="shared" si="13"/>
        <v>100</v>
      </c>
      <c r="V40" s="714" t="s">
        <v>17</v>
      </c>
      <c r="W40" s="715">
        <f t="shared" si="14"/>
        <v>100</v>
      </c>
      <c r="X40" s="1509"/>
      <c r="Y40" s="3488"/>
      <c r="Z40" s="1510" t="str">
        <f t="shared" si="15"/>
        <v>单套建筑面积</v>
      </c>
      <c r="AA40" s="1507">
        <f t="shared" si="3"/>
        <v>1</v>
      </c>
      <c r="AB40" s="1507">
        <f t="shared" si="4"/>
        <v>1</v>
      </c>
      <c r="AC40" s="1507">
        <f t="shared" si="5"/>
        <v>1</v>
      </c>
    </row>
    <row r="41" spans="1:29" s="430" customFormat="1" ht="15">
      <c r="A41" s="427"/>
      <c r="B41" s="1508" t="s">
        <v>2429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528"/>
      <c r="Q41" s="716" t="str">
        <f t="shared" si="11"/>
        <v>进深比</v>
      </c>
      <c r="R41" s="717" t="s">
        <v>17</v>
      </c>
      <c r="S41" s="718">
        <f t="shared" si="12"/>
        <v>100</v>
      </c>
      <c r="T41" s="717" t="s">
        <v>17</v>
      </c>
      <c r="U41" s="718">
        <f t="shared" si="13"/>
        <v>100</v>
      </c>
      <c r="V41" s="717" t="s">
        <v>17</v>
      </c>
      <c r="W41" s="718">
        <f t="shared" si="14"/>
        <v>100</v>
      </c>
      <c r="X41" s="719"/>
      <c r="Y41" s="3488"/>
      <c r="Z41" s="720" t="str">
        <f t="shared" si="15"/>
        <v>进深比</v>
      </c>
      <c r="AA41" s="1507">
        <f t="shared" si="3"/>
        <v>1</v>
      </c>
      <c r="AB41" s="1507">
        <f t="shared" si="4"/>
        <v>1</v>
      </c>
      <c r="AC41" s="1507">
        <f t="shared" si="5"/>
        <v>1</v>
      </c>
    </row>
    <row r="42" spans="1:29" ht="15">
      <c r="A42" s="431"/>
      <c r="B42" s="381" t="s">
        <v>2430</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6"/>
      <c r="M42" s="2910"/>
      <c r="N42" s="2910"/>
      <c r="O42" s="2910"/>
      <c r="P42" s="3528"/>
      <c r="Q42" s="1506" t="str">
        <f t="shared" si="11"/>
        <v>内部装修</v>
      </c>
      <c r="R42" s="714" t="s">
        <v>17</v>
      </c>
      <c r="S42" s="715">
        <f t="shared" si="12"/>
        <v>100</v>
      </c>
      <c r="T42" s="714" t="s">
        <v>17</v>
      </c>
      <c r="U42" s="715">
        <f t="shared" si="13"/>
        <v>100</v>
      </c>
      <c r="V42" s="714" t="s">
        <v>17</v>
      </c>
      <c r="W42" s="715">
        <f t="shared" si="14"/>
        <v>100</v>
      </c>
      <c r="X42" s="1509"/>
      <c r="Y42" s="3488"/>
      <c r="Z42" s="1510" t="str">
        <f t="shared" si="15"/>
        <v>内部装修</v>
      </c>
      <c r="AA42" s="1507">
        <f t="shared" si="3"/>
        <v>1</v>
      </c>
      <c r="AB42" s="1507">
        <f t="shared" si="4"/>
        <v>1</v>
      </c>
      <c r="AC42" s="1507">
        <f t="shared" si="5"/>
        <v>1</v>
      </c>
    </row>
    <row r="43" spans="1:29" ht="15">
      <c r="A43" s="431"/>
      <c r="B43" s="381" t="s">
        <v>2338</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6"/>
      <c r="M43" s="2910"/>
      <c r="N43" s="2910"/>
      <c r="O43" s="2910"/>
      <c r="P43" s="3528"/>
      <c r="Q43" s="1506" t="str">
        <f t="shared" si="11"/>
        <v>内部装修维护情况</v>
      </c>
      <c r="R43" s="714" t="s">
        <v>17</v>
      </c>
      <c r="S43" s="715">
        <f t="shared" si="12"/>
        <v>100</v>
      </c>
      <c r="T43" s="714" t="s">
        <v>17</v>
      </c>
      <c r="U43" s="715">
        <f t="shared" si="13"/>
        <v>100</v>
      </c>
      <c r="V43" s="714" t="s">
        <v>17</v>
      </c>
      <c r="W43" s="715">
        <f t="shared" si="14"/>
        <v>100</v>
      </c>
      <c r="X43" s="1509"/>
      <c r="Y43" s="348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528"/>
      <c r="Q44" s="1497">
        <f t="shared" si="11"/>
        <v>111</v>
      </c>
      <c r="R44" s="710" t="s">
        <v>17</v>
      </c>
      <c r="S44" s="711">
        <f t="shared" si="12"/>
        <v>100</v>
      </c>
      <c r="T44" s="710" t="s">
        <v>17</v>
      </c>
      <c r="U44" s="711">
        <f t="shared" si="13"/>
        <v>100</v>
      </c>
      <c r="V44" s="710" t="s">
        <v>17</v>
      </c>
      <c r="W44" s="711">
        <f t="shared" si="14"/>
        <v>100</v>
      </c>
      <c r="X44" s="712"/>
      <c r="Y44" s="348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528"/>
      <c r="Q45" s="1506">
        <f t="shared" si="11"/>
        <v>111</v>
      </c>
      <c r="R45" s="714" t="s">
        <v>17</v>
      </c>
      <c r="S45" s="715">
        <f t="shared" si="12"/>
        <v>100</v>
      </c>
      <c r="T45" s="714" t="s">
        <v>17</v>
      </c>
      <c r="U45" s="715">
        <f t="shared" si="13"/>
        <v>100</v>
      </c>
      <c r="V45" s="714" t="s">
        <v>17</v>
      </c>
      <c r="W45" s="715">
        <f t="shared" si="14"/>
        <v>100</v>
      </c>
      <c r="X45" s="1509"/>
      <c r="Y45" s="3488"/>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529"/>
      <c r="Q46" s="1506">
        <f t="shared" si="11"/>
        <v>111</v>
      </c>
      <c r="R46" s="714" t="s">
        <v>17</v>
      </c>
      <c r="S46" s="715">
        <f t="shared" si="12"/>
        <v>100</v>
      </c>
      <c r="T46" s="714" t="s">
        <v>17</v>
      </c>
      <c r="U46" s="715">
        <f t="shared" si="13"/>
        <v>100</v>
      </c>
      <c r="V46" s="714" t="s">
        <v>17</v>
      </c>
      <c r="W46" s="715">
        <f t="shared" si="14"/>
        <v>100</v>
      </c>
      <c r="X46" s="1509"/>
      <c r="Y46" s="3530"/>
      <c r="Z46" s="1510">
        <f t="shared" si="15"/>
        <v>111</v>
      </c>
      <c r="AA46" s="1507">
        <f t="shared" si="3"/>
        <v>1</v>
      </c>
      <c r="AB46" s="1507">
        <f t="shared" si="4"/>
        <v>1</v>
      </c>
      <c r="AC46" s="1507">
        <f t="shared" si="5"/>
        <v>1</v>
      </c>
    </row>
    <row r="47" spans="1:29" ht="15">
      <c r="A47" s="438" t="s">
        <v>2339</v>
      </c>
      <c r="B47" s="439"/>
      <c r="C47" s="1288" t="s">
        <v>1</v>
      </c>
      <c r="D47" s="1289"/>
      <c r="E47" s="1290"/>
      <c r="F47" s="1291"/>
      <c r="G47" s="1292"/>
      <c r="H47" s="1293"/>
      <c r="I47" s="1290"/>
      <c r="J47" s="1293"/>
      <c r="K47" s="723"/>
      <c r="L47" s="2918"/>
      <c r="M47" s="2919"/>
      <c r="N47" s="2910"/>
      <c r="O47" s="2919"/>
      <c r="P47" s="3470" t="str">
        <f>A47</f>
        <v>成交单价（元/平方米）</v>
      </c>
      <c r="Q47" s="3470"/>
      <c r="R47" s="3483">
        <f>E47</f>
        <v>0</v>
      </c>
      <c r="S47" s="3483"/>
      <c r="T47" s="3483">
        <f>G47</f>
        <v>0</v>
      </c>
      <c r="U47" s="3483"/>
      <c r="V47" s="3483">
        <f>I47</f>
        <v>0</v>
      </c>
      <c r="W47" s="3483"/>
      <c r="X47" s="699"/>
      <c r="Y47" s="721"/>
      <c r="Z47" s="699"/>
      <c r="AA47" s="699"/>
      <c r="AB47" s="699"/>
      <c r="AC47" s="699"/>
    </row>
    <row r="48" spans="1:29" ht="15.75" thickBot="1">
      <c r="A48" s="445" t="s">
        <v>2431</v>
      </c>
      <c r="B48" s="446"/>
      <c r="C48" s="1294" t="e">
        <f>R49</f>
        <v>#DIV/0!</v>
      </c>
      <c r="D48" s="2507" t="s">
        <v>2822</v>
      </c>
      <c r="E48" s="1295" t="e">
        <f>R48</f>
        <v>#DIV/0!</v>
      </c>
      <c r="F48" s="2508"/>
      <c r="G48" s="1294" t="e">
        <f>T48</f>
        <v>#DIV/0!</v>
      </c>
      <c r="H48" s="2508"/>
      <c r="I48" s="1295" t="e">
        <f>V48</f>
        <v>#DIV/0!</v>
      </c>
      <c r="J48" s="2508"/>
      <c r="K48" s="2510">
        <f>F48+H48+J48</f>
        <v>0</v>
      </c>
      <c r="L48" s="2918"/>
      <c r="M48" s="2919"/>
      <c r="N48" s="2910"/>
      <c r="O48" s="2919"/>
      <c r="P48" s="3470" t="str">
        <f>A48</f>
        <v>比较价值（元/平方米）</v>
      </c>
      <c r="Q48" s="3470"/>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2432</v>
      </c>
      <c r="B49" s="450"/>
      <c r="C49" s="1297" t="e">
        <f>R49</f>
        <v>#DIV/0!</v>
      </c>
      <c r="D49" s="1297"/>
      <c r="E49" s="1297"/>
      <c r="F49" s="1297"/>
      <c r="G49" s="1297"/>
      <c r="H49" s="1297"/>
      <c r="I49" s="1297"/>
      <c r="J49" s="1297"/>
      <c r="K49" s="724"/>
      <c r="L49" s="2918"/>
      <c r="M49" s="2919"/>
      <c r="N49" s="2910"/>
      <c r="O49" s="2919"/>
      <c r="P49" s="3490" t="str">
        <f>A49</f>
        <v>估价对象XX用房的比较价值（楼面单价，元/平方米）</v>
      </c>
      <c r="Q49" s="3491"/>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2436</v>
      </c>
      <c r="B57" s="699"/>
      <c r="C57" s="704"/>
      <c r="D57" s="704"/>
      <c r="E57" s="704"/>
      <c r="F57" s="705"/>
      <c r="G57" s="705"/>
      <c r="H57" s="704"/>
      <c r="I57" s="704"/>
      <c r="J57" s="704"/>
      <c r="K57" s="706"/>
      <c r="L57" s="1073"/>
      <c r="M57" s="1071"/>
      <c r="N57" s="1071"/>
      <c r="O57" s="1071"/>
      <c r="P57" s="2932"/>
      <c r="Q57" s="2933"/>
      <c r="R57" s="2919"/>
      <c r="S57" s="2919"/>
      <c r="T57" s="2919"/>
      <c r="U57" s="2919"/>
      <c r="V57" s="2919"/>
      <c r="W57" s="2919"/>
      <c r="X57" s="2919"/>
      <c r="Y57" s="2919"/>
      <c r="Z57" s="2919"/>
      <c r="AA57" s="2919"/>
      <c r="AB57" s="2919"/>
      <c r="AC57" s="2919"/>
    </row>
    <row r="58" spans="1:29" s="465" customFormat="1" ht="15">
      <c r="A58" s="462" t="s">
        <v>2310</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4"/>
      <c r="Q58" s="2935"/>
      <c r="R58" s="2935"/>
      <c r="S58" s="2935"/>
      <c r="T58" s="2935"/>
      <c r="U58" s="2935"/>
      <c r="V58" s="2935"/>
      <c r="W58" s="2935"/>
      <c r="X58" s="2935"/>
      <c r="Y58" s="2935"/>
      <c r="Z58" s="2935"/>
      <c r="AA58" s="2935"/>
      <c r="AB58" s="2935"/>
      <c r="AC58" s="2935"/>
    </row>
    <row r="59" spans="1:29" s="113" customFormat="1" ht="15">
      <c r="A59" s="466"/>
      <c r="B59" s="467"/>
      <c r="C59" s="1317">
        <v>100</v>
      </c>
      <c r="D59" s="469"/>
      <c r="E59" s="469"/>
      <c r="F59" s="469"/>
      <c r="G59" s="469"/>
      <c r="H59" s="469"/>
      <c r="I59" s="469"/>
      <c r="J59" s="469"/>
      <c r="K59" s="469"/>
      <c r="L59" s="469"/>
      <c r="M59" s="470"/>
      <c r="N59" s="469"/>
      <c r="O59" s="470"/>
      <c r="P59" s="2936"/>
      <c r="Q59" s="2854"/>
      <c r="R59" s="2854"/>
      <c r="S59" s="2854"/>
      <c r="T59" s="2854"/>
      <c r="U59" s="2854"/>
      <c r="V59" s="2854"/>
      <c r="W59" s="2854"/>
      <c r="X59" s="2854"/>
      <c r="Y59" s="2854"/>
      <c r="Z59" s="2854"/>
      <c r="AA59" s="2854"/>
      <c r="AB59" s="2854"/>
      <c r="AC59" s="2854"/>
    </row>
    <row r="60" spans="1:29" s="113" customFormat="1" ht="15.75" thickBot="1">
      <c r="A60" s="472" t="s">
        <v>2347</v>
      </c>
      <c r="B60" s="473"/>
      <c r="C60" s="474"/>
      <c r="D60" s="475"/>
      <c r="E60" s="475"/>
      <c r="F60" s="475"/>
      <c r="G60" s="475"/>
      <c r="H60" s="475"/>
      <c r="I60" s="475"/>
      <c r="J60" s="475"/>
      <c r="K60" s="475"/>
      <c r="L60" s="475"/>
      <c r="M60" s="476"/>
      <c r="N60" s="475"/>
      <c r="O60" s="476"/>
      <c r="P60" s="2936"/>
      <c r="Q60" s="2933"/>
      <c r="R60" s="2854"/>
      <c r="S60" s="2854"/>
      <c r="T60" s="2854"/>
      <c r="U60" s="2854"/>
      <c r="V60" s="2854"/>
      <c r="W60" s="2854"/>
      <c r="X60" s="2854"/>
      <c r="Y60" s="2854"/>
      <c r="Z60" s="2854"/>
      <c r="AA60" s="2854"/>
      <c r="AB60" s="2854"/>
      <c r="AC60" s="2854"/>
    </row>
    <row r="61" spans="1:29" s="113" customFormat="1" ht="15">
      <c r="A61" s="478" t="s">
        <v>2312</v>
      </c>
      <c r="B61" s="467"/>
      <c r="C61" s="479" t="s">
        <v>2414</v>
      </c>
      <c r="D61" s="480"/>
      <c r="E61" s="480"/>
      <c r="F61" s="480"/>
      <c r="G61" s="480"/>
      <c r="H61" s="480"/>
      <c r="I61" s="480"/>
      <c r="J61" s="480"/>
      <c r="K61" s="480"/>
      <c r="L61" s="481"/>
      <c r="M61" s="482"/>
      <c r="N61" s="2946"/>
      <c r="O61" s="2946"/>
      <c r="P61" s="2937"/>
      <c r="Q61" s="2933"/>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4"/>
      <c r="S62" s="2854"/>
      <c r="T62" s="2854"/>
      <c r="U62" s="2854"/>
      <c r="V62" s="2854"/>
      <c r="W62" s="2854"/>
      <c r="X62" s="2854"/>
      <c r="Y62" s="2854"/>
      <c r="Z62" s="2854"/>
      <c r="AA62" s="2854"/>
      <c r="AB62" s="2854"/>
      <c r="AC62" s="2854"/>
    </row>
    <row r="63" spans="1:29">
      <c r="A63" s="484" t="s">
        <v>2350</v>
      </c>
      <c r="B63" s="485" t="s">
        <v>2316</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2319</v>
      </c>
      <c r="C65" s="496" t="s">
        <v>2351</v>
      </c>
      <c r="D65" s="496" t="s">
        <v>2352</v>
      </c>
      <c r="E65" s="496" t="s">
        <v>2353</v>
      </c>
      <c r="F65" s="496" t="s">
        <v>2354</v>
      </c>
      <c r="G65" s="496" t="s">
        <v>2355</v>
      </c>
      <c r="H65" s="496" t="s">
        <v>2356</v>
      </c>
      <c r="I65" s="496" t="s">
        <v>2357</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2320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2321</v>
      </c>
      <c r="B76" s="485" t="s">
        <v>2358</v>
      </c>
      <c r="C76" s="530" t="s">
        <v>2359</v>
      </c>
      <c r="D76" s="530" t="s">
        <v>2360</v>
      </c>
      <c r="E76" s="530" t="s">
        <v>2361</v>
      </c>
      <c r="F76" s="530" t="s">
        <v>2362</v>
      </c>
      <c r="G76" s="530" t="s">
        <v>2363</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2364</v>
      </c>
      <c r="C78" s="535" t="s">
        <v>2359</v>
      </c>
      <c r="D78" s="535" t="s">
        <v>2360</v>
      </c>
      <c r="E78" s="535" t="s">
        <v>2361</v>
      </c>
      <c r="F78" s="535" t="s">
        <v>2362</v>
      </c>
      <c r="G78" s="535" t="s">
        <v>2363</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2365</v>
      </c>
      <c r="C80" s="535" t="s">
        <v>2359</v>
      </c>
      <c r="D80" s="535" t="s">
        <v>2360</v>
      </c>
      <c r="E80" s="535" t="s">
        <v>2361</v>
      </c>
      <c r="F80" s="535" t="s">
        <v>2362</v>
      </c>
      <c r="G80" s="535" t="s">
        <v>2363</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2417</v>
      </c>
      <c r="C82" s="616" t="s">
        <v>2437</v>
      </c>
      <c r="D82" s="616" t="s">
        <v>2438</v>
      </c>
      <c r="E82" s="616" t="s">
        <v>2439</v>
      </c>
      <c r="F82" s="616" t="s">
        <v>2440</v>
      </c>
      <c r="G82" s="616" t="s">
        <v>2441</v>
      </c>
      <c r="H82" s="496"/>
      <c r="I82" s="496"/>
      <c r="J82" s="496"/>
      <c r="K82" s="496"/>
      <c r="L82" s="496"/>
      <c r="M82" s="1263"/>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2371</v>
      </c>
      <c r="C84" s="535" t="s">
        <v>2359</v>
      </c>
      <c r="D84" s="535" t="s">
        <v>2360</v>
      </c>
      <c r="E84" s="535" t="s">
        <v>2361</v>
      </c>
      <c r="F84" s="535" t="s">
        <v>2362</v>
      </c>
      <c r="G84" s="535" t="s">
        <v>2363</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2442</v>
      </c>
      <c r="C86" s="511"/>
      <c r="D86" s="511"/>
      <c r="E86" s="511"/>
      <c r="F86" s="511"/>
      <c r="G86" s="511"/>
      <c r="H86" s="511"/>
      <c r="I86" s="511"/>
      <c r="J86" s="511"/>
      <c r="K86" s="511"/>
      <c r="L86" s="537"/>
      <c r="M86" s="538"/>
      <c r="N86" s="2946"/>
      <c r="O86" s="2946"/>
      <c r="P86" s="2938"/>
      <c r="Q86" s="2933"/>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2"/>
      <c r="G88" s="511"/>
      <c r="H88" s="511"/>
      <c r="I88" s="511"/>
      <c r="J88" s="511"/>
      <c r="K88" s="511"/>
      <c r="L88" s="511"/>
      <c r="M88" s="538"/>
      <c r="N88" s="2946"/>
      <c r="O88" s="2946"/>
      <c r="P88" s="2938"/>
      <c r="Q88" s="2933"/>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8"/>
      <c r="O89" s="2948"/>
      <c r="P89" s="2938"/>
      <c r="Q89" s="2933"/>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3"/>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2325</v>
      </c>
      <c r="B100" s="485" t="s">
        <v>2443</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2376</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2378</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2380</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2444</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2445</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2446</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2447</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2382</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2383</v>
      </c>
      <c r="C124" s="535" t="s">
        <v>2359</v>
      </c>
      <c r="D124" s="535" t="s">
        <v>2360</v>
      </c>
      <c r="E124" s="535" t="s">
        <v>2361</v>
      </c>
      <c r="F124" s="535" t="s">
        <v>2362</v>
      </c>
      <c r="G124" s="535" t="s">
        <v>2363</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3"/>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112" t="s">
        <v>2448</v>
      </c>
      <c r="C1" s="1364" t="s">
        <v>2292</v>
      </c>
      <c r="D1" s="1365"/>
      <c r="E1" s="1374"/>
      <c r="F1" s="2034"/>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2406</v>
      </c>
      <c r="D3" s="359">
        <f>IF(D1="",'数据-汇总表'!E3,SUMIF('数据-汇总表'!$C19:$C33,D1,'数据-汇总表'!$E19:$E33))</f>
        <v>39892.17</v>
      </c>
      <c r="E3" s="2109"/>
      <c r="F3" s="1040"/>
      <c r="G3" s="1039"/>
      <c r="H3" s="1039"/>
      <c r="I3" s="1039"/>
      <c r="J3" s="1039"/>
      <c r="K3" s="1041"/>
      <c r="L3" s="2928"/>
      <c r="M3" s="2929"/>
      <c r="N3" s="2929"/>
      <c r="O3" s="2929"/>
      <c r="P3" s="708"/>
      <c r="Q3" s="708"/>
      <c r="R3" s="708"/>
      <c r="S3" s="708"/>
      <c r="T3" s="708"/>
      <c r="U3" s="708"/>
      <c r="V3" s="708"/>
      <c r="W3" s="708"/>
      <c r="X3" s="708"/>
      <c r="Y3" s="708"/>
      <c r="Z3" s="708"/>
      <c r="AA3" s="708"/>
      <c r="AB3" s="708"/>
      <c r="AC3" s="709"/>
    </row>
    <row r="4" spans="1:29" ht="15">
      <c r="A4" s="361" t="s">
        <v>2407</v>
      </c>
      <c r="B4" s="362"/>
      <c r="C4" s="3471" t="s">
        <v>2408</v>
      </c>
      <c r="D4" s="3472"/>
      <c r="E4" s="3473" t="s">
        <v>2409</v>
      </c>
      <c r="F4" s="3474"/>
      <c r="G4" s="3471" t="s">
        <v>2410</v>
      </c>
      <c r="H4" s="3472"/>
      <c r="I4" s="3471" t="s">
        <v>2411</v>
      </c>
      <c r="J4" s="3472"/>
      <c r="K4" s="567" t="s">
        <v>2412</v>
      </c>
      <c r="L4" s="2909"/>
      <c r="M4" s="2910"/>
      <c r="N4" s="2910"/>
      <c r="O4" s="2910"/>
      <c r="P4" s="3539" t="s">
        <v>2413</v>
      </c>
      <c r="Q4" s="3540"/>
      <c r="R4" s="3534" t="s">
        <v>2409</v>
      </c>
      <c r="S4" s="3535"/>
      <c r="T4" s="3534" t="s">
        <v>2410</v>
      </c>
      <c r="U4" s="3535"/>
      <c r="V4" s="3543" t="s">
        <v>2411</v>
      </c>
      <c r="W4" s="3543"/>
      <c r="X4" s="2113"/>
      <c r="Y4" s="3534" t="s">
        <v>2413</v>
      </c>
      <c r="Z4" s="3535"/>
      <c r="AA4" s="3533" t="s">
        <v>2409</v>
      </c>
      <c r="AB4" s="3533" t="s">
        <v>2410</v>
      </c>
      <c r="AC4" s="3536" t="s">
        <v>2411</v>
      </c>
    </row>
    <row r="5" spans="1:29" ht="15">
      <c r="A5" s="364"/>
      <c r="B5" s="365"/>
      <c r="C5" s="3464" t="s">
        <v>2304</v>
      </c>
      <c r="D5" s="3465"/>
      <c r="E5" s="3462" t="s">
        <v>2305</v>
      </c>
      <c r="F5" s="3463"/>
      <c r="G5" s="3464" t="s">
        <v>2306</v>
      </c>
      <c r="H5" s="3465"/>
      <c r="I5" s="3464" t="s">
        <v>2307</v>
      </c>
      <c r="J5" s="3465"/>
      <c r="K5" s="567"/>
      <c r="L5" s="2909"/>
      <c r="M5" s="2910"/>
      <c r="N5" s="2910"/>
      <c r="O5" s="2910"/>
      <c r="P5" s="3541"/>
      <c r="Q5" s="3478"/>
      <c r="R5" s="3460"/>
      <c r="S5" s="3461"/>
      <c r="T5" s="3460"/>
      <c r="U5" s="3461"/>
      <c r="V5" s="3483"/>
      <c r="W5" s="3483"/>
      <c r="X5" s="1509"/>
      <c r="Y5" s="3460"/>
      <c r="Z5" s="3461"/>
      <c r="AA5" s="3454"/>
      <c r="AB5" s="3454"/>
      <c r="AC5" s="3537"/>
    </row>
    <row r="6" spans="1:29" ht="15.75" thickBot="1">
      <c r="A6" s="366"/>
      <c r="B6" s="367"/>
      <c r="C6" s="3466" t="s">
        <v>2308</v>
      </c>
      <c r="D6" s="3467"/>
      <c r="E6" s="3468" t="s">
        <v>2308</v>
      </c>
      <c r="F6" s="3469"/>
      <c r="G6" s="3466" t="s">
        <v>2308</v>
      </c>
      <c r="H6" s="3467"/>
      <c r="I6" s="3466" t="s">
        <v>2308</v>
      </c>
      <c r="J6" s="3467"/>
      <c r="K6" s="567" t="s">
        <v>2309</v>
      </c>
      <c r="L6" s="2909"/>
      <c r="M6" s="2910"/>
      <c r="N6" s="2910"/>
      <c r="O6" s="2910"/>
      <c r="P6" s="3542"/>
      <c r="Q6" s="3480"/>
      <c r="R6" s="3460"/>
      <c r="S6" s="3461"/>
      <c r="T6" s="3481"/>
      <c r="U6" s="3482"/>
      <c r="V6" s="3483"/>
      <c r="W6" s="3483"/>
      <c r="X6" s="1509"/>
      <c r="Y6" s="3481"/>
      <c r="Z6" s="3482"/>
      <c r="AA6" s="3455"/>
      <c r="AB6" s="3455"/>
      <c r="AC6" s="3538"/>
    </row>
    <row r="7" spans="1:29" s="113" customFormat="1" ht="15.75" thickBot="1">
      <c r="A7" s="368" t="s">
        <v>2310</v>
      </c>
      <c r="B7" s="369"/>
      <c r="C7" s="370">
        <f>'数据-取费表'!B2</f>
        <v>44623</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44" t="s">
        <v>2311</v>
      </c>
      <c r="Q7" s="3484"/>
      <c r="R7" s="710" t="s">
        <v>17</v>
      </c>
      <c r="S7" s="711">
        <f t="shared" ref="S7:S15" si="0">F7</f>
        <v>0</v>
      </c>
      <c r="T7" s="710" t="s">
        <v>17</v>
      </c>
      <c r="U7" s="711">
        <f t="shared" ref="U7:U15" si="1">H7</f>
        <v>0</v>
      </c>
      <c r="V7" s="710" t="s">
        <v>17</v>
      </c>
      <c r="W7" s="711">
        <f t="shared" ref="W7:W15" si="2">J7</f>
        <v>0</v>
      </c>
      <c r="X7" s="712"/>
      <c r="Y7" s="3456" t="s">
        <v>2311</v>
      </c>
      <c r="Z7" s="3457"/>
      <c r="AA7" s="713" t="e">
        <f>D7/F7</f>
        <v>#DIV/0!</v>
      </c>
      <c r="AB7" s="713" t="e">
        <f>D7/H7</f>
        <v>#DIV/0!</v>
      </c>
      <c r="AC7" s="2114" t="e">
        <f>D7/J7</f>
        <v>#DIV/0!</v>
      </c>
    </row>
    <row r="8" spans="1:29" s="113" customFormat="1" ht="15.75" thickBot="1">
      <c r="A8" s="368" t="s">
        <v>2312</v>
      </c>
      <c r="B8" s="369"/>
      <c r="C8" s="374" t="s">
        <v>2414</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44" t="s">
        <v>2314</v>
      </c>
      <c r="Q8" s="3457"/>
      <c r="R8" s="710" t="s">
        <v>17</v>
      </c>
      <c r="S8" s="711">
        <f t="shared" si="0"/>
        <v>0</v>
      </c>
      <c r="T8" s="710" t="s">
        <v>17</v>
      </c>
      <c r="U8" s="711">
        <f t="shared" si="1"/>
        <v>0</v>
      </c>
      <c r="V8" s="710" t="s">
        <v>17</v>
      </c>
      <c r="W8" s="711">
        <f t="shared" si="2"/>
        <v>0</v>
      </c>
      <c r="X8" s="712"/>
      <c r="Y8" s="3456" t="s">
        <v>2314</v>
      </c>
      <c r="Z8" s="3457"/>
      <c r="AA8" s="713" t="e">
        <f t="shared" ref="AA8:AA47" si="3">D8/F8</f>
        <v>#DIV/0!</v>
      </c>
      <c r="AB8" s="713" t="e">
        <f t="shared" ref="AB8:AB47" si="4">D8/H8</f>
        <v>#DIV/0!</v>
      </c>
      <c r="AC8" s="2114" t="e">
        <f t="shared" ref="AC8:AC47" si="5">D8/J8</f>
        <v>#DIV/0!</v>
      </c>
    </row>
    <row r="9" spans="1:29" s="113" customFormat="1">
      <c r="A9" s="375" t="s">
        <v>2315</v>
      </c>
      <c r="B9" s="67" t="s">
        <v>2316</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94"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2114">
        <f t="shared" si="5"/>
        <v>1</v>
      </c>
    </row>
    <row r="10" spans="1:29" s="386" customFormat="1" ht="27">
      <c r="A10" s="380"/>
      <c r="B10" s="381" t="s">
        <v>2319</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94"/>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2114">
        <f t="shared" si="5"/>
        <v>1</v>
      </c>
    </row>
    <row r="11" spans="1:29" ht="15">
      <c r="A11" s="387"/>
      <c r="B11" s="381" t="s">
        <v>2320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94"/>
      <c r="Q11" s="149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1"/>
      <c r="M12" s="2912"/>
      <c r="N12" s="2912"/>
      <c r="O12" s="2912"/>
      <c r="P12" s="3494"/>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6"/>
      <c r="M13" s="2910"/>
      <c r="N13" s="2910"/>
      <c r="O13" s="2910"/>
      <c r="P13" s="3494"/>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6"/>
      <c r="M14" s="2910"/>
      <c r="N14" s="2910"/>
      <c r="O14" s="2910"/>
      <c r="P14" s="3494"/>
      <c r="Q14" s="149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2114">
        <f t="shared" si="5"/>
        <v>1</v>
      </c>
    </row>
    <row r="15" spans="1:29" ht="71.25">
      <c r="A15" s="399" t="s">
        <v>2321</v>
      </c>
      <c r="B15" s="585" t="s">
        <v>2449</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531" t="s">
        <v>2322</v>
      </c>
      <c r="Q15" s="1506" t="str">
        <f t="shared" si="6"/>
        <v>办公集聚程度</v>
      </c>
      <c r="R15" s="714" t="s">
        <v>17</v>
      </c>
      <c r="S15" s="715">
        <f t="shared" si="0"/>
        <v>100</v>
      </c>
      <c r="T15" s="714" t="s">
        <v>17</v>
      </c>
      <c r="U15" s="715">
        <f t="shared" si="1"/>
        <v>100</v>
      </c>
      <c r="V15" s="714" t="s">
        <v>17</v>
      </c>
      <c r="W15" s="715">
        <f t="shared" si="2"/>
        <v>100</v>
      </c>
      <c r="X15" s="1509"/>
      <c r="Y15" s="3485" t="s">
        <v>2322</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16"/>
      <c r="M16" s="2910"/>
      <c r="N16" s="2910"/>
      <c r="O16" s="2910"/>
      <c r="P16" s="3532"/>
      <c r="Q16" s="1506"/>
      <c r="R16" s="714"/>
      <c r="S16" s="715"/>
      <c r="T16" s="714"/>
      <c r="U16" s="715"/>
      <c r="V16" s="714"/>
      <c r="W16" s="715"/>
      <c r="X16" s="1509"/>
      <c r="Y16" s="3486"/>
      <c r="Z16" s="1510"/>
      <c r="AA16" s="1507">
        <v>1</v>
      </c>
      <c r="AB16" s="1507">
        <v>1</v>
      </c>
      <c r="AC16" s="2117">
        <v>1</v>
      </c>
    </row>
    <row r="17" spans="1:29" ht="71.25">
      <c r="A17" s="387"/>
      <c r="B17" s="587" t="s">
        <v>1886</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532"/>
      <c r="Q17" s="1506" t="str">
        <f>B17</f>
        <v>交通便捷度</v>
      </c>
      <c r="R17" s="714" t="s">
        <v>17</v>
      </c>
      <c r="S17" s="715">
        <f>F17</f>
        <v>100</v>
      </c>
      <c r="T17" s="714" t="s">
        <v>17</v>
      </c>
      <c r="U17" s="715">
        <f>H17</f>
        <v>100</v>
      </c>
      <c r="V17" s="714" t="s">
        <v>17</v>
      </c>
      <c r="W17" s="715">
        <f>J17</f>
        <v>100</v>
      </c>
      <c r="X17" s="1509"/>
      <c r="Y17" s="3486"/>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16"/>
      <c r="M18" s="2910"/>
      <c r="N18" s="2910"/>
      <c r="O18" s="2910"/>
      <c r="P18" s="3532"/>
      <c r="Q18" s="1506"/>
      <c r="R18" s="714"/>
      <c r="S18" s="715"/>
      <c r="T18" s="714"/>
      <c r="U18" s="715"/>
      <c r="V18" s="714"/>
      <c r="W18" s="715"/>
      <c r="X18" s="1509"/>
      <c r="Y18" s="3486"/>
      <c r="Z18" s="1510"/>
      <c r="AA18" s="1507">
        <v>1</v>
      </c>
      <c r="AB18" s="1507">
        <v>1</v>
      </c>
      <c r="AC18" s="2117">
        <v>1</v>
      </c>
    </row>
    <row r="19" spans="1:29" ht="42.75">
      <c r="A19" s="387"/>
      <c r="B19" s="587" t="s">
        <v>2450</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532"/>
      <c r="Q19" s="1506" t="str">
        <f>B19</f>
        <v>公共配套设施</v>
      </c>
      <c r="R19" s="714" t="s">
        <v>17</v>
      </c>
      <c r="S19" s="715">
        <f>F19</f>
        <v>100</v>
      </c>
      <c r="T19" s="714" t="s">
        <v>17</v>
      </c>
      <c r="U19" s="715">
        <f>H19</f>
        <v>100</v>
      </c>
      <c r="V19" s="714" t="s">
        <v>17</v>
      </c>
      <c r="W19" s="715">
        <f>J19</f>
        <v>100</v>
      </c>
      <c r="X19" s="1509"/>
      <c r="Y19" s="3486"/>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16"/>
      <c r="M20" s="2910"/>
      <c r="N20" s="2910"/>
      <c r="O20" s="2910"/>
      <c r="P20" s="3532"/>
      <c r="Q20" s="1506"/>
      <c r="R20" s="714"/>
      <c r="S20" s="715"/>
      <c r="T20" s="714"/>
      <c r="U20" s="715"/>
      <c r="V20" s="714"/>
      <c r="W20" s="715"/>
      <c r="X20" s="1509"/>
      <c r="Y20" s="3486"/>
      <c r="Z20" s="1510"/>
      <c r="AA20" s="1507">
        <v>1</v>
      </c>
      <c r="AB20" s="1507">
        <v>1</v>
      </c>
      <c r="AC20" s="2117">
        <v>1</v>
      </c>
    </row>
    <row r="21" spans="1:29" ht="28.5">
      <c r="A21" s="387"/>
      <c r="B21" s="589" t="s">
        <v>2451</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532"/>
      <c r="Q21" s="1506" t="str">
        <f>B21</f>
        <v>基础设施水平</v>
      </c>
      <c r="R21" s="714" t="s">
        <v>17</v>
      </c>
      <c r="S21" s="715">
        <f>F21</f>
        <v>100</v>
      </c>
      <c r="T21" s="714" t="s">
        <v>17</v>
      </c>
      <c r="U21" s="715">
        <f>H21</f>
        <v>100</v>
      </c>
      <c r="V21" s="714" t="s">
        <v>17</v>
      </c>
      <c r="W21" s="715">
        <f>J21</f>
        <v>100</v>
      </c>
      <c r="X21" s="1509"/>
      <c r="Y21" s="3486"/>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16"/>
      <c r="M22" s="2910"/>
      <c r="N22" s="2910"/>
      <c r="O22" s="2910"/>
      <c r="P22" s="3532"/>
      <c r="Q22" s="1506"/>
      <c r="R22" s="714"/>
      <c r="S22" s="715"/>
      <c r="T22" s="714"/>
      <c r="U22" s="715"/>
      <c r="V22" s="714"/>
      <c r="W22" s="715"/>
      <c r="X22" s="1509"/>
      <c r="Y22" s="3486"/>
      <c r="Z22" s="1510"/>
      <c r="AA22" s="1507">
        <v>1</v>
      </c>
      <c r="AB22" s="1507">
        <v>1</v>
      </c>
      <c r="AC22" s="2117">
        <v>1</v>
      </c>
    </row>
    <row r="23" spans="1:29" ht="42.75">
      <c r="A23" s="387"/>
      <c r="B23" s="587" t="s">
        <v>2452</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532"/>
      <c r="Q23" s="1506" t="str">
        <f>B23</f>
        <v>环境质量</v>
      </c>
      <c r="R23" s="714" t="s">
        <v>17</v>
      </c>
      <c r="S23" s="715">
        <f>F23</f>
        <v>100</v>
      </c>
      <c r="T23" s="714" t="s">
        <v>17</v>
      </c>
      <c r="U23" s="715">
        <f>H23</f>
        <v>100</v>
      </c>
      <c r="V23" s="714" t="s">
        <v>17</v>
      </c>
      <c r="W23" s="715">
        <f>J23</f>
        <v>100</v>
      </c>
      <c r="X23" s="1509"/>
      <c r="Y23" s="3486"/>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16"/>
      <c r="M24" s="2910"/>
      <c r="N24" s="2910"/>
      <c r="O24" s="2910"/>
      <c r="P24" s="3532"/>
      <c r="Q24" s="1506"/>
      <c r="R24" s="714"/>
      <c r="S24" s="715"/>
      <c r="T24" s="714"/>
      <c r="U24" s="715"/>
      <c r="V24" s="714"/>
      <c r="W24" s="715"/>
      <c r="X24" s="1509"/>
      <c r="Y24" s="3486"/>
      <c r="Z24" s="1510"/>
      <c r="AA24" s="1507">
        <v>1</v>
      </c>
      <c r="AB24" s="1507">
        <v>1</v>
      </c>
      <c r="AC24" s="2117">
        <v>1</v>
      </c>
    </row>
    <row r="25" spans="1:29" ht="27">
      <c r="A25" s="364"/>
      <c r="B25" s="587" t="s">
        <v>2453</v>
      </c>
      <c r="C25" s="2063"/>
      <c r="D25" s="394">
        <v>100</v>
      </c>
      <c r="E25" s="393"/>
      <c r="F25" s="394">
        <f>SUMIF(87:87,E26,88:88)-SUMIF(87:87,C26,88:88)+100</f>
        <v>100</v>
      </c>
      <c r="G25" s="2063"/>
      <c r="H25" s="394">
        <f>SUMIF(87:87,G26,88:88)-SUMIF(87:87,C26,88:88)+100</f>
        <v>100</v>
      </c>
      <c r="I25" s="393"/>
      <c r="J25" s="394">
        <f>SUMIF(87:87,I26,88:88)-SUMIF(87:87,C26,88:88)+100</f>
        <v>100</v>
      </c>
      <c r="K25" s="571"/>
      <c r="L25" s="2916"/>
      <c r="M25" s="2910"/>
      <c r="N25" s="2910"/>
      <c r="O25" s="2910"/>
      <c r="P25" s="3532"/>
      <c r="Q25" s="1506" t="str">
        <f>B25</f>
        <v>毗邻道路的类型与等级</v>
      </c>
      <c r="R25" s="714" t="s">
        <v>17</v>
      </c>
      <c r="S25" s="715">
        <f>F25</f>
        <v>100</v>
      </c>
      <c r="T25" s="714" t="s">
        <v>17</v>
      </c>
      <c r="U25" s="715">
        <f>H25</f>
        <v>100</v>
      </c>
      <c r="V25" s="714" t="s">
        <v>17</v>
      </c>
      <c r="W25" s="715">
        <f>J25</f>
        <v>100</v>
      </c>
      <c r="X25" s="1509"/>
      <c r="Y25" s="3486"/>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16"/>
      <c r="M26" s="2910"/>
      <c r="N26" s="2910"/>
      <c r="O26" s="2910"/>
      <c r="P26" s="3532"/>
      <c r="Q26" s="1506"/>
      <c r="R26" s="714"/>
      <c r="S26" s="715"/>
      <c r="T26" s="714"/>
      <c r="U26" s="715"/>
      <c r="V26" s="714"/>
      <c r="W26" s="715"/>
      <c r="X26" s="1509"/>
      <c r="Y26" s="3486"/>
      <c r="Z26" s="1510"/>
      <c r="AA26" s="1507">
        <v>1</v>
      </c>
      <c r="AB26" s="1507">
        <v>1</v>
      </c>
      <c r="AC26" s="2117">
        <v>1</v>
      </c>
    </row>
    <row r="27" spans="1:29" ht="15">
      <c r="A27" s="387"/>
      <c r="B27" s="588" t="s">
        <v>2421</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532"/>
      <c r="Q27" s="1506" t="str">
        <f t="shared" ref="Q27:Q47" si="11">B27</f>
        <v>楼层</v>
      </c>
      <c r="R27" s="714" t="s">
        <v>17</v>
      </c>
      <c r="S27" s="715">
        <f>F27</f>
        <v>100</v>
      </c>
      <c r="T27" s="714" t="s">
        <v>17</v>
      </c>
      <c r="U27" s="715">
        <f>H27</f>
        <v>100</v>
      </c>
      <c r="V27" s="714" t="s">
        <v>17</v>
      </c>
      <c r="W27" s="715">
        <f>J27</f>
        <v>100</v>
      </c>
      <c r="X27" s="1509"/>
      <c r="Y27" s="3486"/>
      <c r="Z27" s="1510" t="str">
        <f>Q27</f>
        <v>楼层</v>
      </c>
      <c r="AA27" s="1507">
        <f t="shared" si="3"/>
        <v>1</v>
      </c>
      <c r="AB27" s="1507">
        <f t="shared" si="4"/>
        <v>1</v>
      </c>
      <c r="AC27" s="2117">
        <f t="shared" si="5"/>
        <v>1</v>
      </c>
    </row>
    <row r="28" spans="1:29" s="113" customFormat="1" ht="15">
      <c r="A28" s="390"/>
      <c r="B28" s="587" t="s">
        <v>2454</v>
      </c>
      <c r="C28" s="2120"/>
      <c r="D28" s="421">
        <v>100</v>
      </c>
      <c r="E28" s="2111"/>
      <c r="F28" s="421">
        <f>SUMIF(91:91,E28,92:92)-SUMIF(91:91,C28,92:92)+100</f>
        <v>100</v>
      </c>
      <c r="G28" s="2120"/>
      <c r="H28" s="421">
        <f>SUMIF(91:91,G28,92:92)-SUMIF(91:91,C28,92:92)+100</f>
        <v>100</v>
      </c>
      <c r="I28" s="2111"/>
      <c r="J28" s="421">
        <f>SUMIF(91:91,I28,92:92)-SUMIF(91:91,C28,92:92)+100</f>
        <v>100</v>
      </c>
      <c r="K28" s="569"/>
      <c r="L28" s="2911"/>
      <c r="M28" s="2912"/>
      <c r="N28" s="2912"/>
      <c r="O28" s="2912"/>
      <c r="P28" s="3532"/>
      <c r="Q28" s="1497" t="str">
        <f t="shared" si="11"/>
        <v>朝向</v>
      </c>
      <c r="R28" s="710" t="s">
        <v>17</v>
      </c>
      <c r="S28" s="711">
        <f>F28</f>
        <v>100</v>
      </c>
      <c r="T28" s="710" t="s">
        <v>17</v>
      </c>
      <c r="U28" s="711">
        <f>H28</f>
        <v>100</v>
      </c>
      <c r="V28" s="710" t="s">
        <v>17</v>
      </c>
      <c r="W28" s="711">
        <f>J28</f>
        <v>100</v>
      </c>
      <c r="X28" s="712"/>
      <c r="Y28" s="3486"/>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6"/>
      <c r="M29" s="2910"/>
      <c r="N29" s="2910"/>
      <c r="O29" s="2910"/>
      <c r="P29" s="3532"/>
      <c r="Q29" s="1506">
        <f t="shared" si="11"/>
        <v>111</v>
      </c>
      <c r="R29" s="714" t="s">
        <v>17</v>
      </c>
      <c r="S29" s="715">
        <f t="shared" ref="S29:S47" si="12">F29</f>
        <v>100</v>
      </c>
      <c r="T29" s="714" t="s">
        <v>17</v>
      </c>
      <c r="U29" s="715">
        <f t="shared" ref="U29:U47" si="13">H29</f>
        <v>100</v>
      </c>
      <c r="V29" s="714" t="s">
        <v>17</v>
      </c>
      <c r="W29" s="715">
        <f t="shared" ref="W29:W47" si="14">J29</f>
        <v>100</v>
      </c>
      <c r="X29" s="1509"/>
      <c r="Y29" s="3486"/>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6"/>
      <c r="M30" s="2910"/>
      <c r="N30" s="2910"/>
      <c r="O30" s="2910"/>
      <c r="P30" s="3532"/>
      <c r="Q30" s="1506">
        <f t="shared" si="11"/>
        <v>111</v>
      </c>
      <c r="R30" s="714" t="s">
        <v>17</v>
      </c>
      <c r="S30" s="715">
        <f t="shared" si="12"/>
        <v>100</v>
      </c>
      <c r="T30" s="714" t="s">
        <v>17</v>
      </c>
      <c r="U30" s="715">
        <f t="shared" si="13"/>
        <v>100</v>
      </c>
      <c r="V30" s="714" t="s">
        <v>17</v>
      </c>
      <c r="W30" s="715">
        <f t="shared" si="14"/>
        <v>100</v>
      </c>
      <c r="X30" s="1509"/>
      <c r="Y30" s="3486"/>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6"/>
      <c r="M31" s="2910"/>
      <c r="N31" s="2910"/>
      <c r="O31" s="2910"/>
      <c r="P31" s="3532"/>
      <c r="Q31" s="1506">
        <f t="shared" si="11"/>
        <v>111</v>
      </c>
      <c r="R31" s="714" t="s">
        <v>17</v>
      </c>
      <c r="S31" s="715">
        <f t="shared" si="12"/>
        <v>100</v>
      </c>
      <c r="T31" s="714" t="s">
        <v>17</v>
      </c>
      <c r="U31" s="715">
        <f t="shared" si="13"/>
        <v>100</v>
      </c>
      <c r="V31" s="714" t="s">
        <v>17</v>
      </c>
      <c r="W31" s="715">
        <f t="shared" si="14"/>
        <v>100</v>
      </c>
      <c r="X31" s="1509"/>
      <c r="Y31" s="3486"/>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6"/>
      <c r="M32" s="2910"/>
      <c r="N32" s="2910"/>
      <c r="O32" s="2910"/>
      <c r="P32" s="3532"/>
      <c r="Q32" s="1506">
        <f t="shared" si="11"/>
        <v>111</v>
      </c>
      <c r="R32" s="714" t="s">
        <v>17</v>
      </c>
      <c r="S32" s="715">
        <f t="shared" si="12"/>
        <v>100</v>
      </c>
      <c r="T32" s="714" t="s">
        <v>17</v>
      </c>
      <c r="U32" s="715">
        <f t="shared" si="13"/>
        <v>100</v>
      </c>
      <c r="V32" s="714" t="s">
        <v>17</v>
      </c>
      <c r="W32" s="715">
        <f t="shared" si="14"/>
        <v>100</v>
      </c>
      <c r="X32" s="1509"/>
      <c r="Y32" s="3486"/>
      <c r="Z32" s="1510">
        <f t="shared" si="15"/>
        <v>111</v>
      </c>
      <c r="AA32" s="1507">
        <f t="shared" si="3"/>
        <v>1</v>
      </c>
      <c r="AB32" s="1507">
        <f t="shared" si="4"/>
        <v>1</v>
      </c>
      <c r="AC32" s="2117">
        <f t="shared" si="5"/>
        <v>1</v>
      </c>
    </row>
    <row r="33" spans="1:29" ht="15">
      <c r="A33" s="399" t="s">
        <v>2325</v>
      </c>
      <c r="B33" s="67" t="s">
        <v>2455</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6"/>
      <c r="M33" s="2910"/>
      <c r="N33" s="2910"/>
      <c r="O33" s="2910"/>
      <c r="P33" s="3527" t="s">
        <v>2327</v>
      </c>
      <c r="Q33" s="1506" t="str">
        <f t="shared" si="11"/>
        <v>建筑类型</v>
      </c>
      <c r="R33" s="714" t="s">
        <v>17</v>
      </c>
      <c r="S33" s="715">
        <f t="shared" si="12"/>
        <v>100</v>
      </c>
      <c r="T33" s="714" t="s">
        <v>17</v>
      </c>
      <c r="U33" s="715">
        <f t="shared" si="13"/>
        <v>100</v>
      </c>
      <c r="V33" s="714" t="s">
        <v>17</v>
      </c>
      <c r="W33" s="715">
        <f t="shared" si="14"/>
        <v>100</v>
      </c>
      <c r="X33" s="1509"/>
      <c r="Y33" s="3488" t="s">
        <v>2327</v>
      </c>
      <c r="Z33" s="1510" t="str">
        <f t="shared" si="15"/>
        <v>建筑类型</v>
      </c>
      <c r="AA33" s="1507">
        <f t="shared" si="3"/>
        <v>1</v>
      </c>
      <c r="AB33" s="1507">
        <f t="shared" si="4"/>
        <v>1</v>
      </c>
      <c r="AC33" s="2117">
        <f t="shared" si="5"/>
        <v>1</v>
      </c>
    </row>
    <row r="34" spans="1:29" s="430" customFormat="1" ht="15">
      <c r="A34" s="427"/>
      <c r="B34" s="381" t="s">
        <v>2328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528"/>
      <c r="Q34" s="716" t="str">
        <f t="shared" si="11"/>
        <v>项目建筑规模</v>
      </c>
      <c r="R34" s="717" t="s">
        <v>17</v>
      </c>
      <c r="S34" s="718" t="e">
        <f t="shared" si="12"/>
        <v>#N/A</v>
      </c>
      <c r="T34" s="717" t="s">
        <v>17</v>
      </c>
      <c r="U34" s="718" t="e">
        <f t="shared" si="13"/>
        <v>#N/A</v>
      </c>
      <c r="V34" s="717" t="s">
        <v>17</v>
      </c>
      <c r="W34" s="718" t="e">
        <f t="shared" si="14"/>
        <v>#N/A</v>
      </c>
      <c r="X34" s="719"/>
      <c r="Y34" s="3488"/>
      <c r="Z34" s="720" t="str">
        <f t="shared" si="15"/>
        <v>项目建筑规模</v>
      </c>
      <c r="AA34" s="1507" t="e">
        <f t="shared" si="3"/>
        <v>#N/A</v>
      </c>
      <c r="AB34" s="1507" t="e">
        <f t="shared" si="4"/>
        <v>#N/A</v>
      </c>
      <c r="AC34" s="2117" t="e">
        <f t="shared" si="5"/>
        <v>#N/A</v>
      </c>
    </row>
    <row r="35" spans="1:29" ht="15">
      <c r="A35" s="431"/>
      <c r="B35" s="381" t="s">
        <v>2329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528"/>
      <c r="Q35" s="1506" t="str">
        <f t="shared" si="11"/>
        <v>建筑结构</v>
      </c>
      <c r="R35" s="714" t="s">
        <v>17</v>
      </c>
      <c r="S35" s="715">
        <f t="shared" si="12"/>
        <v>100</v>
      </c>
      <c r="T35" s="714" t="s">
        <v>17</v>
      </c>
      <c r="U35" s="715">
        <f t="shared" si="13"/>
        <v>100</v>
      </c>
      <c r="V35" s="714" t="s">
        <v>17</v>
      </c>
      <c r="W35" s="715">
        <f t="shared" si="14"/>
        <v>100</v>
      </c>
      <c r="X35" s="1509"/>
      <c r="Y35" s="3488"/>
      <c r="Z35" s="1510" t="str">
        <f t="shared" si="15"/>
        <v>建筑结构</v>
      </c>
      <c r="AA35" s="1507">
        <f t="shared" si="3"/>
        <v>1</v>
      </c>
      <c r="AB35" s="1507">
        <f t="shared" si="4"/>
        <v>1</v>
      </c>
      <c r="AC35" s="2117">
        <f t="shared" si="5"/>
        <v>1</v>
      </c>
    </row>
    <row r="36" spans="1:29" ht="15">
      <c r="A36" s="431"/>
      <c r="B36" s="381" t="s">
        <v>2423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528"/>
      <c r="Q36" s="1506" t="str">
        <f t="shared" si="11"/>
        <v>公共部分装修</v>
      </c>
      <c r="R36" s="714" t="s">
        <v>17</v>
      </c>
      <c r="S36" s="715">
        <f t="shared" si="12"/>
        <v>100</v>
      </c>
      <c r="T36" s="714" t="s">
        <v>17</v>
      </c>
      <c r="U36" s="715">
        <f t="shared" si="13"/>
        <v>100</v>
      </c>
      <c r="V36" s="714" t="s">
        <v>17</v>
      </c>
      <c r="W36" s="715">
        <f t="shared" si="14"/>
        <v>100</v>
      </c>
      <c r="X36" s="1509"/>
      <c r="Y36" s="3488"/>
      <c r="Z36" s="1510" t="str">
        <f t="shared" si="15"/>
        <v>公共部分装修</v>
      </c>
      <c r="AA36" s="1507">
        <f t="shared" si="3"/>
        <v>1</v>
      </c>
      <c r="AB36" s="1507">
        <f t="shared" si="4"/>
        <v>1</v>
      </c>
      <c r="AC36" s="2117">
        <f t="shared" si="5"/>
        <v>1</v>
      </c>
    </row>
    <row r="37" spans="1:29" ht="15">
      <c r="A37" s="431"/>
      <c r="B37" s="381" t="s">
        <v>2424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528"/>
      <c r="Q37" s="1506" t="str">
        <f t="shared" si="11"/>
        <v>成新度</v>
      </c>
      <c r="R37" s="714" t="s">
        <v>17</v>
      </c>
      <c r="S37" s="715" t="e">
        <f t="shared" si="12"/>
        <v>#N/A</v>
      </c>
      <c r="T37" s="714" t="s">
        <v>17</v>
      </c>
      <c r="U37" s="715" t="e">
        <f t="shared" si="13"/>
        <v>#N/A</v>
      </c>
      <c r="V37" s="714" t="s">
        <v>17</v>
      </c>
      <c r="W37" s="715" t="e">
        <f t="shared" si="14"/>
        <v>#N/A</v>
      </c>
      <c r="X37" s="1509"/>
      <c r="Y37" s="3488"/>
      <c r="Z37" s="1510" t="str">
        <f t="shared" si="15"/>
        <v>成新度</v>
      </c>
      <c r="AA37" s="1507" t="e">
        <f t="shared" si="3"/>
        <v>#N/A</v>
      </c>
      <c r="AB37" s="1507" t="e">
        <f t="shared" si="4"/>
        <v>#N/A</v>
      </c>
      <c r="AC37" s="2117" t="e">
        <f t="shared" si="5"/>
        <v>#N/A</v>
      </c>
    </row>
    <row r="38" spans="1:29" s="113" customFormat="1" ht="15">
      <c r="A38" s="432"/>
      <c r="B38" s="381" t="s">
        <v>2456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528"/>
      <c r="Q38" s="1497" t="str">
        <f t="shared" si="11"/>
        <v>写字楼等级</v>
      </c>
      <c r="R38" s="710" t="s">
        <v>17</v>
      </c>
      <c r="S38" s="711">
        <f t="shared" si="12"/>
        <v>100</v>
      </c>
      <c r="T38" s="710" t="s">
        <v>17</v>
      </c>
      <c r="U38" s="711">
        <f t="shared" si="13"/>
        <v>100</v>
      </c>
      <c r="V38" s="710" t="s">
        <v>17</v>
      </c>
      <c r="W38" s="711">
        <f t="shared" si="14"/>
        <v>100</v>
      </c>
      <c r="X38" s="712"/>
      <c r="Y38" s="3488"/>
      <c r="Z38" s="55" t="str">
        <f t="shared" si="15"/>
        <v>写字楼等级</v>
      </c>
      <c r="AA38" s="713">
        <f t="shared" si="3"/>
        <v>1</v>
      </c>
      <c r="AB38" s="713">
        <f t="shared" si="4"/>
        <v>1</v>
      </c>
      <c r="AC38" s="2114">
        <f t="shared" si="5"/>
        <v>1</v>
      </c>
    </row>
    <row r="39" spans="1:29" ht="15">
      <c r="A39" s="431"/>
      <c r="B39" s="381" t="s">
        <v>2457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528" t="s">
        <v>2327</v>
      </c>
      <c r="Q39" s="1506" t="str">
        <f t="shared" si="11"/>
        <v>物业管理</v>
      </c>
      <c r="R39" s="714" t="s">
        <v>17</v>
      </c>
      <c r="S39" s="715">
        <f t="shared" si="12"/>
        <v>100</v>
      </c>
      <c r="T39" s="714" t="s">
        <v>17</v>
      </c>
      <c r="U39" s="715">
        <f t="shared" si="13"/>
        <v>100</v>
      </c>
      <c r="V39" s="714" t="s">
        <v>17</v>
      </c>
      <c r="W39" s="715">
        <f t="shared" si="14"/>
        <v>100</v>
      </c>
      <c r="X39" s="1509"/>
      <c r="Y39" s="3488" t="s">
        <v>2327</v>
      </c>
      <c r="Z39" s="1510" t="str">
        <f t="shared" si="15"/>
        <v>物业管理</v>
      </c>
      <c r="AA39" s="1507">
        <f t="shared" si="3"/>
        <v>1</v>
      </c>
      <c r="AB39" s="1507">
        <f t="shared" si="4"/>
        <v>1</v>
      </c>
      <c r="AC39" s="2117">
        <f t="shared" si="5"/>
        <v>1</v>
      </c>
    </row>
    <row r="40" spans="1:29" ht="15">
      <c r="A40" s="431"/>
      <c r="B40" s="381" t="s">
        <v>2425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528"/>
      <c r="Q40" s="1506" t="str">
        <f t="shared" si="11"/>
        <v>市政基础设施</v>
      </c>
      <c r="R40" s="714" t="s">
        <v>17</v>
      </c>
      <c r="S40" s="715">
        <f t="shared" si="12"/>
        <v>100</v>
      </c>
      <c r="T40" s="714" t="s">
        <v>17</v>
      </c>
      <c r="U40" s="715">
        <f t="shared" si="13"/>
        <v>100</v>
      </c>
      <c r="V40" s="714" t="s">
        <v>17</v>
      </c>
      <c r="W40" s="715">
        <f t="shared" si="14"/>
        <v>100</v>
      </c>
      <c r="X40" s="1509"/>
      <c r="Y40" s="3488"/>
      <c r="Z40" s="1510" t="str">
        <f t="shared" si="15"/>
        <v>市政基础设施</v>
      </c>
      <c r="AA40" s="1507">
        <f t="shared" si="3"/>
        <v>1</v>
      </c>
      <c r="AB40" s="1507">
        <f t="shared" si="4"/>
        <v>1</v>
      </c>
      <c r="AC40" s="2117">
        <f t="shared" si="5"/>
        <v>1</v>
      </c>
    </row>
    <row r="41" spans="1:29" ht="15">
      <c r="A41" s="431"/>
      <c r="B41" s="381" t="s">
        <v>2427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528"/>
      <c r="Q41" s="1506" t="str">
        <f t="shared" si="11"/>
        <v>层高</v>
      </c>
      <c r="R41" s="714" t="s">
        <v>17</v>
      </c>
      <c r="S41" s="715">
        <f t="shared" si="12"/>
        <v>100</v>
      </c>
      <c r="T41" s="714" t="s">
        <v>17</v>
      </c>
      <c r="U41" s="715">
        <f t="shared" si="13"/>
        <v>100</v>
      </c>
      <c r="V41" s="714" t="s">
        <v>17</v>
      </c>
      <c r="W41" s="715">
        <f t="shared" si="14"/>
        <v>100</v>
      </c>
      <c r="X41" s="1509"/>
      <c r="Y41" s="3488"/>
      <c r="Z41" s="1510" t="str">
        <f t="shared" si="15"/>
        <v>层高</v>
      </c>
      <c r="AA41" s="1507">
        <f t="shared" si="3"/>
        <v>1</v>
      </c>
      <c r="AB41" s="1507">
        <f t="shared" si="4"/>
        <v>1</v>
      </c>
      <c r="AC41" s="2117">
        <f t="shared" si="5"/>
        <v>1</v>
      </c>
    </row>
    <row r="42" spans="1:29" s="430" customFormat="1" ht="15">
      <c r="A42" s="427"/>
      <c r="B42" s="1508" t="s">
        <v>2458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528"/>
      <c r="Q42" s="716" t="str">
        <f t="shared" si="11"/>
        <v>单套建筑面积</v>
      </c>
      <c r="R42" s="717" t="s">
        <v>17</v>
      </c>
      <c r="S42" s="718">
        <f t="shared" si="12"/>
        <v>100</v>
      </c>
      <c r="T42" s="717" t="s">
        <v>17</v>
      </c>
      <c r="U42" s="718">
        <f t="shared" si="13"/>
        <v>100</v>
      </c>
      <c r="V42" s="717" t="s">
        <v>17</v>
      </c>
      <c r="W42" s="718">
        <f t="shared" si="14"/>
        <v>100</v>
      </c>
      <c r="X42" s="719"/>
      <c r="Y42" s="3488"/>
      <c r="Z42" s="720" t="str">
        <f t="shared" si="15"/>
        <v>单套建筑面积</v>
      </c>
      <c r="AA42" s="1507">
        <f t="shared" si="3"/>
        <v>1</v>
      </c>
      <c r="AB42" s="1507">
        <f t="shared" si="4"/>
        <v>1</v>
      </c>
      <c r="AC42" s="2117">
        <f t="shared" si="5"/>
        <v>1</v>
      </c>
    </row>
    <row r="43" spans="1:29" ht="15">
      <c r="A43" s="431"/>
      <c r="B43" s="381" t="s">
        <v>2430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528"/>
      <c r="Q43" s="1506" t="str">
        <f t="shared" si="11"/>
        <v>内部装修</v>
      </c>
      <c r="R43" s="714" t="s">
        <v>17</v>
      </c>
      <c r="S43" s="715">
        <f t="shared" si="12"/>
        <v>100</v>
      </c>
      <c r="T43" s="714" t="s">
        <v>17</v>
      </c>
      <c r="U43" s="715">
        <f t="shared" si="13"/>
        <v>100</v>
      </c>
      <c r="V43" s="714" t="s">
        <v>17</v>
      </c>
      <c r="W43" s="715">
        <f t="shared" si="14"/>
        <v>100</v>
      </c>
      <c r="X43" s="1509"/>
      <c r="Y43" s="3488"/>
      <c r="Z43" s="1510" t="str">
        <f t="shared" si="15"/>
        <v>内部装修</v>
      </c>
      <c r="AA43" s="1507">
        <f t="shared" si="3"/>
        <v>1</v>
      </c>
      <c r="AB43" s="1507">
        <f t="shared" si="4"/>
        <v>1</v>
      </c>
      <c r="AC43" s="2117">
        <f t="shared" si="5"/>
        <v>1</v>
      </c>
    </row>
    <row r="44" spans="1:29" ht="15">
      <c r="A44" s="431"/>
      <c r="B44" s="381" t="s">
        <v>2338</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6"/>
      <c r="M44" s="2910"/>
      <c r="N44" s="2910"/>
      <c r="O44" s="2910"/>
      <c r="P44" s="3528"/>
      <c r="Q44" s="1506" t="str">
        <f t="shared" si="11"/>
        <v>内部装修维护情况</v>
      </c>
      <c r="R44" s="714" t="s">
        <v>17</v>
      </c>
      <c r="S44" s="715">
        <f t="shared" si="12"/>
        <v>100</v>
      </c>
      <c r="T44" s="714" t="s">
        <v>17</v>
      </c>
      <c r="U44" s="715">
        <f t="shared" si="13"/>
        <v>100</v>
      </c>
      <c r="V44" s="714" t="s">
        <v>17</v>
      </c>
      <c r="W44" s="715">
        <f t="shared" si="14"/>
        <v>100</v>
      </c>
      <c r="X44" s="1509"/>
      <c r="Y44" s="3488"/>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528"/>
      <c r="Q45" s="1497">
        <f t="shared" si="11"/>
        <v>111</v>
      </c>
      <c r="R45" s="710" t="s">
        <v>17</v>
      </c>
      <c r="S45" s="711">
        <f t="shared" si="12"/>
        <v>100</v>
      </c>
      <c r="T45" s="710" t="s">
        <v>17</v>
      </c>
      <c r="U45" s="711">
        <f t="shared" si="13"/>
        <v>100</v>
      </c>
      <c r="V45" s="710" t="s">
        <v>17</v>
      </c>
      <c r="W45" s="711">
        <f t="shared" si="14"/>
        <v>100</v>
      </c>
      <c r="X45" s="712"/>
      <c r="Y45" s="3488"/>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528"/>
      <c r="Q46" s="1506">
        <f t="shared" si="11"/>
        <v>111</v>
      </c>
      <c r="R46" s="714" t="s">
        <v>17</v>
      </c>
      <c r="S46" s="715">
        <f t="shared" si="12"/>
        <v>100</v>
      </c>
      <c r="T46" s="714" t="s">
        <v>17</v>
      </c>
      <c r="U46" s="715">
        <f t="shared" si="13"/>
        <v>100</v>
      </c>
      <c r="V46" s="714" t="s">
        <v>17</v>
      </c>
      <c r="W46" s="715">
        <f t="shared" si="14"/>
        <v>100</v>
      </c>
      <c r="X46" s="1509"/>
      <c r="Y46" s="3488"/>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529"/>
      <c r="Q47" s="1506">
        <f t="shared" si="11"/>
        <v>111</v>
      </c>
      <c r="R47" s="714" t="s">
        <v>17</v>
      </c>
      <c r="S47" s="715">
        <f t="shared" si="12"/>
        <v>100</v>
      </c>
      <c r="T47" s="714" t="s">
        <v>17</v>
      </c>
      <c r="U47" s="715">
        <f t="shared" si="13"/>
        <v>100</v>
      </c>
      <c r="V47" s="714" t="s">
        <v>17</v>
      </c>
      <c r="W47" s="715">
        <f t="shared" si="14"/>
        <v>100</v>
      </c>
      <c r="X47" s="1509"/>
      <c r="Y47" s="3530"/>
      <c r="Z47" s="1510">
        <f t="shared" si="15"/>
        <v>111</v>
      </c>
      <c r="AA47" s="1507">
        <f t="shared" si="3"/>
        <v>1</v>
      </c>
      <c r="AB47" s="1507">
        <f t="shared" si="4"/>
        <v>1</v>
      </c>
      <c r="AC47" s="2117">
        <f t="shared" si="5"/>
        <v>1</v>
      </c>
    </row>
    <row r="48" spans="1:29" ht="15">
      <c r="A48" s="438" t="s">
        <v>2339</v>
      </c>
      <c r="B48" s="439"/>
      <c r="C48" s="1288" t="s">
        <v>1</v>
      </c>
      <c r="D48" s="1289"/>
      <c r="E48" s="1290"/>
      <c r="F48" s="1291"/>
      <c r="G48" s="1292"/>
      <c r="H48" s="1293"/>
      <c r="I48" s="1290"/>
      <c r="J48" s="444"/>
      <c r="K48" s="723"/>
      <c r="L48" s="2918"/>
      <c r="M48" s="2910"/>
      <c r="N48" s="2910"/>
      <c r="O48" s="2910"/>
      <c r="P48" s="3494" t="str">
        <f>A48</f>
        <v>成交单价（元/平方米）</v>
      </c>
      <c r="Q48" s="3470"/>
      <c r="R48" s="3526">
        <f>E48</f>
        <v>0</v>
      </c>
      <c r="S48" s="3526"/>
      <c r="T48" s="3526">
        <f>G48</f>
        <v>0</v>
      </c>
      <c r="U48" s="3526"/>
      <c r="V48" s="3526">
        <f>I48</f>
        <v>0</v>
      </c>
      <c r="W48" s="3526"/>
      <c r="X48" s="405"/>
      <c r="Y48" s="721"/>
      <c r="Z48" s="405"/>
      <c r="AA48" s="405"/>
      <c r="AB48" s="405"/>
      <c r="AC48" s="586"/>
    </row>
    <row r="49" spans="1:29" ht="15.75" thickBot="1">
      <c r="A49" s="445" t="s">
        <v>2431</v>
      </c>
      <c r="B49" s="446"/>
      <c r="C49" s="1294" t="e">
        <f>R50</f>
        <v>#DIV/0!</v>
      </c>
      <c r="D49" s="2507" t="s">
        <v>2822</v>
      </c>
      <c r="E49" s="1295" t="e">
        <f>R49</f>
        <v>#DIV/0!</v>
      </c>
      <c r="F49" s="2508"/>
      <c r="G49" s="1294" t="e">
        <f>T49</f>
        <v>#DIV/0!</v>
      </c>
      <c r="H49" s="2508"/>
      <c r="I49" s="1295" t="e">
        <f>V49</f>
        <v>#DIV/0!</v>
      </c>
      <c r="J49" s="2508"/>
      <c r="K49" s="2510">
        <f>F49+H49+J49</f>
        <v>0</v>
      </c>
      <c r="L49" s="2918"/>
      <c r="M49" s="2910"/>
      <c r="N49" s="2910"/>
      <c r="O49" s="2910"/>
      <c r="P49" s="3494" t="str">
        <f>A49</f>
        <v>比较价值（元/平方米）</v>
      </c>
      <c r="Q49" s="3470"/>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2432</v>
      </c>
      <c r="B50" s="450"/>
      <c r="C50" s="1297" t="e">
        <f>R50</f>
        <v>#DIV/0!</v>
      </c>
      <c r="D50" s="1297"/>
      <c r="E50" s="1297"/>
      <c r="F50" s="1297"/>
      <c r="G50" s="1297"/>
      <c r="H50" s="1297"/>
      <c r="I50" s="1297"/>
      <c r="J50" s="451"/>
      <c r="K50" s="724"/>
      <c r="L50" s="2918"/>
      <c r="M50" s="2910"/>
      <c r="N50" s="2910"/>
      <c r="O50" s="2910"/>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2101"/>
      <c r="Y50" s="2101"/>
      <c r="Z50" s="2101"/>
      <c r="AA50" s="2101"/>
      <c r="AB50" s="2101"/>
      <c r="AC50" s="2102"/>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2436</v>
      </c>
      <c r="B58" s="699"/>
      <c r="C58" s="704"/>
      <c r="D58" s="704"/>
      <c r="E58" s="704"/>
      <c r="F58" s="705"/>
      <c r="G58" s="705"/>
      <c r="H58" s="704"/>
      <c r="I58" s="704"/>
      <c r="J58" s="704"/>
      <c r="K58" s="706"/>
      <c r="L58" s="1073"/>
      <c r="M58" s="1071"/>
      <c r="N58" s="2963"/>
      <c r="O58" s="2963"/>
      <c r="P58" s="2952"/>
      <c r="Q58" s="2933"/>
      <c r="R58" s="2919"/>
      <c r="S58" s="2919"/>
      <c r="T58" s="2919"/>
      <c r="U58" s="2919"/>
      <c r="V58" s="2919"/>
      <c r="W58" s="2919"/>
      <c r="X58" s="2919"/>
      <c r="Y58" s="2919"/>
      <c r="Z58" s="2919"/>
      <c r="AA58" s="2919"/>
      <c r="AB58" s="2919"/>
      <c r="AC58" s="2919"/>
    </row>
    <row r="59" spans="1:29" s="465" customFormat="1" ht="15">
      <c r="A59" s="462" t="s">
        <v>2310</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3"/>
      <c r="Q59" s="2935"/>
      <c r="R59" s="2935"/>
      <c r="S59" s="2935"/>
      <c r="T59" s="2935"/>
      <c r="U59" s="2935"/>
      <c r="V59" s="2935"/>
      <c r="W59" s="2935"/>
      <c r="X59" s="2935"/>
      <c r="Y59" s="2935"/>
      <c r="Z59" s="2935"/>
      <c r="AA59" s="2935"/>
      <c r="AB59" s="2935"/>
      <c r="AC59" s="2935"/>
    </row>
    <row r="60" spans="1:29" s="113" customFormat="1" ht="15">
      <c r="A60" s="466"/>
      <c r="B60" s="467"/>
      <c r="C60" s="1317">
        <v>100</v>
      </c>
      <c r="D60" s="469"/>
      <c r="E60" s="469"/>
      <c r="F60" s="469"/>
      <c r="G60" s="469"/>
      <c r="H60" s="469"/>
      <c r="I60" s="469"/>
      <c r="J60" s="469"/>
      <c r="K60" s="469"/>
      <c r="L60" s="469"/>
      <c r="M60" s="470"/>
      <c r="N60" s="469"/>
      <c r="O60" s="470"/>
      <c r="P60" s="2954"/>
      <c r="Q60" s="2854"/>
      <c r="R60" s="2854"/>
      <c r="S60" s="2854"/>
      <c r="T60" s="2854"/>
      <c r="U60" s="2854"/>
      <c r="V60" s="2854"/>
      <c r="W60" s="2854"/>
      <c r="X60" s="2854"/>
      <c r="Y60" s="2854"/>
      <c r="Z60" s="2854"/>
      <c r="AA60" s="2854"/>
      <c r="AB60" s="2854"/>
      <c r="AC60" s="2854"/>
    </row>
    <row r="61" spans="1:29" s="113" customFormat="1" ht="15.75" thickBot="1">
      <c r="A61" s="472" t="s">
        <v>2347</v>
      </c>
      <c r="B61" s="473"/>
      <c r="C61" s="474"/>
      <c r="D61" s="475"/>
      <c r="E61" s="475"/>
      <c r="F61" s="475"/>
      <c r="G61" s="475"/>
      <c r="H61" s="475"/>
      <c r="I61" s="475"/>
      <c r="J61" s="475"/>
      <c r="K61" s="475"/>
      <c r="L61" s="475"/>
      <c r="M61" s="476"/>
      <c r="N61" s="475"/>
      <c r="O61" s="476"/>
      <c r="P61" s="2954"/>
      <c r="Q61" s="2933"/>
      <c r="R61" s="2854"/>
      <c r="S61" s="2854"/>
      <c r="T61" s="2854"/>
      <c r="U61" s="2854"/>
      <c r="V61" s="2854"/>
      <c r="W61" s="2854"/>
      <c r="X61" s="2854"/>
      <c r="Y61" s="2854"/>
      <c r="Z61" s="2854"/>
      <c r="AA61" s="2854"/>
      <c r="AB61" s="2854"/>
      <c r="AC61" s="2854"/>
    </row>
    <row r="62" spans="1:29" s="113" customFormat="1" ht="15">
      <c r="A62" s="478" t="s">
        <v>2312</v>
      </c>
      <c r="B62" s="467"/>
      <c r="C62" s="479" t="s">
        <v>2414</v>
      </c>
      <c r="D62" s="480"/>
      <c r="E62" s="480"/>
      <c r="F62" s="480"/>
      <c r="G62" s="480"/>
      <c r="H62" s="480"/>
      <c r="I62" s="480"/>
      <c r="J62" s="480"/>
      <c r="K62" s="480"/>
      <c r="L62" s="481"/>
      <c r="M62" s="482"/>
      <c r="N62" s="2946"/>
      <c r="O62" s="2946"/>
      <c r="P62" s="2955"/>
      <c r="Q62" s="2933"/>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4"/>
      <c r="S63" s="2854"/>
      <c r="T63" s="2854"/>
      <c r="U63" s="2854"/>
      <c r="V63" s="2854"/>
      <c r="W63" s="2854"/>
      <c r="X63" s="2854"/>
      <c r="Y63" s="2854"/>
      <c r="Z63" s="2854"/>
      <c r="AA63" s="2854"/>
      <c r="AB63" s="2854"/>
      <c r="AC63" s="2854"/>
    </row>
    <row r="64" spans="1:29">
      <c r="A64" s="484" t="s">
        <v>2350</v>
      </c>
      <c r="B64" s="485" t="s">
        <v>2316</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2319</v>
      </c>
      <c r="C66" s="496" t="s">
        <v>2351</v>
      </c>
      <c r="D66" s="496" t="s">
        <v>2352</v>
      </c>
      <c r="E66" s="496" t="s">
        <v>2353</v>
      </c>
      <c r="F66" s="496" t="s">
        <v>2354</v>
      </c>
      <c r="G66" s="496" t="s">
        <v>2355</v>
      </c>
      <c r="H66" s="496" t="s">
        <v>2356</v>
      </c>
      <c r="I66" s="496" t="s">
        <v>2357</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2320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2321</v>
      </c>
      <c r="B77" s="485" t="s">
        <v>2459</v>
      </c>
      <c r="C77" s="530" t="s">
        <v>2359</v>
      </c>
      <c r="D77" s="530" t="s">
        <v>2360</v>
      </c>
      <c r="E77" s="530" t="s">
        <v>2361</v>
      </c>
      <c r="F77" s="530" t="s">
        <v>2362</v>
      </c>
      <c r="G77" s="530" t="s">
        <v>2363</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2364</v>
      </c>
      <c r="C79" s="535" t="s">
        <v>2359</v>
      </c>
      <c r="D79" s="535" t="s">
        <v>2360</v>
      </c>
      <c r="E79" s="535" t="s">
        <v>2361</v>
      </c>
      <c r="F79" s="535" t="s">
        <v>2362</v>
      </c>
      <c r="G79" s="535" t="s">
        <v>2363</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2365</v>
      </c>
      <c r="C81" s="535" t="s">
        <v>2359</v>
      </c>
      <c r="D81" s="535" t="s">
        <v>2360</v>
      </c>
      <c r="E81" s="535" t="s">
        <v>2361</v>
      </c>
      <c r="F81" s="535" t="s">
        <v>2362</v>
      </c>
      <c r="G81" s="535" t="s">
        <v>2363</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2451</v>
      </c>
      <c r="C83" s="616" t="s">
        <v>2437</v>
      </c>
      <c r="D83" s="616" t="s">
        <v>2438</v>
      </c>
      <c r="E83" s="616" t="s">
        <v>2439</v>
      </c>
      <c r="F83" s="616" t="s">
        <v>2440</v>
      </c>
      <c r="G83" s="616" t="s">
        <v>2441</v>
      </c>
      <c r="H83" s="496"/>
      <c r="I83" s="496"/>
      <c r="J83" s="496"/>
      <c r="K83" s="496"/>
      <c r="L83" s="496"/>
      <c r="M83" s="1263"/>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2460</v>
      </c>
      <c r="C85" s="535" t="s">
        <v>2359</v>
      </c>
      <c r="D85" s="535" t="s">
        <v>2360</v>
      </c>
      <c r="E85" s="535" t="s">
        <v>2361</v>
      </c>
      <c r="F85" s="535" t="s">
        <v>2362</v>
      </c>
      <c r="G85" s="535" t="s">
        <v>2363</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2461</v>
      </c>
      <c r="C87" s="511"/>
      <c r="D87" s="511"/>
      <c r="E87" s="511"/>
      <c r="F87" s="511"/>
      <c r="G87" s="511"/>
      <c r="H87" s="511"/>
      <c r="I87" s="511"/>
      <c r="J87" s="511"/>
      <c r="K87" s="511"/>
      <c r="L87" s="537"/>
      <c r="M87" s="538"/>
      <c r="N87" s="2946"/>
      <c r="O87" s="2946"/>
      <c r="P87" s="2956"/>
      <c r="Q87" s="2933"/>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2"/>
      <c r="G89" s="511"/>
      <c r="H89" s="511"/>
      <c r="I89" s="511"/>
      <c r="J89" s="511"/>
      <c r="K89" s="511"/>
      <c r="L89" s="511"/>
      <c r="M89" s="538"/>
      <c r="N89" s="2946"/>
      <c r="O89" s="2946"/>
      <c r="P89" s="2956"/>
      <c r="Q89" s="2933"/>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3"/>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2325</v>
      </c>
      <c r="B101" s="485" t="s">
        <v>2374</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2376</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2378</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2462</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2379</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2380</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2463</v>
      </c>
      <c r="C119" s="540"/>
      <c r="D119" s="540"/>
      <c r="E119" s="540"/>
      <c r="F119" s="540"/>
      <c r="G119" s="540"/>
      <c r="H119" s="540"/>
      <c r="I119" s="540"/>
      <c r="J119" s="540"/>
      <c r="K119" s="540"/>
      <c r="L119" s="2123"/>
      <c r="M119" s="2124"/>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2446</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2382</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2383</v>
      </c>
      <c r="C125" s="535" t="s">
        <v>2359</v>
      </c>
      <c r="D125" s="535" t="s">
        <v>2360</v>
      </c>
      <c r="E125" s="535" t="s">
        <v>2361</v>
      </c>
      <c r="F125" s="535" t="s">
        <v>2362</v>
      </c>
      <c r="G125" s="535" t="s">
        <v>2363</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3"/>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2290</v>
      </c>
      <c r="B1" s="2112" t="s">
        <v>2464</v>
      </c>
      <c r="C1" s="1364" t="s">
        <v>2292</v>
      </c>
      <c r="D1" s="1365"/>
      <c r="E1" s="1374"/>
      <c r="F1" s="2034"/>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2406</v>
      </c>
      <c r="D3" s="359">
        <f>IF(D1="",'数据-汇总表'!E3,SUMIF('数据-汇总表'!$C19:$C33,D1,'数据-汇总表'!$E19:$E33))</f>
        <v>39892.17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2407</v>
      </c>
      <c r="B4" s="362"/>
      <c r="C4" s="3471" t="s">
        <v>2408</v>
      </c>
      <c r="D4" s="3472"/>
      <c r="E4" s="3473" t="s">
        <v>2409</v>
      </c>
      <c r="F4" s="3474"/>
      <c r="G4" s="3471" t="s">
        <v>2410</v>
      </c>
      <c r="H4" s="3472"/>
      <c r="I4" s="3471" t="s">
        <v>2411</v>
      </c>
      <c r="J4" s="3472"/>
      <c r="K4" s="567" t="s">
        <v>2412</v>
      </c>
      <c r="L4" s="1044"/>
      <c r="M4" s="1045"/>
      <c r="N4" s="1045"/>
      <c r="O4" s="1045"/>
      <c r="P4" s="3475" t="s">
        <v>2413</v>
      </c>
      <c r="Q4" s="3476"/>
      <c r="R4" s="3458" t="s">
        <v>2409</v>
      </c>
      <c r="S4" s="3459"/>
      <c r="T4" s="3458" t="s">
        <v>2410</v>
      </c>
      <c r="U4" s="3459"/>
      <c r="V4" s="3483" t="s">
        <v>2411</v>
      </c>
      <c r="W4" s="3483"/>
      <c r="X4" s="1509"/>
      <c r="Y4" s="3458" t="s">
        <v>2413</v>
      </c>
      <c r="Z4" s="3459"/>
      <c r="AA4" s="3453" t="s">
        <v>2409</v>
      </c>
      <c r="AB4" s="3454" t="s">
        <v>2410</v>
      </c>
      <c r="AC4" s="3453" t="s">
        <v>2411</v>
      </c>
    </row>
    <row r="5" spans="1:29" ht="15">
      <c r="A5" s="364"/>
      <c r="B5" s="365"/>
      <c r="C5" s="3464" t="s">
        <v>2304</v>
      </c>
      <c r="D5" s="3465"/>
      <c r="E5" s="3462" t="s">
        <v>2305</v>
      </c>
      <c r="F5" s="3463"/>
      <c r="G5" s="3464" t="s">
        <v>2306</v>
      </c>
      <c r="H5" s="3465"/>
      <c r="I5" s="3464" t="s">
        <v>2307</v>
      </c>
      <c r="J5" s="3465"/>
      <c r="K5" s="567"/>
      <c r="L5" s="1044"/>
      <c r="M5" s="1045"/>
      <c r="N5" s="1045"/>
      <c r="O5" s="1045"/>
      <c r="P5" s="3477"/>
      <c r="Q5" s="3478"/>
      <c r="R5" s="3460"/>
      <c r="S5" s="3461"/>
      <c r="T5" s="3460"/>
      <c r="U5" s="3461"/>
      <c r="V5" s="3483"/>
      <c r="W5" s="3483"/>
      <c r="X5" s="1509"/>
      <c r="Y5" s="3460"/>
      <c r="Z5" s="3461"/>
      <c r="AA5" s="3454"/>
      <c r="AB5" s="3454"/>
      <c r="AC5" s="3454"/>
    </row>
    <row r="6" spans="1:29" ht="15.75" thickBot="1">
      <c r="A6" s="366"/>
      <c r="B6" s="367"/>
      <c r="C6" s="3466" t="s">
        <v>2308</v>
      </c>
      <c r="D6" s="3467"/>
      <c r="E6" s="3468" t="s">
        <v>2308</v>
      </c>
      <c r="F6" s="3469"/>
      <c r="G6" s="3466" t="s">
        <v>2308</v>
      </c>
      <c r="H6" s="3467"/>
      <c r="I6" s="3466" t="s">
        <v>2308</v>
      </c>
      <c r="J6" s="3467"/>
      <c r="K6" s="567" t="s">
        <v>2309</v>
      </c>
      <c r="L6" s="1044"/>
      <c r="M6" s="1045"/>
      <c r="N6" s="1045"/>
      <c r="O6" s="1045"/>
      <c r="P6" s="3479"/>
      <c r="Q6" s="3480"/>
      <c r="R6" s="3460"/>
      <c r="S6" s="3461"/>
      <c r="T6" s="3481"/>
      <c r="U6" s="3482"/>
      <c r="V6" s="3483"/>
      <c r="W6" s="3483"/>
      <c r="X6" s="1509"/>
      <c r="Y6" s="3481"/>
      <c r="Z6" s="3482"/>
      <c r="AA6" s="3455"/>
      <c r="AB6" s="3455"/>
      <c r="AC6" s="3455"/>
    </row>
    <row r="7" spans="1:29" s="113" customFormat="1" ht="15.75" thickBot="1">
      <c r="A7" s="368" t="s">
        <v>2310</v>
      </c>
      <c r="B7" s="369"/>
      <c r="C7" s="370">
        <f>'数据-取费表'!B2</f>
        <v>44623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6" t="s">
        <v>2311</v>
      </c>
      <c r="Q7" s="3484"/>
      <c r="R7" s="710" t="s">
        <v>17</v>
      </c>
      <c r="S7" s="711">
        <f t="shared" ref="S7:S15" si="0">F7</f>
        <v>0</v>
      </c>
      <c r="T7" s="710" t="s">
        <v>17</v>
      </c>
      <c r="U7" s="711">
        <f t="shared" ref="U7:U15" si="1">H7</f>
        <v>0</v>
      </c>
      <c r="V7" s="710" t="s">
        <v>17</v>
      </c>
      <c r="W7" s="711">
        <f t="shared" ref="W7:W15" si="2">J7</f>
        <v>0</v>
      </c>
      <c r="X7" s="712"/>
      <c r="Y7" s="3456" t="s">
        <v>2311</v>
      </c>
      <c r="Z7" s="3457"/>
      <c r="AA7" s="713" t="e">
        <f>D7/F7</f>
        <v>#DIV/0!</v>
      </c>
      <c r="AB7" s="713" t="e">
        <f>D7/H7</f>
        <v>#DIV/0!</v>
      </c>
      <c r="AC7" s="713" t="e">
        <f>D7/J7</f>
        <v>#DIV/0!</v>
      </c>
    </row>
    <row r="8" spans="1:29" s="113" customFormat="1" ht="15.75" thickBot="1">
      <c r="A8" s="368" t="s">
        <v>2312</v>
      </c>
      <c r="B8" s="369"/>
      <c r="C8" s="374" t="s">
        <v>2313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6" t="s">
        <v>2314</v>
      </c>
      <c r="Q8" s="3457"/>
      <c r="R8" s="710" t="s">
        <v>17</v>
      </c>
      <c r="S8" s="711">
        <f t="shared" si="0"/>
        <v>0</v>
      </c>
      <c r="T8" s="710" t="s">
        <v>17</v>
      </c>
      <c r="U8" s="711">
        <f t="shared" si="1"/>
        <v>0</v>
      </c>
      <c r="V8" s="710" t="s">
        <v>17</v>
      </c>
      <c r="W8" s="711">
        <f t="shared" si="2"/>
        <v>0</v>
      </c>
      <c r="X8" s="712"/>
      <c r="Y8" s="3456" t="s">
        <v>2314</v>
      </c>
      <c r="Z8" s="3457"/>
      <c r="AA8" s="713" t="e">
        <f t="shared" ref="AA8:AA40" si="3">D8/F8</f>
        <v>#DIV/0!</v>
      </c>
      <c r="AB8" s="713" t="e">
        <f t="shared" ref="AB8:AB40" si="4">D8/H8</f>
        <v>#DIV/0!</v>
      </c>
      <c r="AC8" s="713" t="e">
        <f t="shared" ref="AC8:AC40" si="5">D8/J8</f>
        <v>#DIV/0!</v>
      </c>
    </row>
    <row r="9" spans="1:29" s="113" customFormat="1">
      <c r="A9" s="375" t="s">
        <v>2315</v>
      </c>
      <c r="B9" s="67" t="s">
        <v>2316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0"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713">
        <f t="shared" si="5"/>
        <v>1</v>
      </c>
    </row>
    <row r="10" spans="1:29" s="386" customFormat="1" ht="27">
      <c r="A10" s="380"/>
      <c r="B10" s="381" t="s">
        <v>2319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0"/>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2320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0"/>
      <c r="Q11" s="149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0"/>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0"/>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0"/>
      <c r="Q14" s="149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2321</v>
      </c>
      <c r="B15" s="65" t="s">
        <v>2465</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5" t="s">
        <v>2322</v>
      </c>
      <c r="Q15" s="1506" t="str">
        <f t="shared" si="6"/>
        <v>产业集聚程度</v>
      </c>
      <c r="R15" s="714" t="s">
        <v>17</v>
      </c>
      <c r="S15" s="715">
        <f t="shared" si="0"/>
        <v>100</v>
      </c>
      <c r="T15" s="714" t="s">
        <v>17</v>
      </c>
      <c r="U15" s="715">
        <f t="shared" si="1"/>
        <v>100</v>
      </c>
      <c r="V15" s="714" t="s">
        <v>17</v>
      </c>
      <c r="W15" s="715">
        <f t="shared" si="2"/>
        <v>100</v>
      </c>
      <c r="X15" s="1509"/>
      <c r="Y15" s="3485" t="s">
        <v>2322</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6"/>
      <c r="Q16" s="1506"/>
      <c r="R16" s="714"/>
      <c r="S16" s="715"/>
      <c r="T16" s="714"/>
      <c r="U16" s="715"/>
      <c r="V16" s="714"/>
      <c r="W16" s="715"/>
      <c r="X16" s="1509"/>
      <c r="Y16" s="3486"/>
      <c r="Z16" s="1510"/>
      <c r="AA16" s="1507">
        <v>1</v>
      </c>
      <c r="AB16" s="1507">
        <v>1</v>
      </c>
      <c r="AC16" s="1507">
        <v>1</v>
      </c>
    </row>
    <row r="17" spans="1:29" ht="85.5">
      <c r="A17" s="387"/>
      <c r="B17" s="410" t="s">
        <v>1886</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6"/>
      <c r="Q17" s="1506" t="str">
        <f>B17</f>
        <v>交通便捷度</v>
      </c>
      <c r="R17" s="714" t="s">
        <v>17</v>
      </c>
      <c r="S17" s="715">
        <f>F17</f>
        <v>100</v>
      </c>
      <c r="T17" s="714" t="s">
        <v>17</v>
      </c>
      <c r="U17" s="715">
        <f>H17</f>
        <v>100</v>
      </c>
      <c r="V17" s="714" t="s">
        <v>17</v>
      </c>
      <c r="W17" s="715">
        <f>J17</f>
        <v>100</v>
      </c>
      <c r="X17" s="1509"/>
      <c r="Y17" s="3486"/>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6"/>
      <c r="Q18" s="1506"/>
      <c r="R18" s="714"/>
      <c r="S18" s="715"/>
      <c r="T18" s="714"/>
      <c r="U18" s="715"/>
      <c r="V18" s="714"/>
      <c r="W18" s="715"/>
      <c r="X18" s="1509"/>
      <c r="Y18" s="3486"/>
      <c r="Z18" s="1510"/>
      <c r="AA18" s="1507">
        <v>1</v>
      </c>
      <c r="AB18" s="1507">
        <v>1</v>
      </c>
      <c r="AC18" s="1507">
        <v>1</v>
      </c>
    </row>
    <row r="19" spans="1:29" ht="42.75">
      <c r="A19" s="387"/>
      <c r="B19" s="410" t="s">
        <v>2450</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6"/>
      <c r="Q19" s="1506" t="str">
        <f>B19</f>
        <v>公共配套设施</v>
      </c>
      <c r="R19" s="714" t="s">
        <v>17</v>
      </c>
      <c r="S19" s="715">
        <f>F19</f>
        <v>100</v>
      </c>
      <c r="T19" s="714" t="s">
        <v>17</v>
      </c>
      <c r="U19" s="715">
        <f>H19</f>
        <v>100</v>
      </c>
      <c r="V19" s="714" t="s">
        <v>17</v>
      </c>
      <c r="W19" s="715">
        <f>J19</f>
        <v>100</v>
      </c>
      <c r="X19" s="1509"/>
      <c r="Y19" s="3486"/>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6"/>
      <c r="Q20" s="1506"/>
      <c r="R20" s="714"/>
      <c r="S20" s="715"/>
      <c r="T20" s="714"/>
      <c r="U20" s="715"/>
      <c r="V20" s="714"/>
      <c r="W20" s="715"/>
      <c r="X20" s="1509"/>
      <c r="Y20" s="3486"/>
      <c r="Z20" s="1510"/>
      <c r="AA20" s="1507">
        <v>1</v>
      </c>
      <c r="AB20" s="1507">
        <v>1</v>
      </c>
      <c r="AC20" s="1507">
        <v>1</v>
      </c>
    </row>
    <row r="21" spans="1:29" ht="28.5">
      <c r="A21" s="387"/>
      <c r="B21" s="1265" t="s">
        <v>2451</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6"/>
      <c r="Q21" s="1506" t="str">
        <f>B21</f>
        <v>基础设施水平</v>
      </c>
      <c r="R21" s="714" t="s">
        <v>17</v>
      </c>
      <c r="S21" s="715">
        <f>F21</f>
        <v>100</v>
      </c>
      <c r="T21" s="714" t="s">
        <v>17</v>
      </c>
      <c r="U21" s="715">
        <f>H21</f>
        <v>100</v>
      </c>
      <c r="V21" s="714" t="s">
        <v>17</v>
      </c>
      <c r="W21" s="715">
        <f>J21</f>
        <v>100</v>
      </c>
      <c r="X21" s="1509"/>
      <c r="Y21" s="3486"/>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6"/>
      <c r="Q22" s="1506"/>
      <c r="R22" s="714"/>
      <c r="S22" s="715"/>
      <c r="T22" s="714"/>
      <c r="U22" s="715"/>
      <c r="V22" s="714"/>
      <c r="W22" s="715"/>
      <c r="X22" s="1509"/>
      <c r="Y22" s="3486"/>
      <c r="Z22" s="1510"/>
      <c r="AA22" s="1507">
        <v>1</v>
      </c>
      <c r="AB22" s="1507">
        <v>1</v>
      </c>
      <c r="AC22" s="1507">
        <v>1</v>
      </c>
    </row>
    <row r="23" spans="1:29" ht="71.25">
      <c r="A23" s="387"/>
      <c r="B23" s="410" t="s">
        <v>2452</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6"/>
      <c r="Q23" s="1506" t="str">
        <f>B23</f>
        <v>环境质量</v>
      </c>
      <c r="R23" s="714" t="s">
        <v>17</v>
      </c>
      <c r="S23" s="715">
        <f>F23</f>
        <v>100</v>
      </c>
      <c r="T23" s="714" t="s">
        <v>17</v>
      </c>
      <c r="U23" s="715">
        <f>H23</f>
        <v>100</v>
      </c>
      <c r="V23" s="714" t="s">
        <v>17</v>
      </c>
      <c r="W23" s="715">
        <f>J23</f>
        <v>100</v>
      </c>
      <c r="X23" s="1509"/>
      <c r="Y23" s="3486"/>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6"/>
      <c r="Q24" s="1506"/>
      <c r="R24" s="714"/>
      <c r="S24" s="715"/>
      <c r="T24" s="714"/>
      <c r="U24" s="715"/>
      <c r="V24" s="714"/>
      <c r="W24" s="715"/>
      <c r="X24" s="1509"/>
      <c r="Y24" s="348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6"/>
      <c r="Q25" s="1506">
        <f>B25</f>
        <v>111</v>
      </c>
      <c r="R25" s="714" t="s">
        <v>17</v>
      </c>
      <c r="S25" s="715">
        <f>F25</f>
        <v>100</v>
      </c>
      <c r="T25" s="714" t="s">
        <v>17</v>
      </c>
      <c r="U25" s="715">
        <f>H25</f>
        <v>100</v>
      </c>
      <c r="V25" s="714" t="s">
        <v>17</v>
      </c>
      <c r="W25" s="715">
        <f>J25</f>
        <v>100</v>
      </c>
      <c r="X25" s="1509"/>
      <c r="Y25" s="348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6"/>
      <c r="Q26" s="1506">
        <f t="shared" ref="Q26:Q40" si="11">B26</f>
        <v>111</v>
      </c>
      <c r="R26" s="714" t="s">
        <v>17</v>
      </c>
      <c r="S26" s="715">
        <f>F26</f>
        <v>100</v>
      </c>
      <c r="T26" s="714" t="s">
        <v>17</v>
      </c>
      <c r="U26" s="715">
        <f>H26</f>
        <v>100</v>
      </c>
      <c r="V26" s="714" t="s">
        <v>17</v>
      </c>
      <c r="W26" s="715">
        <f>J26</f>
        <v>100</v>
      </c>
      <c r="X26" s="1509"/>
      <c r="Y26" s="348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6"/>
      <c r="Q27" s="1497">
        <f t="shared" si="11"/>
        <v>111</v>
      </c>
      <c r="R27" s="710" t="s">
        <v>17</v>
      </c>
      <c r="S27" s="711">
        <f>F27</f>
        <v>100</v>
      </c>
      <c r="T27" s="710" t="s">
        <v>17</v>
      </c>
      <c r="U27" s="711">
        <f>H27</f>
        <v>100</v>
      </c>
      <c r="V27" s="710" t="s">
        <v>17</v>
      </c>
      <c r="W27" s="711">
        <f>J27</f>
        <v>100</v>
      </c>
      <c r="X27" s="712"/>
      <c r="Y27" s="348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6"/>
      <c r="Q28" s="1506">
        <f t="shared" si="11"/>
        <v>111</v>
      </c>
      <c r="R28" s="714" t="s">
        <v>17</v>
      </c>
      <c r="S28" s="715">
        <f t="shared" ref="S28:S40" si="12">F28</f>
        <v>100</v>
      </c>
      <c r="T28" s="714" t="s">
        <v>17</v>
      </c>
      <c r="U28" s="715">
        <f t="shared" ref="U28:U40" si="13">H28</f>
        <v>100</v>
      </c>
      <c r="V28" s="714" t="s">
        <v>17</v>
      </c>
      <c r="W28" s="715">
        <f t="shared" ref="W28:W40" si="14">J28</f>
        <v>100</v>
      </c>
      <c r="X28" s="1509"/>
      <c r="Y28" s="3486"/>
      <c r="Z28" s="1510">
        <f t="shared" ref="Z28:Z40" si="15">Q28</f>
        <v>111</v>
      </c>
      <c r="AA28" s="1507">
        <f t="shared" si="3"/>
        <v>1</v>
      </c>
      <c r="AB28" s="1507">
        <f t="shared" si="4"/>
        <v>1</v>
      </c>
      <c r="AC28" s="1507">
        <f t="shared" si="5"/>
        <v>1</v>
      </c>
    </row>
    <row r="29" spans="1:29" ht="28.5">
      <c r="A29" s="425" t="s">
        <v>2325</v>
      </c>
      <c r="B29" s="67" t="s">
        <v>2455</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7" t="s">
        <v>2327</v>
      </c>
      <c r="Q29" s="1506" t="str">
        <f t="shared" si="11"/>
        <v>建筑类型</v>
      </c>
      <c r="R29" s="714" t="s">
        <v>17</v>
      </c>
      <c r="S29" s="715">
        <f t="shared" si="12"/>
        <v>100</v>
      </c>
      <c r="T29" s="714" t="s">
        <v>17</v>
      </c>
      <c r="U29" s="715">
        <f t="shared" si="13"/>
        <v>100</v>
      </c>
      <c r="V29" s="714" t="s">
        <v>17</v>
      </c>
      <c r="W29" s="715">
        <f t="shared" si="14"/>
        <v>100</v>
      </c>
      <c r="X29" s="1509"/>
      <c r="Y29" s="3488" t="s">
        <v>2327</v>
      </c>
      <c r="Z29" s="1510" t="str">
        <f t="shared" si="15"/>
        <v>建筑类型</v>
      </c>
      <c r="AA29" s="1507">
        <f t="shared" si="3"/>
        <v>1</v>
      </c>
      <c r="AB29" s="1507">
        <f t="shared" si="4"/>
        <v>1</v>
      </c>
      <c r="AC29" s="1507">
        <f t="shared" si="5"/>
        <v>1</v>
      </c>
    </row>
    <row r="30" spans="1:29" s="430" customFormat="1" ht="15">
      <c r="A30" s="427"/>
      <c r="B30" s="381" t="s">
        <v>2328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8"/>
      <c r="Q30" s="716" t="str">
        <f t="shared" si="11"/>
        <v>项目建筑规模</v>
      </c>
      <c r="R30" s="717" t="s">
        <v>17</v>
      </c>
      <c r="S30" s="718" t="e">
        <f t="shared" si="12"/>
        <v>#N/A</v>
      </c>
      <c r="T30" s="717" t="s">
        <v>17</v>
      </c>
      <c r="U30" s="718" t="e">
        <f t="shared" si="13"/>
        <v>#N/A</v>
      </c>
      <c r="V30" s="717" t="s">
        <v>17</v>
      </c>
      <c r="W30" s="718" t="e">
        <f t="shared" si="14"/>
        <v>#N/A</v>
      </c>
      <c r="X30" s="719"/>
      <c r="Y30" s="3488"/>
      <c r="Z30" s="720" t="str">
        <f t="shared" si="15"/>
        <v>项目建筑规模</v>
      </c>
      <c r="AA30" s="1507" t="e">
        <f t="shared" si="3"/>
        <v>#N/A</v>
      </c>
      <c r="AB30" s="1507" t="e">
        <f t="shared" si="4"/>
        <v>#N/A</v>
      </c>
      <c r="AC30" s="1507" t="e">
        <f t="shared" si="5"/>
        <v>#N/A</v>
      </c>
    </row>
    <row r="31" spans="1:29" ht="15">
      <c r="A31" s="431"/>
      <c r="B31" s="381" t="s">
        <v>2329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8"/>
      <c r="Q31" s="1506" t="str">
        <f t="shared" si="11"/>
        <v>建筑结构</v>
      </c>
      <c r="R31" s="714" t="s">
        <v>17</v>
      </c>
      <c r="S31" s="715">
        <f t="shared" si="12"/>
        <v>100</v>
      </c>
      <c r="T31" s="714" t="s">
        <v>17</v>
      </c>
      <c r="U31" s="715">
        <f t="shared" si="13"/>
        <v>100</v>
      </c>
      <c r="V31" s="714" t="s">
        <v>17</v>
      </c>
      <c r="W31" s="715">
        <f t="shared" si="14"/>
        <v>100</v>
      </c>
      <c r="X31" s="1509"/>
      <c r="Y31" s="3488"/>
      <c r="Z31" s="1510" t="str">
        <f t="shared" si="15"/>
        <v>建筑结构</v>
      </c>
      <c r="AA31" s="1507">
        <f t="shared" si="3"/>
        <v>1</v>
      </c>
      <c r="AB31" s="1507">
        <f t="shared" si="4"/>
        <v>1</v>
      </c>
      <c r="AC31" s="1507">
        <f t="shared" si="5"/>
        <v>1</v>
      </c>
    </row>
    <row r="32" spans="1:29" ht="15">
      <c r="A32" s="431"/>
      <c r="B32" s="381" t="s">
        <v>2423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8"/>
      <c r="Q32" s="1506" t="str">
        <f t="shared" si="11"/>
        <v>公共部分装修</v>
      </c>
      <c r="R32" s="714" t="s">
        <v>17</v>
      </c>
      <c r="S32" s="715">
        <f t="shared" si="12"/>
        <v>100</v>
      </c>
      <c r="T32" s="714" t="s">
        <v>17</v>
      </c>
      <c r="U32" s="715">
        <f t="shared" si="13"/>
        <v>100</v>
      </c>
      <c r="V32" s="714" t="s">
        <v>17</v>
      </c>
      <c r="W32" s="715">
        <f t="shared" si="14"/>
        <v>100</v>
      </c>
      <c r="X32" s="1509"/>
      <c r="Y32" s="3488"/>
      <c r="Z32" s="1510" t="str">
        <f t="shared" si="15"/>
        <v>公共部分装修</v>
      </c>
      <c r="AA32" s="1507">
        <f t="shared" si="3"/>
        <v>1</v>
      </c>
      <c r="AB32" s="1507">
        <f t="shared" si="4"/>
        <v>1</v>
      </c>
      <c r="AC32" s="1507">
        <f t="shared" si="5"/>
        <v>1</v>
      </c>
    </row>
    <row r="33" spans="1:29" ht="15">
      <c r="A33" s="431"/>
      <c r="B33" s="381" t="s">
        <v>2424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8"/>
      <c r="Q33" s="1506" t="str">
        <f t="shared" si="11"/>
        <v>成新度</v>
      </c>
      <c r="R33" s="714" t="s">
        <v>17</v>
      </c>
      <c r="S33" s="715" t="e">
        <f t="shared" si="12"/>
        <v>#N/A</v>
      </c>
      <c r="T33" s="714" t="s">
        <v>17</v>
      </c>
      <c r="U33" s="715" t="e">
        <f t="shared" si="13"/>
        <v>#N/A</v>
      </c>
      <c r="V33" s="714" t="s">
        <v>17</v>
      </c>
      <c r="W33" s="715" t="e">
        <f t="shared" si="14"/>
        <v>#N/A</v>
      </c>
      <c r="X33" s="1509"/>
      <c r="Y33" s="3488"/>
      <c r="Z33" s="1510" t="str">
        <f t="shared" si="15"/>
        <v>成新度</v>
      </c>
      <c r="AA33" s="1507" t="e">
        <f t="shared" si="3"/>
        <v>#N/A</v>
      </c>
      <c r="AB33" s="1507" t="e">
        <f t="shared" si="4"/>
        <v>#N/A</v>
      </c>
      <c r="AC33" s="1507" t="e">
        <f t="shared" si="5"/>
        <v>#N/A</v>
      </c>
    </row>
    <row r="34" spans="1:29" s="113" customFormat="1" ht="15">
      <c r="A34" s="432"/>
      <c r="B34" s="381" t="s">
        <v>2457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8"/>
      <c r="Q34" s="1497" t="str">
        <f t="shared" si="11"/>
        <v>物业管理</v>
      </c>
      <c r="R34" s="710" t="s">
        <v>17</v>
      </c>
      <c r="S34" s="711">
        <f t="shared" si="12"/>
        <v>100</v>
      </c>
      <c r="T34" s="710" t="s">
        <v>17</v>
      </c>
      <c r="U34" s="711">
        <f t="shared" si="13"/>
        <v>100</v>
      </c>
      <c r="V34" s="710" t="s">
        <v>17</v>
      </c>
      <c r="W34" s="711">
        <f t="shared" si="14"/>
        <v>100</v>
      </c>
      <c r="X34" s="712"/>
      <c r="Y34" s="3488"/>
      <c r="Z34" s="55" t="str">
        <f t="shared" si="15"/>
        <v>物业管理</v>
      </c>
      <c r="AA34" s="713">
        <f t="shared" si="3"/>
        <v>1</v>
      </c>
      <c r="AB34" s="713">
        <f t="shared" si="4"/>
        <v>1</v>
      </c>
      <c r="AC34" s="713">
        <f t="shared" si="5"/>
        <v>1</v>
      </c>
    </row>
    <row r="35" spans="1:29" ht="15">
      <c r="A35" s="431"/>
      <c r="B35" s="381" t="s">
        <v>2425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8" t="s">
        <v>2327</v>
      </c>
      <c r="Q35" s="1506" t="str">
        <f t="shared" si="11"/>
        <v>市政基础设施</v>
      </c>
      <c r="R35" s="714" t="s">
        <v>17</v>
      </c>
      <c r="S35" s="715">
        <f t="shared" si="12"/>
        <v>100</v>
      </c>
      <c r="T35" s="714" t="s">
        <v>17</v>
      </c>
      <c r="U35" s="715">
        <f t="shared" si="13"/>
        <v>100</v>
      </c>
      <c r="V35" s="714" t="s">
        <v>17</v>
      </c>
      <c r="W35" s="715">
        <f t="shared" si="14"/>
        <v>100</v>
      </c>
      <c r="X35" s="1509"/>
      <c r="Y35" s="3488" t="s">
        <v>2327</v>
      </c>
      <c r="Z35" s="1510" t="str">
        <f t="shared" si="15"/>
        <v>市政基础设施</v>
      </c>
      <c r="AA35" s="1507">
        <f t="shared" si="3"/>
        <v>1</v>
      </c>
      <c r="AB35" s="1507">
        <f t="shared" si="4"/>
        <v>1</v>
      </c>
      <c r="AC35" s="1507">
        <f t="shared" si="5"/>
        <v>1</v>
      </c>
    </row>
    <row r="36" spans="1:29" ht="15">
      <c r="A36" s="431"/>
      <c r="B36" s="381" t="s">
        <v>2430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8"/>
      <c r="Q36" s="1506" t="str">
        <f t="shared" si="11"/>
        <v>内部装修</v>
      </c>
      <c r="R36" s="714" t="s">
        <v>17</v>
      </c>
      <c r="S36" s="715">
        <f t="shared" si="12"/>
        <v>100</v>
      </c>
      <c r="T36" s="714" t="s">
        <v>17</v>
      </c>
      <c r="U36" s="715">
        <f t="shared" si="13"/>
        <v>100</v>
      </c>
      <c r="V36" s="714" t="s">
        <v>17</v>
      </c>
      <c r="W36" s="715">
        <f t="shared" si="14"/>
        <v>100</v>
      </c>
      <c r="X36" s="1509"/>
      <c r="Y36" s="3488"/>
      <c r="Z36" s="1510" t="str">
        <f t="shared" si="15"/>
        <v>内部装修</v>
      </c>
      <c r="AA36" s="1507">
        <f t="shared" si="3"/>
        <v>1</v>
      </c>
      <c r="AB36" s="1507">
        <f t="shared" si="4"/>
        <v>1</v>
      </c>
      <c r="AC36" s="1507">
        <f t="shared" si="5"/>
        <v>1</v>
      </c>
    </row>
    <row r="37" spans="1:29" ht="15">
      <c r="A37" s="431"/>
      <c r="B37" s="381" t="s">
        <v>2466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8"/>
      <c r="Q37" s="1506" t="str">
        <f t="shared" si="11"/>
        <v>内部装修状况</v>
      </c>
      <c r="R37" s="714" t="s">
        <v>17</v>
      </c>
      <c r="S37" s="715">
        <f t="shared" si="12"/>
        <v>100</v>
      </c>
      <c r="T37" s="714" t="s">
        <v>17</v>
      </c>
      <c r="U37" s="715">
        <f t="shared" si="13"/>
        <v>100</v>
      </c>
      <c r="V37" s="714" t="s">
        <v>17</v>
      </c>
      <c r="W37" s="715">
        <f t="shared" si="14"/>
        <v>100</v>
      </c>
      <c r="X37" s="1509"/>
      <c r="Y37" s="348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8"/>
      <c r="Q38" s="716">
        <f t="shared" si="11"/>
        <v>111</v>
      </c>
      <c r="R38" s="717" t="s">
        <v>17</v>
      </c>
      <c r="S38" s="718">
        <f t="shared" si="12"/>
        <v>100</v>
      </c>
      <c r="T38" s="717" t="s">
        <v>17</v>
      </c>
      <c r="U38" s="718">
        <f t="shared" si="13"/>
        <v>100</v>
      </c>
      <c r="V38" s="717" t="s">
        <v>17</v>
      </c>
      <c r="W38" s="718">
        <f t="shared" si="14"/>
        <v>100</v>
      </c>
      <c r="X38" s="719"/>
      <c r="Y38" s="348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8"/>
      <c r="Q39" s="1506">
        <f t="shared" si="11"/>
        <v>111</v>
      </c>
      <c r="R39" s="714" t="s">
        <v>17</v>
      </c>
      <c r="S39" s="715">
        <f t="shared" si="12"/>
        <v>100</v>
      </c>
      <c r="T39" s="714" t="s">
        <v>17</v>
      </c>
      <c r="U39" s="715">
        <f t="shared" si="13"/>
        <v>100</v>
      </c>
      <c r="V39" s="714" t="s">
        <v>17</v>
      </c>
      <c r="W39" s="715">
        <f t="shared" si="14"/>
        <v>100</v>
      </c>
      <c r="X39" s="1509"/>
      <c r="Y39" s="3488"/>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0"/>
      <c r="Q40" s="1506">
        <f t="shared" si="11"/>
        <v>111</v>
      </c>
      <c r="R40" s="714" t="s">
        <v>17</v>
      </c>
      <c r="S40" s="715">
        <f t="shared" si="12"/>
        <v>100</v>
      </c>
      <c r="T40" s="714" t="s">
        <v>17</v>
      </c>
      <c r="U40" s="715">
        <f t="shared" si="13"/>
        <v>100</v>
      </c>
      <c r="V40" s="714" t="s">
        <v>17</v>
      </c>
      <c r="W40" s="715">
        <f t="shared" si="14"/>
        <v>100</v>
      </c>
      <c r="X40" s="1509"/>
      <c r="Y40" s="3530"/>
      <c r="Z40" s="1510">
        <f t="shared" si="15"/>
        <v>111</v>
      </c>
      <c r="AA40" s="1507">
        <f t="shared" si="3"/>
        <v>1</v>
      </c>
      <c r="AB40" s="1507">
        <f t="shared" si="4"/>
        <v>1</v>
      </c>
      <c r="AC40" s="1507">
        <f t="shared" si="5"/>
        <v>1</v>
      </c>
    </row>
    <row r="41" spans="1:29" ht="15">
      <c r="A41" s="438" t="s">
        <v>2339</v>
      </c>
      <c r="B41" s="439"/>
      <c r="C41" s="1288" t="s">
        <v>1</v>
      </c>
      <c r="D41" s="1289"/>
      <c r="E41" s="1290"/>
      <c r="F41" s="1291"/>
      <c r="G41" s="1292"/>
      <c r="H41" s="1293"/>
      <c r="I41" s="1290"/>
      <c r="J41" s="1293"/>
      <c r="K41" s="723"/>
      <c r="L41" s="1057"/>
      <c r="M41" s="1058"/>
      <c r="N41" s="1045"/>
      <c r="O41" s="1058"/>
      <c r="P41" s="3470" t="str">
        <f>A41</f>
        <v>成交单价（元/平方米）</v>
      </c>
      <c r="Q41" s="3470"/>
      <c r="R41" s="3526">
        <f>E41</f>
        <v>0</v>
      </c>
      <c r="S41" s="3526"/>
      <c r="T41" s="3526">
        <f>G41</f>
        <v>0</v>
      </c>
      <c r="U41" s="3526"/>
      <c r="V41" s="3526">
        <f>I41</f>
        <v>0</v>
      </c>
      <c r="W41" s="3526"/>
      <c r="X41" s="699"/>
      <c r="Y41" s="721"/>
      <c r="Z41" s="699"/>
      <c r="AA41" s="699"/>
      <c r="AB41" s="699"/>
      <c r="AC41" s="699"/>
    </row>
    <row r="42" spans="1:29" ht="15.75" thickBot="1">
      <c r="A42" s="445" t="s">
        <v>2431</v>
      </c>
      <c r="B42" s="446"/>
      <c r="C42" s="1294" t="e">
        <f>R43</f>
        <v>#DIV/0!</v>
      </c>
      <c r="D42" s="2507" t="s">
        <v>2822</v>
      </c>
      <c r="E42" s="1295" t="e">
        <f>R42</f>
        <v>#DIV/0!</v>
      </c>
      <c r="F42" s="2508"/>
      <c r="G42" s="1294" t="e">
        <f>T42</f>
        <v>#DIV/0!</v>
      </c>
      <c r="H42" s="2508"/>
      <c r="I42" s="1295" t="e">
        <f>V42</f>
        <v>#DIV/0!</v>
      </c>
      <c r="J42" s="2508"/>
      <c r="K42" s="2510">
        <f>F42+H42+J42</f>
        <v>0</v>
      </c>
      <c r="L42" s="1057"/>
      <c r="M42" s="1058"/>
      <c r="N42" s="1045"/>
      <c r="O42" s="1058"/>
      <c r="P42" s="3470" t="str">
        <f>A42</f>
        <v>比较价值（元/平方米）</v>
      </c>
      <c r="Q42" s="3470"/>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2432</v>
      </c>
      <c r="B43" s="450"/>
      <c r="C43" s="1297" t="e">
        <f>R43</f>
        <v>#DIV/0!</v>
      </c>
      <c r="D43" s="1297"/>
      <c r="E43" s="1297"/>
      <c r="F43" s="1297"/>
      <c r="G43" s="1297"/>
      <c r="H43" s="1297"/>
      <c r="I43" s="1297"/>
      <c r="J43" s="1297"/>
      <c r="K43" s="724"/>
      <c r="L43" s="1057"/>
      <c r="M43" s="1058"/>
      <c r="N43" s="1058"/>
      <c r="O43" s="1058"/>
      <c r="P43" s="3490" t="str">
        <f>A43</f>
        <v>估价对象XX用房的比较价值（楼面单价，元/平方米）</v>
      </c>
      <c r="Q43" s="3491"/>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19"/>
      <c r="B44" s="2919"/>
      <c r="C44" s="2919"/>
      <c r="D44" s="2919"/>
      <c r="E44" s="2919"/>
      <c r="F44" s="2919"/>
      <c r="G44" s="2923"/>
      <c r="H44" s="2919"/>
      <c r="I44" s="2919"/>
      <c r="J44" s="2919"/>
      <c r="K44" s="2924"/>
      <c r="L44" s="1020"/>
      <c r="M44" s="1058"/>
      <c r="N44" s="1058"/>
      <c r="O44" s="1058"/>
    </row>
    <row r="45" spans="1:29">
      <c r="A45" s="2919"/>
      <c r="B45" s="2919"/>
      <c r="C45" s="2919"/>
      <c r="D45" s="2919"/>
      <c r="E45" s="2919"/>
      <c r="F45" s="2919"/>
      <c r="G45" s="2919"/>
      <c r="H45" s="2919"/>
      <c r="I45" s="2919"/>
      <c r="J45" s="2919"/>
      <c r="K45" s="2924"/>
      <c r="L45" s="1020"/>
      <c r="M45" s="1058"/>
      <c r="N45" s="1058"/>
      <c r="O45" s="1058"/>
    </row>
    <row r="46" spans="1:29" ht="13.5" customHeight="1">
      <c r="A46" s="2919"/>
      <c r="B46" s="2919"/>
      <c r="C46" s="454" t="s">
        <v>2433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20"/>
      <c r="M46" s="1058"/>
      <c r="N46" s="1058"/>
      <c r="O46" s="1058"/>
    </row>
    <row r="47" spans="1:29" ht="13.5" customHeight="1">
      <c r="A47" s="2919"/>
      <c r="B47" s="2919"/>
      <c r="C47" s="454" t="s">
        <v>2434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20"/>
      <c r="M47" s="1058"/>
      <c r="N47" s="1058"/>
      <c r="O47" s="1058"/>
    </row>
    <row r="48" spans="1:29" s="459" customFormat="1" ht="13.5" customHeight="1">
      <c r="A48" s="2922"/>
      <c r="B48" s="2922"/>
      <c r="C48" s="454" t="s">
        <v>2435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61"/>
      <c r="M48" s="1059"/>
      <c r="N48" s="1059"/>
      <c r="O48" s="1059"/>
    </row>
    <row r="49" spans="1:17" s="459" customFormat="1">
      <c r="A49" s="2922"/>
      <c r="B49" s="2925"/>
      <c r="C49" s="2926"/>
      <c r="D49" s="2922"/>
      <c r="E49" s="2922"/>
      <c r="F49" s="2922"/>
      <c r="G49" s="2922"/>
      <c r="H49" s="2922"/>
      <c r="I49" s="2922"/>
      <c r="J49" s="2922"/>
      <c r="K49" s="2927"/>
      <c r="L49" s="1061"/>
      <c r="M49" s="1059"/>
      <c r="N49" s="1059"/>
      <c r="O49" s="1059"/>
    </row>
    <row r="50" spans="1:17">
      <c r="A50" s="2919"/>
      <c r="B50" s="2925"/>
      <c r="C50" s="2926"/>
      <c r="D50" s="2919"/>
      <c r="E50" s="2919"/>
      <c r="F50" s="2919"/>
      <c r="G50" s="2919"/>
      <c r="H50" s="2919"/>
      <c r="I50" s="2919"/>
      <c r="J50" s="2919"/>
      <c r="K50" s="2924"/>
      <c r="L50" s="1020"/>
      <c r="M50" s="1058"/>
      <c r="N50" s="1058"/>
      <c r="O50" s="1058"/>
    </row>
    <row r="51" spans="1:17" ht="21.75" thickBot="1">
      <c r="A51" s="703" t="s">
        <v>2436</v>
      </c>
      <c r="B51" s="699"/>
      <c r="C51" s="704"/>
      <c r="D51" s="704"/>
      <c r="E51" s="704"/>
      <c r="F51" s="705"/>
      <c r="G51" s="705"/>
      <c r="H51" s="704"/>
      <c r="I51" s="704"/>
      <c r="J51" s="704"/>
      <c r="K51" s="1072"/>
      <c r="L51" s="1073"/>
      <c r="M51" s="1071"/>
      <c r="N51" s="1071"/>
      <c r="O51" s="1071"/>
      <c r="P51" s="460"/>
      <c r="Q51" s="461"/>
    </row>
    <row r="52" spans="1:17" s="465" customFormat="1" ht="15">
      <c r="A52" s="462" t="s">
        <v>2310</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2347</v>
      </c>
      <c r="B54" s="473"/>
      <c r="C54" s="474"/>
      <c r="D54" s="475"/>
      <c r="E54" s="475"/>
      <c r="F54" s="475"/>
      <c r="G54" s="475"/>
      <c r="H54" s="475"/>
      <c r="I54" s="475"/>
      <c r="J54" s="475"/>
      <c r="K54" s="475"/>
      <c r="L54" s="475"/>
      <c r="M54" s="476"/>
      <c r="N54" s="2964"/>
      <c r="O54" s="2965"/>
      <c r="P54" s="461"/>
      <c r="Q54" s="461"/>
    </row>
    <row r="55" spans="1:17" s="113" customFormat="1" ht="15">
      <c r="A55" s="478" t="s">
        <v>2312</v>
      </c>
      <c r="B55" s="467"/>
      <c r="C55" s="479" t="s">
        <v>2414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2350</v>
      </c>
      <c r="B57" s="485" t="s">
        <v>2316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2319</v>
      </c>
      <c r="C59" s="496" t="s">
        <v>2351</v>
      </c>
      <c r="D59" s="496" t="s">
        <v>2352</v>
      </c>
      <c r="E59" s="496" t="s">
        <v>2353</v>
      </c>
      <c r="F59" s="496" t="s">
        <v>2354</v>
      </c>
      <c r="G59" s="496" t="s">
        <v>2355</v>
      </c>
      <c r="H59" s="496" t="s">
        <v>2356</v>
      </c>
      <c r="I59" s="496" t="s">
        <v>2357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2320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2321</v>
      </c>
      <c r="B70" s="485" t="s">
        <v>2467</v>
      </c>
      <c r="C70" s="530" t="s">
        <v>2359</v>
      </c>
      <c r="D70" s="530" t="s">
        <v>2360</v>
      </c>
      <c r="E70" s="530" t="s">
        <v>2361</v>
      </c>
      <c r="F70" s="530" t="s">
        <v>2362</v>
      </c>
      <c r="G70" s="530" t="s">
        <v>2363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2364</v>
      </c>
      <c r="C72" s="535" t="s">
        <v>2359</v>
      </c>
      <c r="D72" s="535" t="s">
        <v>2360</v>
      </c>
      <c r="E72" s="535" t="s">
        <v>2361</v>
      </c>
      <c r="F72" s="535" t="s">
        <v>2362</v>
      </c>
      <c r="G72" s="535" t="s">
        <v>2363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2365</v>
      </c>
      <c r="C74" s="535" t="s">
        <v>2359</v>
      </c>
      <c r="D74" s="535" t="s">
        <v>2360</v>
      </c>
      <c r="E74" s="535" t="s">
        <v>2361</v>
      </c>
      <c r="F74" s="535" t="s">
        <v>2362</v>
      </c>
      <c r="G74" s="535" t="s">
        <v>2363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2451</v>
      </c>
      <c r="C76" s="616" t="s">
        <v>2437</v>
      </c>
      <c r="D76" s="616" t="s">
        <v>2438</v>
      </c>
      <c r="E76" s="616" t="s">
        <v>2439</v>
      </c>
      <c r="F76" s="616" t="s">
        <v>2440</v>
      </c>
      <c r="G76" s="616" t="s">
        <v>2441</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2460</v>
      </c>
      <c r="C78" s="535" t="s">
        <v>2359</v>
      </c>
      <c r="D78" s="535" t="s">
        <v>2360</v>
      </c>
      <c r="E78" s="535" t="s">
        <v>2361</v>
      </c>
      <c r="F78" s="535" t="s">
        <v>2362</v>
      </c>
      <c r="G78" s="535" t="s">
        <v>2363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2325</v>
      </c>
      <c r="B88" s="485" t="s">
        <v>2374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2380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2468</v>
      </c>
      <c r="C106" s="535" t="s">
        <v>2359</v>
      </c>
      <c r="D106" s="535" t="s">
        <v>2360</v>
      </c>
      <c r="E106" s="535" t="s">
        <v>2361</v>
      </c>
      <c r="F106" s="535" t="s">
        <v>2362</v>
      </c>
      <c r="G106" s="535" t="s">
        <v>2363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2469</v>
      </c>
      <c r="B1" s="1363"/>
      <c r="C1" s="1364" t="s">
        <v>2292</v>
      </c>
      <c r="D1" s="1365"/>
      <c r="E1" s="1366"/>
      <c r="F1" s="2034"/>
      <c r="G1" s="1367" t="s">
        <v>2405</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28"/>
      <c r="M2" s="2929"/>
      <c r="N2" s="2929"/>
      <c r="O2" s="2929"/>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2406</v>
      </c>
      <c r="D3" s="359">
        <f>SUMIF('数据-汇总表'!$C19:$C33,D1,'数据-汇总表'!$E19:$E33)</f>
        <v>0</v>
      </c>
      <c r="E3" s="360" t="s">
        <v>2470</v>
      </c>
      <c r="F3" s="359">
        <f>SUMIF('数据-取费表'!A5:A15,D1,'数据-取费表'!AH5:AH15)</f>
        <v>0</v>
      </c>
      <c r="G3" s="1039"/>
      <c r="H3" s="1039"/>
      <c r="I3" s="1039"/>
      <c r="J3" s="1039"/>
      <c r="K3" s="1041"/>
      <c r="L3" s="2928"/>
      <c r="M3" s="2929"/>
      <c r="N3" s="2929"/>
      <c r="O3" s="2929"/>
      <c r="P3" s="1299"/>
      <c r="Q3" s="708"/>
      <c r="R3" s="708"/>
      <c r="S3" s="708"/>
      <c r="T3" s="708"/>
      <c r="U3" s="708"/>
      <c r="V3" s="708"/>
      <c r="W3" s="708"/>
      <c r="X3" s="708"/>
      <c r="Y3" s="708"/>
      <c r="Z3" s="708"/>
      <c r="AA3" s="708"/>
      <c r="AB3" s="725"/>
      <c r="AC3" s="722"/>
    </row>
    <row r="4" spans="1:29" ht="15">
      <c r="A4" s="361" t="s">
        <v>2407</v>
      </c>
      <c r="B4" s="362"/>
      <c r="C4" s="3471" t="s">
        <v>2408</v>
      </c>
      <c r="D4" s="3472"/>
      <c r="E4" s="3473" t="s">
        <v>2409</v>
      </c>
      <c r="F4" s="3474"/>
      <c r="G4" s="3471" t="s">
        <v>2410</v>
      </c>
      <c r="H4" s="3472"/>
      <c r="I4" s="3471" t="s">
        <v>2411</v>
      </c>
      <c r="J4" s="3472"/>
      <c r="K4" s="567" t="s">
        <v>2412</v>
      </c>
      <c r="L4" s="2909"/>
      <c r="M4" s="2910"/>
      <c r="N4" s="2910"/>
      <c r="O4" s="2910"/>
      <c r="P4" s="3475" t="s">
        <v>2413</v>
      </c>
      <c r="Q4" s="3476"/>
      <c r="R4" s="3458" t="s">
        <v>2409</v>
      </c>
      <c r="S4" s="3459"/>
      <c r="T4" s="3458" t="s">
        <v>2410</v>
      </c>
      <c r="U4" s="3459"/>
      <c r="V4" s="3483" t="s">
        <v>2411</v>
      </c>
      <c r="W4" s="3483"/>
      <c r="X4" s="1509"/>
      <c r="Y4" s="3458" t="s">
        <v>2413</v>
      </c>
      <c r="Z4" s="3459"/>
      <c r="AA4" s="3453" t="s">
        <v>2409</v>
      </c>
      <c r="AB4" s="3454" t="s">
        <v>2410</v>
      </c>
      <c r="AC4" s="3453" t="s">
        <v>2411</v>
      </c>
    </row>
    <row r="5" spans="1:29" ht="15">
      <c r="A5" s="364"/>
      <c r="B5" s="365"/>
      <c r="C5" s="3464" t="s">
        <v>2304</v>
      </c>
      <c r="D5" s="3465"/>
      <c r="E5" s="3462" t="s">
        <v>2305</v>
      </c>
      <c r="F5" s="3463"/>
      <c r="G5" s="3464" t="s">
        <v>2306</v>
      </c>
      <c r="H5" s="3465"/>
      <c r="I5" s="3464" t="s">
        <v>2307</v>
      </c>
      <c r="J5" s="3465"/>
      <c r="K5" s="567"/>
      <c r="L5" s="2909"/>
      <c r="M5" s="2910"/>
      <c r="N5" s="2910"/>
      <c r="O5" s="2910"/>
      <c r="P5" s="3477"/>
      <c r="Q5" s="3478"/>
      <c r="R5" s="3460"/>
      <c r="S5" s="3461"/>
      <c r="T5" s="3460"/>
      <c r="U5" s="3461"/>
      <c r="V5" s="3483"/>
      <c r="W5" s="3483"/>
      <c r="X5" s="1509"/>
      <c r="Y5" s="3460"/>
      <c r="Z5" s="3461"/>
      <c r="AA5" s="3454"/>
      <c r="AB5" s="3454"/>
      <c r="AC5" s="3454"/>
    </row>
    <row r="6" spans="1:29" ht="15.75" thickBot="1">
      <c r="A6" s="366"/>
      <c r="B6" s="367"/>
      <c r="C6" s="3466" t="s">
        <v>2308</v>
      </c>
      <c r="D6" s="3467"/>
      <c r="E6" s="3468" t="s">
        <v>2308</v>
      </c>
      <c r="F6" s="3469"/>
      <c r="G6" s="3466" t="s">
        <v>2308</v>
      </c>
      <c r="H6" s="3467"/>
      <c r="I6" s="3466" t="s">
        <v>2308</v>
      </c>
      <c r="J6" s="3467"/>
      <c r="K6" s="567" t="s">
        <v>2309</v>
      </c>
      <c r="L6" s="2909"/>
      <c r="M6" s="2910"/>
      <c r="N6" s="2910"/>
      <c r="O6" s="2910"/>
      <c r="P6" s="3479"/>
      <c r="Q6" s="3480"/>
      <c r="R6" s="3460"/>
      <c r="S6" s="3461"/>
      <c r="T6" s="3481"/>
      <c r="U6" s="3482"/>
      <c r="V6" s="3483"/>
      <c r="W6" s="3483"/>
      <c r="X6" s="1509"/>
      <c r="Y6" s="3481"/>
      <c r="Z6" s="3482"/>
      <c r="AA6" s="3455"/>
      <c r="AB6" s="3455"/>
      <c r="AC6" s="3455"/>
    </row>
    <row r="7" spans="1:29" s="113" customFormat="1" ht="15.75" thickBot="1">
      <c r="A7" s="368" t="s">
        <v>2310</v>
      </c>
      <c r="B7" s="369"/>
      <c r="C7" s="370">
        <f>'数据-取费表'!B2</f>
        <v>44623</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6" t="s">
        <v>2311</v>
      </c>
      <c r="Q7" s="3484"/>
      <c r="R7" s="710" t="s">
        <v>17</v>
      </c>
      <c r="S7" s="711">
        <f t="shared" ref="S7:S14" si="0">F7</f>
        <v>0</v>
      </c>
      <c r="T7" s="710" t="s">
        <v>17</v>
      </c>
      <c r="U7" s="711">
        <f t="shared" ref="U7:U14" si="1">H7</f>
        <v>0</v>
      </c>
      <c r="V7" s="710" t="s">
        <v>17</v>
      </c>
      <c r="W7" s="711">
        <f t="shared" ref="W7:W14" si="2">J7</f>
        <v>0</v>
      </c>
      <c r="X7" s="712"/>
      <c r="Y7" s="3456" t="s">
        <v>2311</v>
      </c>
      <c r="Z7" s="3457"/>
      <c r="AA7" s="713" t="e">
        <f>D7/F7</f>
        <v>#DIV/0!</v>
      </c>
      <c r="AB7" s="713" t="e">
        <f>D7/H7</f>
        <v>#DIV/0!</v>
      </c>
      <c r="AC7" s="713" t="e">
        <f>D7/J7</f>
        <v>#DIV/0!</v>
      </c>
    </row>
    <row r="8" spans="1:29" s="113" customFormat="1" ht="15.75" thickBot="1">
      <c r="A8" s="368" t="s">
        <v>2312</v>
      </c>
      <c r="B8" s="369"/>
      <c r="C8" s="374" t="s">
        <v>2414</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6" t="s">
        <v>2314</v>
      </c>
      <c r="Q8" s="3457"/>
      <c r="R8" s="710" t="s">
        <v>17</v>
      </c>
      <c r="S8" s="711">
        <f t="shared" si="0"/>
        <v>0</v>
      </c>
      <c r="T8" s="710" t="s">
        <v>17</v>
      </c>
      <c r="U8" s="711">
        <f t="shared" si="1"/>
        <v>0</v>
      </c>
      <c r="V8" s="710" t="s">
        <v>17</v>
      </c>
      <c r="W8" s="711">
        <f t="shared" si="2"/>
        <v>0</v>
      </c>
      <c r="X8" s="712"/>
      <c r="Y8" s="3456" t="s">
        <v>2314</v>
      </c>
      <c r="Z8" s="3457"/>
      <c r="AA8" s="713" t="e">
        <f t="shared" ref="AA8:AA36" si="3">D8/F8</f>
        <v>#DIV/0!</v>
      </c>
      <c r="AB8" s="713" t="e">
        <f t="shared" ref="AB8:AB36" si="4">D8/H8</f>
        <v>#DIV/0!</v>
      </c>
      <c r="AC8" s="713" t="e">
        <f t="shared" ref="AC8:AC36" si="5">D8/J8</f>
        <v>#DIV/0!</v>
      </c>
    </row>
    <row r="9" spans="1:29" s="113" customFormat="1">
      <c r="A9" s="64" t="s">
        <v>2315</v>
      </c>
      <c r="B9" s="596" t="s">
        <v>2316</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70" t="s">
        <v>2317</v>
      </c>
      <c r="Q9" s="1497" t="str">
        <f t="shared" ref="Q9:Q14" si="6">B9</f>
        <v>用途</v>
      </c>
      <c r="R9" s="710" t="s">
        <v>17</v>
      </c>
      <c r="S9" s="711">
        <f t="shared" si="0"/>
        <v>100</v>
      </c>
      <c r="T9" s="710" t="s">
        <v>17</v>
      </c>
      <c r="U9" s="711">
        <f t="shared" si="1"/>
        <v>100</v>
      </c>
      <c r="V9" s="710" t="s">
        <v>17</v>
      </c>
      <c r="W9" s="711">
        <f t="shared" si="2"/>
        <v>100</v>
      </c>
      <c r="X9" s="712"/>
      <c r="Y9" s="3429" t="s">
        <v>2318</v>
      </c>
      <c r="Z9" s="55" t="str">
        <f t="shared" ref="Z9:Z14" si="7">Q9</f>
        <v>用途</v>
      </c>
      <c r="AA9" s="713">
        <f t="shared" si="3"/>
        <v>1</v>
      </c>
      <c r="AB9" s="713">
        <f t="shared" si="4"/>
        <v>1</v>
      </c>
      <c r="AC9" s="713">
        <f t="shared" si="5"/>
        <v>1</v>
      </c>
    </row>
    <row r="10" spans="1:29" s="386" customFormat="1" ht="27">
      <c r="A10" s="597"/>
      <c r="B10" s="598" t="s">
        <v>2319</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70"/>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70"/>
      <c r="Q11" s="1497">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70"/>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70"/>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61" t="s">
        <v>2321</v>
      </c>
      <c r="B14" s="585" t="s">
        <v>2471</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85" t="s">
        <v>2322</v>
      </c>
      <c r="Q14" s="1506" t="str">
        <f t="shared" si="6"/>
        <v>交通便捷度</v>
      </c>
      <c r="R14" s="714" t="s">
        <v>17</v>
      </c>
      <c r="S14" s="715">
        <f t="shared" si="0"/>
        <v>100</v>
      </c>
      <c r="T14" s="714" t="s">
        <v>17</v>
      </c>
      <c r="U14" s="715">
        <f t="shared" si="1"/>
        <v>100</v>
      </c>
      <c r="V14" s="714" t="s">
        <v>17</v>
      </c>
      <c r="W14" s="715">
        <f t="shared" si="2"/>
        <v>100</v>
      </c>
      <c r="X14" s="1509"/>
      <c r="Y14" s="3485" t="s">
        <v>2322</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6"/>
      <c r="M15" s="2910"/>
      <c r="N15" s="2910"/>
      <c r="O15" s="2910"/>
      <c r="P15" s="3486"/>
      <c r="Q15" s="1506"/>
      <c r="R15" s="714"/>
      <c r="S15" s="715"/>
      <c r="T15" s="714"/>
      <c r="U15" s="715"/>
      <c r="V15" s="714"/>
      <c r="W15" s="715"/>
      <c r="X15" s="1509"/>
      <c r="Y15" s="3486"/>
      <c r="Z15" s="1510"/>
      <c r="AA15" s="1507">
        <v>1</v>
      </c>
      <c r="AB15" s="1507">
        <v>1</v>
      </c>
      <c r="AC15" s="1507">
        <v>1</v>
      </c>
    </row>
    <row r="16" spans="1:29" ht="42.75">
      <c r="A16" s="364"/>
      <c r="B16" s="587" t="s">
        <v>2450</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86"/>
      <c r="Q16" s="1506" t="str">
        <f>B16</f>
        <v>公共配套设施</v>
      </c>
      <c r="R16" s="714" t="s">
        <v>17</v>
      </c>
      <c r="S16" s="715">
        <f>F16</f>
        <v>100</v>
      </c>
      <c r="T16" s="714" t="s">
        <v>17</v>
      </c>
      <c r="U16" s="715">
        <f>H16</f>
        <v>100</v>
      </c>
      <c r="V16" s="714" t="s">
        <v>17</v>
      </c>
      <c r="W16" s="715">
        <f>J16</f>
        <v>100</v>
      </c>
      <c r="X16" s="1509"/>
      <c r="Y16" s="3486"/>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16"/>
      <c r="M17" s="2910"/>
      <c r="N17" s="2910"/>
      <c r="O17" s="2910"/>
      <c r="P17" s="3486"/>
      <c r="Q17" s="1506"/>
      <c r="R17" s="714"/>
      <c r="S17" s="715"/>
      <c r="T17" s="714"/>
      <c r="U17" s="715"/>
      <c r="V17" s="714"/>
      <c r="W17" s="715"/>
      <c r="X17" s="1509"/>
      <c r="Y17" s="3486"/>
      <c r="Z17" s="1510"/>
      <c r="AA17" s="1507">
        <v>1</v>
      </c>
      <c r="AB17" s="1507">
        <v>1</v>
      </c>
      <c r="AC17" s="1507">
        <v>1</v>
      </c>
    </row>
    <row r="18" spans="1:29" ht="28.5">
      <c r="A18" s="364"/>
      <c r="B18" s="589" t="s">
        <v>2451</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86"/>
      <c r="Q18" s="1506" t="str">
        <f>B18</f>
        <v>基础设施水平</v>
      </c>
      <c r="R18" s="714" t="s">
        <v>17</v>
      </c>
      <c r="S18" s="715">
        <f>F18</f>
        <v>100</v>
      </c>
      <c r="T18" s="714" t="s">
        <v>17</v>
      </c>
      <c r="U18" s="715">
        <f>H18</f>
        <v>100</v>
      </c>
      <c r="V18" s="714" t="s">
        <v>17</v>
      </c>
      <c r="W18" s="715">
        <f>J18</f>
        <v>100</v>
      </c>
      <c r="X18" s="1509"/>
      <c r="Y18" s="3486"/>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16"/>
      <c r="M19" s="2910"/>
      <c r="N19" s="2910"/>
      <c r="O19" s="2910"/>
      <c r="P19" s="3486"/>
      <c r="Q19" s="1506"/>
      <c r="R19" s="714"/>
      <c r="S19" s="715"/>
      <c r="T19" s="714"/>
      <c r="U19" s="715"/>
      <c r="V19" s="714"/>
      <c r="W19" s="715"/>
      <c r="X19" s="1509"/>
      <c r="Y19" s="3486"/>
      <c r="Z19" s="1510"/>
      <c r="AA19" s="1507">
        <v>1</v>
      </c>
      <c r="AB19" s="1507">
        <v>1</v>
      </c>
      <c r="AC19" s="1507">
        <v>1</v>
      </c>
    </row>
    <row r="20" spans="1:29" ht="57">
      <c r="A20" s="364"/>
      <c r="B20" s="587" t="s">
        <v>2472</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86"/>
      <c r="Q20" s="1506" t="str">
        <f>B20</f>
        <v>自然及人文环境</v>
      </c>
      <c r="R20" s="714" t="s">
        <v>17</v>
      </c>
      <c r="S20" s="715">
        <f>F20</f>
        <v>100</v>
      </c>
      <c r="T20" s="714" t="s">
        <v>17</v>
      </c>
      <c r="U20" s="715">
        <f>H20</f>
        <v>100</v>
      </c>
      <c r="V20" s="714" t="s">
        <v>17</v>
      </c>
      <c r="W20" s="715">
        <f>J20</f>
        <v>100</v>
      </c>
      <c r="X20" s="1509"/>
      <c r="Y20" s="348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6"/>
      <c r="M21" s="2910"/>
      <c r="N21" s="2910"/>
      <c r="O21" s="2910"/>
      <c r="P21" s="3486"/>
      <c r="Q21" s="1506"/>
      <c r="R21" s="714"/>
      <c r="S21" s="715"/>
      <c r="T21" s="714"/>
      <c r="U21" s="715"/>
      <c r="V21" s="714"/>
      <c r="W21" s="715"/>
      <c r="X21" s="1509"/>
      <c r="Y21" s="3486"/>
      <c r="Z21" s="1510"/>
      <c r="AA21" s="1507">
        <v>1</v>
      </c>
      <c r="AB21" s="1507">
        <v>1</v>
      </c>
      <c r="AC21" s="1507">
        <v>1</v>
      </c>
    </row>
    <row r="22" spans="1:29" ht="15">
      <c r="A22" s="364"/>
      <c r="B22" s="587" t="s">
        <v>2473</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86"/>
      <c r="Q22" s="1506" t="str">
        <f>B22</f>
        <v>楼层</v>
      </c>
      <c r="R22" s="714" t="s">
        <v>17</v>
      </c>
      <c r="S22" s="715">
        <f>F22</f>
        <v>100</v>
      </c>
      <c r="T22" s="714" t="s">
        <v>17</v>
      </c>
      <c r="U22" s="715">
        <f>H22</f>
        <v>100</v>
      </c>
      <c r="V22" s="714" t="s">
        <v>17</v>
      </c>
      <c r="W22" s="715">
        <f>J22</f>
        <v>100</v>
      </c>
      <c r="X22" s="1509"/>
      <c r="Y22" s="348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86"/>
      <c r="Q23" s="1506">
        <f>B23</f>
        <v>111</v>
      </c>
      <c r="R23" s="714" t="s">
        <v>17</v>
      </c>
      <c r="S23" s="715">
        <f>F23</f>
        <v>100</v>
      </c>
      <c r="T23" s="714" t="s">
        <v>17</v>
      </c>
      <c r="U23" s="715">
        <f>H23</f>
        <v>100</v>
      </c>
      <c r="V23" s="714" t="s">
        <v>17</v>
      </c>
      <c r="W23" s="715">
        <f>J23</f>
        <v>100</v>
      </c>
      <c r="X23" s="1509"/>
      <c r="Y23" s="348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86"/>
      <c r="Q24" s="1506">
        <f t="shared" ref="Q24:Q36" si="11">B24</f>
        <v>111</v>
      </c>
      <c r="R24" s="714" t="s">
        <v>17</v>
      </c>
      <c r="S24" s="715">
        <f>F24</f>
        <v>100</v>
      </c>
      <c r="T24" s="714" t="s">
        <v>17</v>
      </c>
      <c r="U24" s="715">
        <f>H24</f>
        <v>100</v>
      </c>
      <c r="V24" s="714" t="s">
        <v>17</v>
      </c>
      <c r="W24" s="715">
        <f>J24</f>
        <v>100</v>
      </c>
      <c r="X24" s="1509"/>
      <c r="Y24" s="348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86"/>
      <c r="Q25" s="1497">
        <f t="shared" si="11"/>
        <v>111</v>
      </c>
      <c r="R25" s="710" t="s">
        <v>17</v>
      </c>
      <c r="S25" s="711">
        <f>F25</f>
        <v>100</v>
      </c>
      <c r="T25" s="710" t="s">
        <v>17</v>
      </c>
      <c r="U25" s="711">
        <f>H25</f>
        <v>100</v>
      </c>
      <c r="V25" s="710" t="s">
        <v>17</v>
      </c>
      <c r="W25" s="711">
        <f>J25</f>
        <v>100</v>
      </c>
      <c r="X25" s="712"/>
      <c r="Y25" s="3486"/>
      <c r="Z25" s="55">
        <f>Q25</f>
        <v>111</v>
      </c>
      <c r="AA25" s="1507">
        <f>D25/F25</f>
        <v>1</v>
      </c>
      <c r="AB25" s="1507">
        <f>D25/H25</f>
        <v>1</v>
      </c>
      <c r="AC25" s="1507">
        <f>D25/J25</f>
        <v>1</v>
      </c>
    </row>
    <row r="26" spans="1:29" ht="28.5">
      <c r="A26" s="608" t="s">
        <v>2325</v>
      </c>
      <c r="B26" s="66" t="s">
        <v>2474</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487" t="s">
        <v>2327</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8" t="s">
        <v>2327</v>
      </c>
      <c r="Z26" s="1510" t="str">
        <f t="shared" ref="Z26:Z36" si="15">Q26</f>
        <v>配套类型</v>
      </c>
      <c r="AA26" s="1507">
        <f t="shared" si="3"/>
        <v>1</v>
      </c>
      <c r="AB26" s="1507">
        <f t="shared" si="4"/>
        <v>1</v>
      </c>
      <c r="AC26" s="1507">
        <f t="shared" si="5"/>
        <v>1</v>
      </c>
    </row>
    <row r="27" spans="1:29" s="430" customFormat="1" ht="15">
      <c r="A27" s="609"/>
      <c r="B27" s="610" t="s">
        <v>2475</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88"/>
      <c r="Q27" s="716" t="str">
        <f t="shared" si="11"/>
        <v>项目停车位配比</v>
      </c>
      <c r="R27" s="717" t="s">
        <v>17</v>
      </c>
      <c r="S27" s="718">
        <f t="shared" si="12"/>
        <v>100</v>
      </c>
      <c r="T27" s="717" t="s">
        <v>17</v>
      </c>
      <c r="U27" s="718">
        <f t="shared" si="13"/>
        <v>100</v>
      </c>
      <c r="V27" s="717" t="s">
        <v>17</v>
      </c>
      <c r="W27" s="718">
        <f t="shared" si="14"/>
        <v>100</v>
      </c>
      <c r="X27" s="719"/>
      <c r="Y27" s="3488"/>
      <c r="Z27" s="720" t="str">
        <f t="shared" si="15"/>
        <v>项目停车位配比</v>
      </c>
      <c r="AA27" s="1507">
        <f t="shared" si="3"/>
        <v>1</v>
      </c>
      <c r="AB27" s="1507">
        <f t="shared" si="4"/>
        <v>1</v>
      </c>
      <c r="AC27" s="1507">
        <f t="shared" si="5"/>
        <v>1</v>
      </c>
    </row>
    <row r="28" spans="1:29" ht="15">
      <c r="A28" s="612"/>
      <c r="B28" s="610" t="s">
        <v>2476</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88"/>
      <c r="Q28" s="1506" t="str">
        <f t="shared" si="11"/>
        <v>公共部分装修</v>
      </c>
      <c r="R28" s="714" t="s">
        <v>17</v>
      </c>
      <c r="S28" s="715">
        <f t="shared" si="12"/>
        <v>100</v>
      </c>
      <c r="T28" s="714" t="s">
        <v>17</v>
      </c>
      <c r="U28" s="715">
        <f t="shared" si="13"/>
        <v>100</v>
      </c>
      <c r="V28" s="714" t="s">
        <v>17</v>
      </c>
      <c r="W28" s="715">
        <f t="shared" si="14"/>
        <v>100</v>
      </c>
      <c r="X28" s="1509"/>
      <c r="Y28" s="3488"/>
      <c r="Z28" s="1510" t="str">
        <f t="shared" si="15"/>
        <v>公共部分装修</v>
      </c>
      <c r="AA28" s="1507">
        <f t="shared" si="3"/>
        <v>1</v>
      </c>
      <c r="AB28" s="1507">
        <f t="shared" si="4"/>
        <v>1</v>
      </c>
      <c r="AC28" s="1507">
        <f t="shared" si="5"/>
        <v>1</v>
      </c>
    </row>
    <row r="29" spans="1:29" ht="15">
      <c r="A29" s="612"/>
      <c r="B29" s="610" t="s">
        <v>2477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88"/>
      <c r="Q29" s="1506" t="str">
        <f t="shared" si="11"/>
        <v>成新率</v>
      </c>
      <c r="R29" s="714" t="s">
        <v>17</v>
      </c>
      <c r="S29" s="715" t="e">
        <f t="shared" si="12"/>
        <v>#N/A</v>
      </c>
      <c r="T29" s="714" t="s">
        <v>17</v>
      </c>
      <c r="U29" s="715" t="e">
        <f t="shared" si="13"/>
        <v>#N/A</v>
      </c>
      <c r="V29" s="714" t="s">
        <v>17</v>
      </c>
      <c r="W29" s="715" t="e">
        <f t="shared" si="14"/>
        <v>#N/A</v>
      </c>
      <c r="X29" s="1509"/>
      <c r="Y29" s="3488"/>
      <c r="Z29" s="1510" t="str">
        <f t="shared" si="15"/>
        <v>成新率</v>
      </c>
      <c r="AA29" s="1507" t="e">
        <f t="shared" si="3"/>
        <v>#N/A</v>
      </c>
      <c r="AB29" s="1507" t="e">
        <f t="shared" si="4"/>
        <v>#N/A</v>
      </c>
      <c r="AC29" s="1507" t="e">
        <f t="shared" si="5"/>
        <v>#N/A</v>
      </c>
    </row>
    <row r="30" spans="1:29" ht="15">
      <c r="A30" s="612"/>
      <c r="B30" s="610" t="s">
        <v>2478</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88"/>
      <c r="Q30" s="1506" t="str">
        <f t="shared" si="11"/>
        <v>物业等级</v>
      </c>
      <c r="R30" s="714" t="s">
        <v>17</v>
      </c>
      <c r="S30" s="715">
        <f t="shared" si="12"/>
        <v>100</v>
      </c>
      <c r="T30" s="714" t="s">
        <v>17</v>
      </c>
      <c r="U30" s="715">
        <f t="shared" si="13"/>
        <v>100</v>
      </c>
      <c r="V30" s="714" t="s">
        <v>17</v>
      </c>
      <c r="W30" s="715">
        <f t="shared" si="14"/>
        <v>100</v>
      </c>
      <c r="X30" s="1509"/>
      <c r="Y30" s="3488"/>
      <c r="Z30" s="1510" t="str">
        <f t="shared" si="15"/>
        <v>物业等级</v>
      </c>
      <c r="AA30" s="1507">
        <f t="shared" si="3"/>
        <v>1</v>
      </c>
      <c r="AB30" s="1507">
        <f t="shared" si="4"/>
        <v>1</v>
      </c>
      <c r="AC30" s="1507">
        <f t="shared" si="5"/>
        <v>1</v>
      </c>
    </row>
    <row r="31" spans="1:29" s="113" customFormat="1" ht="15">
      <c r="A31" s="614"/>
      <c r="B31" s="610" t="s">
        <v>2479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88"/>
      <c r="Q31" s="1497" t="str">
        <f t="shared" si="11"/>
        <v>停车位面积</v>
      </c>
      <c r="R31" s="710" t="s">
        <v>17</v>
      </c>
      <c r="S31" s="711" t="e">
        <f t="shared" si="12"/>
        <v>#N/A</v>
      </c>
      <c r="T31" s="710" t="s">
        <v>17</v>
      </c>
      <c r="U31" s="711" t="e">
        <f t="shared" si="13"/>
        <v>#N/A</v>
      </c>
      <c r="V31" s="710" t="s">
        <v>17</v>
      </c>
      <c r="W31" s="711" t="e">
        <f t="shared" si="14"/>
        <v>#N/A</v>
      </c>
      <c r="X31" s="712"/>
      <c r="Y31" s="3488"/>
      <c r="Z31" s="55" t="str">
        <f t="shared" si="15"/>
        <v>停车位面积</v>
      </c>
      <c r="AA31" s="713" t="e">
        <f t="shared" si="3"/>
        <v>#N/A</v>
      </c>
      <c r="AB31" s="713" t="e">
        <f t="shared" si="4"/>
        <v>#N/A</v>
      </c>
      <c r="AC31" s="713" t="e">
        <f t="shared" si="5"/>
        <v>#N/A</v>
      </c>
    </row>
    <row r="32" spans="1:29" ht="15">
      <c r="A32" s="612"/>
      <c r="B32" s="610" t="s">
        <v>2480</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88" t="s">
        <v>2327</v>
      </c>
      <c r="Q32" s="1506" t="str">
        <f t="shared" si="11"/>
        <v>车位类型</v>
      </c>
      <c r="R32" s="714" t="s">
        <v>17</v>
      </c>
      <c r="S32" s="715">
        <f t="shared" si="12"/>
        <v>100</v>
      </c>
      <c r="T32" s="714" t="s">
        <v>17</v>
      </c>
      <c r="U32" s="715">
        <f t="shared" si="13"/>
        <v>100</v>
      </c>
      <c r="V32" s="714" t="s">
        <v>17</v>
      </c>
      <c r="W32" s="715">
        <f t="shared" si="14"/>
        <v>100</v>
      </c>
      <c r="X32" s="1509"/>
      <c r="Y32" s="3488" t="s">
        <v>2327</v>
      </c>
      <c r="Z32" s="1510" t="str">
        <f t="shared" si="15"/>
        <v>车位类型</v>
      </c>
      <c r="AA32" s="1507">
        <f t="shared" si="3"/>
        <v>1</v>
      </c>
      <c r="AB32" s="1507">
        <f t="shared" si="4"/>
        <v>1</v>
      </c>
      <c r="AC32" s="1507">
        <f t="shared" si="5"/>
        <v>1</v>
      </c>
    </row>
    <row r="33" spans="1:29" ht="15">
      <c r="A33" s="612"/>
      <c r="B33" s="610" t="s">
        <v>2481</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88"/>
      <c r="Q33" s="1506" t="str">
        <f t="shared" si="11"/>
        <v>是否直接入户</v>
      </c>
      <c r="R33" s="714" t="s">
        <v>17</v>
      </c>
      <c r="S33" s="715">
        <f t="shared" si="12"/>
        <v>100</v>
      </c>
      <c r="T33" s="714" t="s">
        <v>17</v>
      </c>
      <c r="U33" s="715">
        <f t="shared" si="13"/>
        <v>100</v>
      </c>
      <c r="V33" s="714" t="s">
        <v>17</v>
      </c>
      <c r="W33" s="715">
        <f t="shared" si="14"/>
        <v>100</v>
      </c>
      <c r="X33" s="1509"/>
      <c r="Y33" s="348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88"/>
      <c r="Q35" s="716">
        <f t="shared" si="11"/>
        <v>111</v>
      </c>
      <c r="R35" s="717" t="s">
        <v>17</v>
      </c>
      <c r="S35" s="718">
        <f t="shared" si="12"/>
        <v>100</v>
      </c>
      <c r="T35" s="717" t="s">
        <v>17</v>
      </c>
      <c r="U35" s="718">
        <f t="shared" si="13"/>
        <v>100</v>
      </c>
      <c r="V35" s="717" t="s">
        <v>17</v>
      </c>
      <c r="W35" s="718">
        <f t="shared" si="14"/>
        <v>100</v>
      </c>
      <c r="X35" s="719"/>
      <c r="Y35" s="348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88"/>
      <c r="Q36" s="1506">
        <f t="shared" si="11"/>
        <v>111</v>
      </c>
      <c r="R36" s="714" t="s">
        <v>17</v>
      </c>
      <c r="S36" s="715">
        <f t="shared" si="12"/>
        <v>100</v>
      </c>
      <c r="T36" s="714" t="s">
        <v>17</v>
      </c>
      <c r="U36" s="715">
        <f t="shared" si="13"/>
        <v>100</v>
      </c>
      <c r="V36" s="714" t="s">
        <v>17</v>
      </c>
      <c r="W36" s="715">
        <f t="shared" si="14"/>
        <v>100</v>
      </c>
      <c r="X36" s="1509"/>
      <c r="Y36" s="3488"/>
      <c r="Z36" s="1510">
        <f t="shared" si="15"/>
        <v>111</v>
      </c>
      <c r="AA36" s="1507">
        <f t="shared" si="3"/>
        <v>1</v>
      </c>
      <c r="AB36" s="1507">
        <f t="shared" si="4"/>
        <v>1</v>
      </c>
      <c r="AC36" s="1507">
        <f t="shared" si="5"/>
        <v>1</v>
      </c>
    </row>
    <row r="37" spans="1:29" ht="15">
      <c r="A37" s="438" t="s">
        <v>2482</v>
      </c>
      <c r="B37" s="2128" t="s">
        <v>2483</v>
      </c>
      <c r="C37" s="1288" t="s">
        <v>1</v>
      </c>
      <c r="D37" s="1289"/>
      <c r="E37" s="1290"/>
      <c r="F37" s="1291"/>
      <c r="G37" s="1292"/>
      <c r="H37" s="1293"/>
      <c r="I37" s="1290"/>
      <c r="J37" s="1293"/>
      <c r="K37" s="576"/>
      <c r="L37" s="2918"/>
      <c r="M37" s="2919"/>
      <c r="N37" s="2910"/>
      <c r="O37" s="2919"/>
      <c r="P37" s="3470" t="str">
        <f>A37</f>
        <v>成交单价</v>
      </c>
      <c r="Q37" s="3470"/>
      <c r="R37" s="3526">
        <f>E37</f>
        <v>0</v>
      </c>
      <c r="S37" s="3526"/>
      <c r="T37" s="3526">
        <f>G37</f>
        <v>0</v>
      </c>
      <c r="U37" s="3526"/>
      <c r="V37" s="3526">
        <f>I37</f>
        <v>0</v>
      </c>
      <c r="W37" s="3526"/>
      <c r="X37" s="699"/>
      <c r="Y37" s="721"/>
      <c r="Z37" s="699"/>
      <c r="AA37" s="699"/>
      <c r="AB37" s="699"/>
      <c r="AC37" s="699"/>
    </row>
    <row r="38" spans="1:29" ht="15.75" thickBot="1">
      <c r="A38" s="445" t="s">
        <v>2484</v>
      </c>
      <c r="B38" s="446" t="str">
        <f>B37</f>
        <v>元/车位</v>
      </c>
      <c r="C38" s="1294" t="e">
        <f>R39</f>
        <v>#DIV/0!</v>
      </c>
      <c r="D38" s="2507" t="s">
        <v>2822</v>
      </c>
      <c r="E38" s="1295" t="e">
        <f>R38</f>
        <v>#DIV/0!</v>
      </c>
      <c r="F38" s="2508"/>
      <c r="G38" s="1294" t="e">
        <f>T38</f>
        <v>#DIV/0!</v>
      </c>
      <c r="H38" s="2508"/>
      <c r="I38" s="1295" t="e">
        <f>V38</f>
        <v>#DIV/0!</v>
      </c>
      <c r="J38" s="2508"/>
      <c r="K38" s="2510">
        <f>F38+H38+J38</f>
        <v>0</v>
      </c>
      <c r="L38" s="2918"/>
      <c r="M38" s="2919"/>
      <c r="N38" s="2919"/>
      <c r="O38" s="2919"/>
      <c r="P38" s="3470" t="str">
        <f>A38</f>
        <v>比较价值（元/平方米）</v>
      </c>
      <c r="Q38" s="3470"/>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2485</v>
      </c>
      <c r="B39" s="450"/>
      <c r="C39" s="1297" t="e">
        <f>R39</f>
        <v>#DIV/0!</v>
      </c>
      <c r="D39" s="1297"/>
      <c r="E39" s="1297"/>
      <c r="F39" s="1297"/>
      <c r="G39" s="1297"/>
      <c r="H39" s="1297"/>
      <c r="I39" s="1297"/>
      <c r="J39" s="1297"/>
      <c r="K39" s="577"/>
      <c r="L39" s="2918"/>
      <c r="M39" s="2919"/>
      <c r="N39" s="2919"/>
      <c r="O39" s="2919"/>
      <c r="P39" s="3490" t="str">
        <f>A39</f>
        <v>估价对象XX用房的比较价值（楼面单价，元/平方米）</v>
      </c>
      <c r="Q39" s="3491"/>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300" t="s">
        <v>2489</v>
      </c>
      <c r="B47" s="1058"/>
      <c r="C47" s="1071"/>
      <c r="D47" s="1071"/>
      <c r="E47" s="1071"/>
      <c r="F47" s="1301"/>
      <c r="G47" s="1301"/>
      <c r="H47" s="1071"/>
      <c r="I47" s="1071"/>
      <c r="J47" s="1071"/>
      <c r="K47" s="1072"/>
      <c r="L47" s="1073"/>
      <c r="M47" s="1071"/>
      <c r="N47" s="2963"/>
      <c r="O47" s="2963"/>
      <c r="P47" s="2952"/>
      <c r="Q47" s="2933"/>
      <c r="R47" s="2919"/>
      <c r="S47" s="2919"/>
      <c r="T47" s="2919"/>
      <c r="U47" s="2919"/>
      <c r="V47" s="2919"/>
      <c r="W47" s="2919"/>
      <c r="X47" s="2919"/>
      <c r="Y47" s="2919"/>
      <c r="Z47" s="2919"/>
      <c r="AA47" s="2919"/>
      <c r="AB47" s="2919"/>
      <c r="AC47" s="2919"/>
    </row>
    <row r="48" spans="1:29" s="465" customFormat="1" ht="15">
      <c r="A48" s="462" t="s">
        <v>2490</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3"/>
      <c r="Q48" s="2935"/>
      <c r="R48" s="2935"/>
      <c r="S48" s="2935"/>
      <c r="T48" s="2935"/>
      <c r="U48" s="2935"/>
      <c r="V48" s="2935"/>
      <c r="W48" s="2935"/>
      <c r="X48" s="2935"/>
      <c r="Y48" s="2935"/>
      <c r="Z48" s="2935"/>
      <c r="AA48" s="2935"/>
      <c r="AB48" s="2935"/>
      <c r="AC48" s="2935"/>
    </row>
    <row r="49" spans="1:29" s="113" customFormat="1" ht="15">
      <c r="A49" s="466"/>
      <c r="B49" s="467"/>
      <c r="C49" s="1311">
        <v>100</v>
      </c>
      <c r="D49" s="469"/>
      <c r="E49" s="469"/>
      <c r="F49" s="469"/>
      <c r="G49" s="469"/>
      <c r="H49" s="469"/>
      <c r="I49" s="469"/>
      <c r="J49" s="469"/>
      <c r="K49" s="469"/>
      <c r="L49" s="469"/>
      <c r="M49" s="470"/>
      <c r="N49" s="469"/>
      <c r="O49" s="470"/>
      <c r="P49" s="2954"/>
      <c r="Q49" s="2854"/>
      <c r="R49" s="2854"/>
      <c r="S49" s="2854"/>
      <c r="T49" s="2854"/>
      <c r="U49" s="2854"/>
      <c r="V49" s="2854"/>
      <c r="W49" s="2854"/>
      <c r="X49" s="2854"/>
      <c r="Y49" s="2854"/>
      <c r="Z49" s="2854"/>
      <c r="AA49" s="2854"/>
      <c r="AB49" s="2854"/>
      <c r="AC49" s="2854"/>
    </row>
    <row r="50" spans="1:29" s="113" customFormat="1" ht="15.75" thickBot="1">
      <c r="A50" s="472" t="s">
        <v>2347</v>
      </c>
      <c r="B50" s="473"/>
      <c r="C50" s="474"/>
      <c r="D50" s="475"/>
      <c r="E50" s="475"/>
      <c r="F50" s="475"/>
      <c r="G50" s="475"/>
      <c r="H50" s="475"/>
      <c r="I50" s="475"/>
      <c r="J50" s="475"/>
      <c r="K50" s="475"/>
      <c r="L50" s="475"/>
      <c r="M50" s="476"/>
      <c r="N50" s="475"/>
      <c r="O50" s="476"/>
      <c r="P50" s="2954"/>
      <c r="Q50" s="2933"/>
      <c r="R50" s="2854"/>
      <c r="S50" s="2854"/>
      <c r="T50" s="2854"/>
      <c r="U50" s="2854"/>
      <c r="V50" s="2854"/>
      <c r="W50" s="2854"/>
      <c r="X50" s="2854"/>
      <c r="Y50" s="2854"/>
      <c r="Z50" s="2854"/>
      <c r="AA50" s="2854"/>
      <c r="AB50" s="2854"/>
      <c r="AC50" s="2854"/>
    </row>
    <row r="51" spans="1:29" s="113" customFormat="1" ht="15">
      <c r="A51" s="478" t="s">
        <v>2312</v>
      </c>
      <c r="B51" s="467"/>
      <c r="C51" s="479" t="s">
        <v>2414</v>
      </c>
      <c r="D51" s="480"/>
      <c r="E51" s="480"/>
      <c r="F51" s="480"/>
      <c r="G51" s="480"/>
      <c r="H51" s="480"/>
      <c r="I51" s="480"/>
      <c r="J51" s="480"/>
      <c r="K51" s="480"/>
      <c r="L51" s="481"/>
      <c r="M51" s="482"/>
      <c r="N51" s="2946"/>
      <c r="O51" s="2946"/>
      <c r="P51" s="2955"/>
      <c r="Q51" s="2933"/>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4"/>
      <c r="S52" s="2854"/>
      <c r="T52" s="2854"/>
      <c r="U52" s="2854"/>
      <c r="V52" s="2854"/>
      <c r="W52" s="2854"/>
      <c r="X52" s="2854"/>
      <c r="Y52" s="2854"/>
      <c r="Z52" s="2854"/>
      <c r="AA52" s="2854"/>
      <c r="AB52" s="2854"/>
      <c r="AC52" s="2854"/>
    </row>
    <row r="53" spans="1:29">
      <c r="A53" s="484" t="s">
        <v>2350</v>
      </c>
      <c r="B53" s="485" t="s">
        <v>2316</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2319</v>
      </c>
      <c r="C55" s="496" t="s">
        <v>2351</v>
      </c>
      <c r="D55" s="496" t="s">
        <v>2352</v>
      </c>
      <c r="E55" s="496" t="s">
        <v>2353</v>
      </c>
      <c r="F55" s="496" t="s">
        <v>2354</v>
      </c>
      <c r="G55" s="496" t="s">
        <v>2355</v>
      </c>
      <c r="H55" s="496" t="s">
        <v>2356</v>
      </c>
      <c r="I55" s="496" t="s">
        <v>2357</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2321</v>
      </c>
      <c r="B63" s="485" t="s">
        <v>2364</v>
      </c>
      <c r="C63" s="530" t="s">
        <v>2359</v>
      </c>
      <c r="D63" s="530" t="s">
        <v>2360</v>
      </c>
      <c r="E63" s="530" t="s">
        <v>2361</v>
      </c>
      <c r="F63" s="530" t="s">
        <v>2362</v>
      </c>
      <c r="G63" s="530" t="s">
        <v>2363</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2365</v>
      </c>
      <c r="C65" s="535" t="s">
        <v>2359</v>
      </c>
      <c r="D65" s="535" t="s">
        <v>2360</v>
      </c>
      <c r="E65" s="535" t="s">
        <v>2361</v>
      </c>
      <c r="F65" s="535" t="s">
        <v>2362</v>
      </c>
      <c r="G65" s="535" t="s">
        <v>2363</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2451</v>
      </c>
      <c r="C67" s="616" t="s">
        <v>2437</v>
      </c>
      <c r="D67" s="616" t="s">
        <v>2438</v>
      </c>
      <c r="E67" s="616" t="s">
        <v>2439</v>
      </c>
      <c r="F67" s="616" t="s">
        <v>2440</v>
      </c>
      <c r="G67" s="616" t="s">
        <v>2441</v>
      </c>
      <c r="H67" s="496"/>
      <c r="I67" s="496"/>
      <c r="J67" s="496"/>
      <c r="K67" s="496"/>
      <c r="L67" s="496"/>
      <c r="M67" s="1263"/>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2371</v>
      </c>
      <c r="C69" s="535" t="s">
        <v>2359</v>
      </c>
      <c r="D69" s="535" t="s">
        <v>2360</v>
      </c>
      <c r="E69" s="535" t="s">
        <v>2361</v>
      </c>
      <c r="F69" s="535" t="s">
        <v>2362</v>
      </c>
      <c r="G69" s="535" t="s">
        <v>2363</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2491</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8"/>
      <c r="O74" s="2948"/>
      <c r="P74" s="2956"/>
      <c r="Q74" s="2933"/>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8"/>
      <c r="O76" s="2948"/>
      <c r="P76" s="2956"/>
      <c r="Q76" s="2933"/>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2325</v>
      </c>
      <c r="B79" s="485" t="s">
        <v>2492</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2493</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2378</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2495</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2497</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2498</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2469</v>
      </c>
      <c r="B1" s="1363"/>
      <c r="C1" s="1364" t="s">
        <v>2292</v>
      </c>
      <c r="D1" s="1365"/>
      <c r="E1" s="1374"/>
      <c r="F1" s="2034"/>
      <c r="G1" s="1375" t="s">
        <v>2405</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2406</v>
      </c>
      <c r="D3" s="359">
        <f>SUMIF('数据-汇总表'!$C19:$C33,D1,'数据-汇总表'!$E19:$E33)</f>
        <v>0</v>
      </c>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2407</v>
      </c>
      <c r="B4" s="362"/>
      <c r="C4" s="3471" t="s">
        <v>2408</v>
      </c>
      <c r="D4" s="3472"/>
      <c r="E4" s="3473" t="s">
        <v>2409</v>
      </c>
      <c r="F4" s="3474"/>
      <c r="G4" s="3471" t="s">
        <v>2410</v>
      </c>
      <c r="H4" s="3472"/>
      <c r="I4" s="3471" t="s">
        <v>2411</v>
      </c>
      <c r="J4" s="3472"/>
      <c r="K4" s="567" t="s">
        <v>2412</v>
      </c>
      <c r="L4" s="2909"/>
      <c r="M4" s="2910"/>
      <c r="N4" s="2910"/>
      <c r="O4" s="2910"/>
      <c r="P4" s="3475" t="s">
        <v>2413</v>
      </c>
      <c r="Q4" s="3476"/>
      <c r="R4" s="3458" t="s">
        <v>2409</v>
      </c>
      <c r="S4" s="3459"/>
      <c r="T4" s="3458" t="s">
        <v>2410</v>
      </c>
      <c r="U4" s="3459"/>
      <c r="V4" s="3483" t="s">
        <v>2411</v>
      </c>
      <c r="W4" s="3483"/>
      <c r="X4" s="1509"/>
      <c r="Y4" s="3458" t="s">
        <v>2413</v>
      </c>
      <c r="Z4" s="3459"/>
      <c r="AA4" s="3453" t="s">
        <v>2409</v>
      </c>
      <c r="AB4" s="3454" t="s">
        <v>2410</v>
      </c>
      <c r="AC4" s="3453" t="s">
        <v>2411</v>
      </c>
    </row>
    <row r="5" spans="1:29" ht="15">
      <c r="A5" s="364"/>
      <c r="B5" s="365"/>
      <c r="C5" s="3464" t="s">
        <v>2304</v>
      </c>
      <c r="D5" s="3465"/>
      <c r="E5" s="3462" t="s">
        <v>2305</v>
      </c>
      <c r="F5" s="3463"/>
      <c r="G5" s="3464" t="s">
        <v>2306</v>
      </c>
      <c r="H5" s="3465"/>
      <c r="I5" s="3464" t="s">
        <v>2307</v>
      </c>
      <c r="J5" s="3465"/>
      <c r="K5" s="567"/>
      <c r="L5" s="2909"/>
      <c r="M5" s="2910"/>
      <c r="N5" s="2910"/>
      <c r="O5" s="2910"/>
      <c r="P5" s="3477"/>
      <c r="Q5" s="3478"/>
      <c r="R5" s="3460"/>
      <c r="S5" s="3461"/>
      <c r="T5" s="3460"/>
      <c r="U5" s="3461"/>
      <c r="V5" s="3483"/>
      <c r="W5" s="3483"/>
      <c r="X5" s="1509"/>
      <c r="Y5" s="3460"/>
      <c r="Z5" s="3461"/>
      <c r="AA5" s="3454"/>
      <c r="AB5" s="3454"/>
      <c r="AC5" s="3454"/>
    </row>
    <row r="6" spans="1:29" ht="15.75" thickBot="1">
      <c r="A6" s="366"/>
      <c r="B6" s="367"/>
      <c r="C6" s="3466" t="s">
        <v>2308</v>
      </c>
      <c r="D6" s="3467"/>
      <c r="E6" s="3468" t="s">
        <v>2308</v>
      </c>
      <c r="F6" s="3469"/>
      <c r="G6" s="3466" t="s">
        <v>2308</v>
      </c>
      <c r="H6" s="3467"/>
      <c r="I6" s="3466" t="s">
        <v>2308</v>
      </c>
      <c r="J6" s="3467"/>
      <c r="K6" s="567" t="s">
        <v>2309</v>
      </c>
      <c r="L6" s="2909"/>
      <c r="M6" s="2910"/>
      <c r="N6" s="2910"/>
      <c r="O6" s="2910"/>
      <c r="P6" s="3479"/>
      <c r="Q6" s="3480"/>
      <c r="R6" s="3460"/>
      <c r="S6" s="3461"/>
      <c r="T6" s="3481"/>
      <c r="U6" s="3482"/>
      <c r="V6" s="3483"/>
      <c r="W6" s="3483"/>
      <c r="X6" s="1509"/>
      <c r="Y6" s="3481"/>
      <c r="Z6" s="3482"/>
      <c r="AA6" s="3455"/>
      <c r="AB6" s="3455"/>
      <c r="AC6" s="3455"/>
    </row>
    <row r="7" spans="1:29" s="113" customFormat="1" ht="15.75" thickBot="1">
      <c r="A7" s="368" t="s">
        <v>2310</v>
      </c>
      <c r="B7" s="369"/>
      <c r="C7" s="370">
        <f>'数据-取费表'!B2</f>
        <v>44623</v>
      </c>
      <c r="D7" s="371">
        <v>100</v>
      </c>
      <c r="E7" s="372"/>
      <c r="F7" s="373">
        <f>SUMIF(46:46,YEAR(E7)&amp;"-"&amp;MONTH(E7),47:47)</f>
        <v>0</v>
      </c>
      <c r="G7" s="2129"/>
      <c r="H7" s="371">
        <f>SUMIF(46:46,YEAR(G7)&amp;"-"&amp;MONTH(G7),47:47)</f>
        <v>0</v>
      </c>
      <c r="I7" s="372"/>
      <c r="J7" s="371">
        <f>SUMIF(46:46,YEAR(I7)&amp;"-"&amp;MONTH(I7),47:47)</f>
        <v>0</v>
      </c>
      <c r="K7" s="568"/>
      <c r="L7" s="2911"/>
      <c r="M7" s="2912"/>
      <c r="N7" s="2912"/>
      <c r="O7" s="2912"/>
      <c r="P7" s="3456" t="s">
        <v>2311</v>
      </c>
      <c r="Q7" s="3484"/>
      <c r="R7" s="710" t="s">
        <v>17</v>
      </c>
      <c r="S7" s="711">
        <f t="shared" ref="S7:S14" si="0">F7</f>
        <v>0</v>
      </c>
      <c r="T7" s="710" t="s">
        <v>17</v>
      </c>
      <c r="U7" s="711">
        <f t="shared" ref="U7:U14" si="1">H7</f>
        <v>0</v>
      </c>
      <c r="V7" s="710" t="s">
        <v>17</v>
      </c>
      <c r="W7" s="711">
        <f t="shared" ref="W7:W14" si="2">J7</f>
        <v>0</v>
      </c>
      <c r="X7" s="712"/>
      <c r="Y7" s="3456" t="s">
        <v>2311</v>
      </c>
      <c r="Z7" s="3457"/>
      <c r="AA7" s="713" t="e">
        <f>D7/F7</f>
        <v>#DIV/0!</v>
      </c>
      <c r="AB7" s="713" t="e">
        <f>D7/H7</f>
        <v>#DIV/0!</v>
      </c>
      <c r="AC7" s="713" t="e">
        <f>D7/J7</f>
        <v>#DIV/0!</v>
      </c>
    </row>
    <row r="8" spans="1:29" s="113" customFormat="1" ht="15.75" thickBot="1">
      <c r="A8" s="368" t="s">
        <v>2312</v>
      </c>
      <c r="B8" s="369"/>
      <c r="C8" s="374" t="s">
        <v>2414</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6" t="s">
        <v>2314</v>
      </c>
      <c r="Q8" s="3457"/>
      <c r="R8" s="710" t="s">
        <v>17</v>
      </c>
      <c r="S8" s="711">
        <f t="shared" si="0"/>
        <v>0</v>
      </c>
      <c r="T8" s="710" t="s">
        <v>17</v>
      </c>
      <c r="U8" s="711">
        <f t="shared" si="1"/>
        <v>0</v>
      </c>
      <c r="V8" s="710" t="s">
        <v>17</v>
      </c>
      <c r="W8" s="711">
        <f t="shared" si="2"/>
        <v>0</v>
      </c>
      <c r="X8" s="712"/>
      <c r="Y8" s="3456" t="s">
        <v>2314</v>
      </c>
      <c r="Z8" s="3457"/>
      <c r="AA8" s="713" t="e">
        <f t="shared" ref="AA8:AA34" si="3">D8/F8</f>
        <v>#DIV/0!</v>
      </c>
      <c r="AB8" s="713" t="e">
        <f t="shared" ref="AB8:AB34" si="4">D8/H8</f>
        <v>#DIV/0!</v>
      </c>
      <c r="AC8" s="713" t="e">
        <f t="shared" ref="AC8:AC34" si="5">D8/J8</f>
        <v>#DIV/0!</v>
      </c>
    </row>
    <row r="9" spans="1:29" s="113" customFormat="1">
      <c r="A9" s="375" t="s">
        <v>2315</v>
      </c>
      <c r="B9" s="67" t="s">
        <v>2316</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70" t="s">
        <v>2317</v>
      </c>
      <c r="Q9" s="1497" t="str">
        <f t="shared" ref="Q9:Q14" si="6">B9</f>
        <v>用途</v>
      </c>
      <c r="R9" s="710" t="s">
        <v>17</v>
      </c>
      <c r="S9" s="711">
        <f t="shared" si="0"/>
        <v>100</v>
      </c>
      <c r="T9" s="710" t="s">
        <v>17</v>
      </c>
      <c r="U9" s="711">
        <f t="shared" si="1"/>
        <v>100</v>
      </c>
      <c r="V9" s="710" t="s">
        <v>17</v>
      </c>
      <c r="W9" s="711">
        <f t="shared" si="2"/>
        <v>100</v>
      </c>
      <c r="X9" s="712"/>
      <c r="Y9" s="3429" t="s">
        <v>2318</v>
      </c>
      <c r="Z9" s="55" t="str">
        <f t="shared" ref="Z9:Z14" si="7">Q9</f>
        <v>用途</v>
      </c>
      <c r="AA9" s="713">
        <f t="shared" si="3"/>
        <v>1</v>
      </c>
      <c r="AB9" s="713">
        <f t="shared" si="4"/>
        <v>1</v>
      </c>
      <c r="AC9" s="713">
        <f t="shared" si="5"/>
        <v>1</v>
      </c>
    </row>
    <row r="10" spans="1:29" s="386" customFormat="1" ht="27">
      <c r="A10" s="380"/>
      <c r="B10" s="381" t="s">
        <v>2319</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70"/>
      <c r="Q10" s="149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70"/>
      <c r="Q11" s="1497">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70"/>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6"/>
      <c r="M13" s="2910"/>
      <c r="N13" s="2910"/>
      <c r="O13" s="2968"/>
      <c r="P13" s="3470"/>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99" t="s">
        <v>2321</v>
      </c>
      <c r="B14" s="65" t="s">
        <v>2471</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85" t="s">
        <v>2322</v>
      </c>
      <c r="Q14" s="1506" t="str">
        <f t="shared" si="6"/>
        <v>交通便捷度</v>
      </c>
      <c r="R14" s="714" t="s">
        <v>17</v>
      </c>
      <c r="S14" s="715">
        <f t="shared" si="0"/>
        <v>100</v>
      </c>
      <c r="T14" s="714" t="s">
        <v>17</v>
      </c>
      <c r="U14" s="715">
        <f t="shared" si="1"/>
        <v>100</v>
      </c>
      <c r="V14" s="714" t="s">
        <v>17</v>
      </c>
      <c r="W14" s="715">
        <f t="shared" si="2"/>
        <v>100</v>
      </c>
      <c r="X14" s="1509"/>
      <c r="Y14" s="3485" t="s">
        <v>2322</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6"/>
      <c r="M15" s="2910"/>
      <c r="N15" s="2910"/>
      <c r="O15" s="2968"/>
      <c r="P15" s="3486"/>
      <c r="Q15" s="1506"/>
      <c r="R15" s="714"/>
      <c r="S15" s="715"/>
      <c r="T15" s="714"/>
      <c r="U15" s="715"/>
      <c r="V15" s="714"/>
      <c r="W15" s="715"/>
      <c r="X15" s="1509"/>
      <c r="Y15" s="3486"/>
      <c r="Z15" s="1510"/>
      <c r="AA15" s="1507">
        <v>1</v>
      </c>
      <c r="AB15" s="1507">
        <v>1</v>
      </c>
      <c r="AC15" s="1507">
        <v>1</v>
      </c>
    </row>
    <row r="16" spans="1:29" ht="42.75">
      <c r="A16" s="387"/>
      <c r="B16" s="410" t="s">
        <v>2450</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86"/>
      <c r="Q16" s="1506" t="str">
        <f>B16</f>
        <v>公共配套设施</v>
      </c>
      <c r="R16" s="714" t="s">
        <v>17</v>
      </c>
      <c r="S16" s="715">
        <f>F16</f>
        <v>100</v>
      </c>
      <c r="T16" s="714" t="s">
        <v>17</v>
      </c>
      <c r="U16" s="715">
        <f>H16</f>
        <v>100</v>
      </c>
      <c r="V16" s="714" t="s">
        <v>17</v>
      </c>
      <c r="W16" s="715">
        <f>J16</f>
        <v>100</v>
      </c>
      <c r="X16" s="1509"/>
      <c r="Y16" s="3486"/>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16"/>
      <c r="M17" s="2910"/>
      <c r="N17" s="2910"/>
      <c r="O17" s="2968"/>
      <c r="P17" s="3486"/>
      <c r="Q17" s="1506"/>
      <c r="R17" s="714"/>
      <c r="S17" s="715"/>
      <c r="T17" s="714"/>
      <c r="U17" s="715"/>
      <c r="V17" s="714"/>
      <c r="W17" s="715"/>
      <c r="X17" s="1509"/>
      <c r="Y17" s="3486"/>
      <c r="Z17" s="1510"/>
      <c r="AA17" s="1507">
        <v>1</v>
      </c>
      <c r="AB17" s="1507">
        <v>1</v>
      </c>
      <c r="AC17" s="1507">
        <v>1</v>
      </c>
    </row>
    <row r="18" spans="1:29" ht="28.5">
      <c r="A18" s="387"/>
      <c r="B18" s="1265" t="s">
        <v>2451</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86"/>
      <c r="Q18" s="1506" t="str">
        <f>B18</f>
        <v>基础设施水平</v>
      </c>
      <c r="R18" s="714" t="s">
        <v>17</v>
      </c>
      <c r="S18" s="715">
        <f>F18</f>
        <v>100</v>
      </c>
      <c r="T18" s="714" t="s">
        <v>17</v>
      </c>
      <c r="U18" s="715">
        <f>H18</f>
        <v>100</v>
      </c>
      <c r="V18" s="714" t="s">
        <v>17</v>
      </c>
      <c r="W18" s="715">
        <f>J18</f>
        <v>100</v>
      </c>
      <c r="X18" s="1509"/>
      <c r="Y18" s="3486"/>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16"/>
      <c r="M19" s="2910"/>
      <c r="N19" s="2910"/>
      <c r="O19" s="2968"/>
      <c r="P19" s="3486"/>
      <c r="Q19" s="1506"/>
      <c r="R19" s="714"/>
      <c r="S19" s="715"/>
      <c r="T19" s="714"/>
      <c r="U19" s="715"/>
      <c r="V19" s="714"/>
      <c r="W19" s="715"/>
      <c r="X19" s="1509"/>
      <c r="Y19" s="3486"/>
      <c r="Z19" s="1510"/>
      <c r="AA19" s="1507">
        <v>1</v>
      </c>
      <c r="AB19" s="1507">
        <v>1</v>
      </c>
      <c r="AC19" s="1507">
        <v>1</v>
      </c>
    </row>
    <row r="20" spans="1:29" ht="57">
      <c r="A20" s="387"/>
      <c r="B20" s="410" t="s">
        <v>2472</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86"/>
      <c r="Q20" s="1506" t="str">
        <f>B20</f>
        <v>自然及人文环境</v>
      </c>
      <c r="R20" s="714" t="s">
        <v>17</v>
      </c>
      <c r="S20" s="715">
        <f>F20</f>
        <v>100</v>
      </c>
      <c r="T20" s="714" t="s">
        <v>17</v>
      </c>
      <c r="U20" s="715">
        <f>H20</f>
        <v>100</v>
      </c>
      <c r="V20" s="714" t="s">
        <v>17</v>
      </c>
      <c r="W20" s="715">
        <f>J20</f>
        <v>100</v>
      </c>
      <c r="X20" s="1509"/>
      <c r="Y20" s="348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6"/>
      <c r="M21" s="2910"/>
      <c r="N21" s="2910"/>
      <c r="O21" s="2968"/>
      <c r="P21" s="3486"/>
      <c r="Q21" s="1506"/>
      <c r="R21" s="714"/>
      <c r="S21" s="715"/>
      <c r="T21" s="714"/>
      <c r="U21" s="715"/>
      <c r="V21" s="714"/>
      <c r="W21" s="715"/>
      <c r="X21" s="1509"/>
      <c r="Y21" s="3486"/>
      <c r="Z21" s="1510"/>
      <c r="AA21" s="1507">
        <v>1</v>
      </c>
      <c r="AB21" s="1507">
        <v>1</v>
      </c>
      <c r="AC21" s="1507">
        <v>1</v>
      </c>
    </row>
    <row r="22" spans="1:29" ht="15">
      <c r="A22" s="387"/>
      <c r="B22" s="410" t="s">
        <v>2473</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86"/>
      <c r="Q22" s="1506" t="str">
        <f>B22</f>
        <v>楼层</v>
      </c>
      <c r="R22" s="714" t="s">
        <v>17</v>
      </c>
      <c r="S22" s="715">
        <f>F22</f>
        <v>100</v>
      </c>
      <c r="T22" s="714" t="s">
        <v>17</v>
      </c>
      <c r="U22" s="715">
        <f>H22</f>
        <v>100</v>
      </c>
      <c r="V22" s="714" t="s">
        <v>17</v>
      </c>
      <c r="W22" s="715">
        <f>J22</f>
        <v>100</v>
      </c>
      <c r="X22" s="1509"/>
      <c r="Y22" s="3486"/>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86"/>
      <c r="Q23" s="1506">
        <f>B23</f>
        <v>111</v>
      </c>
      <c r="R23" s="714" t="s">
        <v>17</v>
      </c>
      <c r="S23" s="715">
        <f>F23</f>
        <v>100</v>
      </c>
      <c r="T23" s="714" t="s">
        <v>17</v>
      </c>
      <c r="U23" s="715">
        <f>H23</f>
        <v>100</v>
      </c>
      <c r="V23" s="714" t="s">
        <v>17</v>
      </c>
      <c r="W23" s="715">
        <f>J23</f>
        <v>100</v>
      </c>
      <c r="X23" s="1509"/>
      <c r="Y23" s="3486"/>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86"/>
      <c r="Q24" s="1506">
        <f t="shared" ref="Q24:Q34" si="11">B24</f>
        <v>111</v>
      </c>
      <c r="R24" s="714" t="s">
        <v>17</v>
      </c>
      <c r="S24" s="715">
        <f>F24</f>
        <v>100</v>
      </c>
      <c r="T24" s="714" t="s">
        <v>17</v>
      </c>
      <c r="U24" s="715">
        <f>H24</f>
        <v>100</v>
      </c>
      <c r="V24" s="714" t="s">
        <v>17</v>
      </c>
      <c r="W24" s="715">
        <f>J24</f>
        <v>100</v>
      </c>
      <c r="X24" s="1509"/>
      <c r="Y24" s="3486"/>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1"/>
      <c r="M25" s="2912"/>
      <c r="N25" s="2912"/>
      <c r="O25" s="2966"/>
      <c r="P25" s="3486"/>
      <c r="Q25" s="1497">
        <f t="shared" si="11"/>
        <v>111</v>
      </c>
      <c r="R25" s="710" t="s">
        <v>17</v>
      </c>
      <c r="S25" s="711">
        <f>F25</f>
        <v>100</v>
      </c>
      <c r="T25" s="710" t="s">
        <v>17</v>
      </c>
      <c r="U25" s="711">
        <f>H25</f>
        <v>100</v>
      </c>
      <c r="V25" s="710" t="s">
        <v>17</v>
      </c>
      <c r="W25" s="711">
        <f>J25</f>
        <v>100</v>
      </c>
      <c r="X25" s="712"/>
      <c r="Y25" s="3486"/>
      <c r="Z25" s="55">
        <f>Q25</f>
        <v>111</v>
      </c>
      <c r="AA25" s="1507">
        <f>D25/F25</f>
        <v>1</v>
      </c>
      <c r="AB25" s="1507">
        <f>D25/H25</f>
        <v>1</v>
      </c>
      <c r="AC25" s="1507">
        <f>D25/J25</f>
        <v>1</v>
      </c>
    </row>
    <row r="26" spans="1:29" ht="28.5">
      <c r="A26" s="425" t="s">
        <v>2325</v>
      </c>
      <c r="B26" s="67" t="s">
        <v>2476</v>
      </c>
      <c r="C26" s="2122"/>
      <c r="D26" s="426">
        <v>100</v>
      </c>
      <c r="E26" s="2122"/>
      <c r="F26" s="623">
        <f>SUMIF(77:77,E26,78:78)-SUMIF(77:77,C26,78:78)+100</f>
        <v>100</v>
      </c>
      <c r="G26" s="2122"/>
      <c r="H26" s="426">
        <f>SUMIF(77:77,G26,78:78)-SUMIF(77:77,C26,78:78)+100</f>
        <v>100</v>
      </c>
      <c r="I26" s="2122"/>
      <c r="J26" s="426">
        <f>SUMIF(77:77,I26,78:78)-SUMIF(77:77,C26,78:78)+100</f>
        <v>100</v>
      </c>
      <c r="K26" s="569"/>
      <c r="L26" s="2916"/>
      <c r="M26" s="2910"/>
      <c r="N26" s="2910"/>
      <c r="O26" s="2968"/>
      <c r="P26" s="3487" t="s">
        <v>2327</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8" t="s">
        <v>2327</v>
      </c>
      <c r="Z26" s="1510" t="str">
        <f t="shared" ref="Z26:Z34" si="15">Q26</f>
        <v>公共部分装修</v>
      </c>
      <c r="AA26" s="1507">
        <f t="shared" si="3"/>
        <v>1</v>
      </c>
      <c r="AB26" s="1507">
        <f t="shared" si="4"/>
        <v>1</v>
      </c>
      <c r="AC26" s="1507">
        <f t="shared" si="5"/>
        <v>1</v>
      </c>
    </row>
    <row r="27" spans="1:29" s="430" customFormat="1" ht="15">
      <c r="A27" s="427"/>
      <c r="B27" s="381" t="s">
        <v>2477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88"/>
      <c r="Q27" s="716" t="str">
        <f t="shared" si="11"/>
        <v>成新率</v>
      </c>
      <c r="R27" s="717" t="s">
        <v>17</v>
      </c>
      <c r="S27" s="718" t="e">
        <f t="shared" si="12"/>
        <v>#N/A</v>
      </c>
      <c r="T27" s="717" t="s">
        <v>17</v>
      </c>
      <c r="U27" s="718" t="e">
        <f t="shared" si="13"/>
        <v>#N/A</v>
      </c>
      <c r="V27" s="717" t="s">
        <v>17</v>
      </c>
      <c r="W27" s="718" t="e">
        <f t="shared" si="14"/>
        <v>#N/A</v>
      </c>
      <c r="X27" s="719"/>
      <c r="Y27" s="3488"/>
      <c r="Z27" s="720" t="str">
        <f t="shared" si="15"/>
        <v>成新率</v>
      </c>
      <c r="AA27" s="1507" t="e">
        <f t="shared" si="3"/>
        <v>#N/A</v>
      </c>
      <c r="AB27" s="1507" t="e">
        <f t="shared" si="4"/>
        <v>#N/A</v>
      </c>
      <c r="AC27" s="1507" t="e">
        <f t="shared" si="5"/>
        <v>#N/A</v>
      </c>
    </row>
    <row r="28" spans="1:29" ht="15">
      <c r="A28" s="431"/>
      <c r="B28" s="381" t="s">
        <v>2478</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88"/>
      <c r="Q28" s="1506" t="str">
        <f t="shared" si="11"/>
        <v>物业等级</v>
      </c>
      <c r="R28" s="714" t="s">
        <v>17</v>
      </c>
      <c r="S28" s="715">
        <f t="shared" si="12"/>
        <v>100</v>
      </c>
      <c r="T28" s="714" t="s">
        <v>17</v>
      </c>
      <c r="U28" s="715">
        <f t="shared" si="13"/>
        <v>100</v>
      </c>
      <c r="V28" s="714" t="s">
        <v>17</v>
      </c>
      <c r="W28" s="715">
        <f t="shared" si="14"/>
        <v>100</v>
      </c>
      <c r="X28" s="1509"/>
      <c r="Y28" s="3488"/>
      <c r="Z28" s="1510" t="str">
        <f t="shared" si="15"/>
        <v>物业等级</v>
      </c>
      <c r="AA28" s="1507">
        <f t="shared" si="3"/>
        <v>1</v>
      </c>
      <c r="AB28" s="1507">
        <f t="shared" si="4"/>
        <v>1</v>
      </c>
      <c r="AC28" s="1507">
        <f t="shared" si="5"/>
        <v>1</v>
      </c>
    </row>
    <row r="29" spans="1:29" ht="15">
      <c r="A29" s="431"/>
      <c r="B29" s="381" t="s">
        <v>2499</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88"/>
      <c r="Q29" s="1506" t="str">
        <f t="shared" si="11"/>
        <v>有无电梯</v>
      </c>
      <c r="R29" s="714" t="s">
        <v>17</v>
      </c>
      <c r="S29" s="715">
        <f t="shared" si="12"/>
        <v>100</v>
      </c>
      <c r="T29" s="714" t="s">
        <v>17</v>
      </c>
      <c r="U29" s="715">
        <f t="shared" si="13"/>
        <v>100</v>
      </c>
      <c r="V29" s="714" t="s">
        <v>17</v>
      </c>
      <c r="W29" s="715">
        <f t="shared" si="14"/>
        <v>100</v>
      </c>
      <c r="X29" s="1509"/>
      <c r="Y29" s="3488"/>
      <c r="Z29" s="1510" t="str">
        <f t="shared" si="15"/>
        <v>有无电梯</v>
      </c>
      <c r="AA29" s="1507">
        <f t="shared" si="3"/>
        <v>1</v>
      </c>
      <c r="AB29" s="1507">
        <f t="shared" si="4"/>
        <v>1</v>
      </c>
      <c r="AC29" s="1507">
        <f t="shared" si="5"/>
        <v>1</v>
      </c>
    </row>
    <row r="30" spans="1:29" ht="15">
      <c r="A30" s="431"/>
      <c r="B30" s="381" t="s">
        <v>2500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88"/>
      <c r="Q30" s="1506" t="str">
        <f t="shared" si="11"/>
        <v>建筑面积</v>
      </c>
      <c r="R30" s="714" t="s">
        <v>17</v>
      </c>
      <c r="S30" s="715" t="e">
        <f t="shared" si="12"/>
        <v>#N/A</v>
      </c>
      <c r="T30" s="714" t="s">
        <v>17</v>
      </c>
      <c r="U30" s="715" t="e">
        <f t="shared" si="13"/>
        <v>#N/A</v>
      </c>
      <c r="V30" s="714" t="s">
        <v>17</v>
      </c>
      <c r="W30" s="715" t="e">
        <f t="shared" si="14"/>
        <v>#N/A</v>
      </c>
      <c r="X30" s="1509"/>
      <c r="Y30" s="3488"/>
      <c r="Z30" s="1510" t="str">
        <f t="shared" si="15"/>
        <v>建筑面积</v>
      </c>
      <c r="AA30" s="1507" t="e">
        <f t="shared" si="3"/>
        <v>#N/A</v>
      </c>
      <c r="AB30" s="1507" t="e">
        <f t="shared" si="4"/>
        <v>#N/A</v>
      </c>
      <c r="AC30" s="1507" t="e">
        <f t="shared" si="5"/>
        <v>#N/A</v>
      </c>
    </row>
    <row r="31" spans="1:29" s="113" customFormat="1" ht="15">
      <c r="A31" s="432"/>
      <c r="B31" s="381" t="s">
        <v>2501</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88"/>
      <c r="Q31" s="1497" t="str">
        <f t="shared" si="11"/>
        <v>是否封闭</v>
      </c>
      <c r="R31" s="710" t="s">
        <v>17</v>
      </c>
      <c r="S31" s="711">
        <f t="shared" si="12"/>
        <v>100</v>
      </c>
      <c r="T31" s="710" t="s">
        <v>17</v>
      </c>
      <c r="U31" s="711">
        <f t="shared" si="13"/>
        <v>100</v>
      </c>
      <c r="V31" s="710" t="s">
        <v>17</v>
      </c>
      <c r="W31" s="711">
        <f t="shared" si="14"/>
        <v>100</v>
      </c>
      <c r="X31" s="712"/>
      <c r="Y31" s="348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88" t="s">
        <v>2327</v>
      </c>
      <c r="Q32" s="1506">
        <f t="shared" si="11"/>
        <v>111</v>
      </c>
      <c r="R32" s="714" t="s">
        <v>17</v>
      </c>
      <c r="S32" s="715">
        <f t="shared" si="12"/>
        <v>100</v>
      </c>
      <c r="T32" s="714" t="s">
        <v>17</v>
      </c>
      <c r="U32" s="715">
        <f t="shared" si="13"/>
        <v>100</v>
      </c>
      <c r="V32" s="714" t="s">
        <v>17</v>
      </c>
      <c r="W32" s="715">
        <f t="shared" si="14"/>
        <v>100</v>
      </c>
      <c r="X32" s="1509"/>
      <c r="Y32" s="3488" t="s">
        <v>2327</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88"/>
      <c r="Q33" s="1506">
        <f t="shared" si="11"/>
        <v>111</v>
      </c>
      <c r="R33" s="714" t="s">
        <v>17</v>
      </c>
      <c r="S33" s="715">
        <f t="shared" si="12"/>
        <v>100</v>
      </c>
      <c r="T33" s="714" t="s">
        <v>17</v>
      </c>
      <c r="U33" s="715">
        <f t="shared" si="13"/>
        <v>100</v>
      </c>
      <c r="V33" s="714" t="s">
        <v>17</v>
      </c>
      <c r="W33" s="715">
        <f t="shared" si="14"/>
        <v>100</v>
      </c>
      <c r="X33" s="1509"/>
      <c r="Y33" s="3488"/>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6"/>
      <c r="M34" s="2910"/>
      <c r="N34" s="2910"/>
      <c r="O34" s="2968"/>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30" ht="15">
      <c r="A35" s="438" t="s">
        <v>2339</v>
      </c>
      <c r="B35" s="439"/>
      <c r="C35" s="1288" t="s">
        <v>1</v>
      </c>
      <c r="D35" s="1289"/>
      <c r="E35" s="1290"/>
      <c r="F35" s="1291"/>
      <c r="G35" s="1292"/>
      <c r="H35" s="1293"/>
      <c r="I35" s="1290"/>
      <c r="J35" s="1293"/>
      <c r="K35" s="723"/>
      <c r="L35" s="2918"/>
      <c r="M35" s="2919"/>
      <c r="N35" s="2910"/>
      <c r="O35" s="2919"/>
      <c r="P35" s="3470" t="str">
        <f>A35</f>
        <v>成交单价（元/平方米）</v>
      </c>
      <c r="Q35" s="3470"/>
      <c r="R35" s="3526">
        <f>E35</f>
        <v>0</v>
      </c>
      <c r="S35" s="3526"/>
      <c r="T35" s="3526">
        <f>G35</f>
        <v>0</v>
      </c>
      <c r="U35" s="3526"/>
      <c r="V35" s="3526">
        <f>I35</f>
        <v>0</v>
      </c>
      <c r="W35" s="3526"/>
      <c r="X35" s="699"/>
      <c r="Y35" s="721"/>
      <c r="Z35" s="699"/>
      <c r="AA35" s="699"/>
      <c r="AB35" s="699"/>
      <c r="AC35" s="699"/>
    </row>
    <row r="36" spans="1:30" ht="15.75" thickBot="1">
      <c r="A36" s="445" t="s">
        <v>2431</v>
      </c>
      <c r="B36" s="446"/>
      <c r="C36" s="1294" t="e">
        <f>R37</f>
        <v>#DIV/0!</v>
      </c>
      <c r="D36" s="2507" t="s">
        <v>2822</v>
      </c>
      <c r="E36" s="1295" t="e">
        <f>R36</f>
        <v>#DIV/0!</v>
      </c>
      <c r="F36" s="2508"/>
      <c r="G36" s="1294" t="e">
        <f>T36</f>
        <v>#DIV/0!</v>
      </c>
      <c r="H36" s="2508"/>
      <c r="I36" s="1295" t="e">
        <f>V36</f>
        <v>#DIV/0!</v>
      </c>
      <c r="J36" s="2508"/>
      <c r="K36" s="2510">
        <f>F36+H36+J36</f>
        <v>0</v>
      </c>
      <c r="L36" s="2918"/>
      <c r="M36" s="2919"/>
      <c r="N36" s="2910"/>
      <c r="O36" s="2919"/>
      <c r="P36" s="3470" t="str">
        <f>A36</f>
        <v>比较价值（元/平方米）</v>
      </c>
      <c r="Q36" s="3470"/>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2432</v>
      </c>
      <c r="B37" s="450"/>
      <c r="C37" s="1297" t="e">
        <f>R37</f>
        <v>#DIV/0!</v>
      </c>
      <c r="D37" s="1297"/>
      <c r="E37" s="1297"/>
      <c r="F37" s="1297"/>
      <c r="G37" s="1297"/>
      <c r="H37" s="1297"/>
      <c r="I37" s="1297"/>
      <c r="J37" s="1297"/>
      <c r="K37" s="724"/>
      <c r="L37" s="2918"/>
      <c r="M37" s="2919"/>
      <c r="N37" s="2919"/>
      <c r="O37" s="2919"/>
      <c r="P37" s="3490" t="str">
        <f>A37</f>
        <v>估价对象XX用房的比较价值（楼面单价，元/平方米）</v>
      </c>
      <c r="Q37" s="3491"/>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2436</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2310</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7">
        <v>100</v>
      </c>
      <c r="D47" s="469"/>
      <c r="E47" s="469"/>
      <c r="F47" s="469"/>
      <c r="G47" s="469"/>
      <c r="H47" s="469"/>
      <c r="I47" s="469"/>
      <c r="J47" s="469"/>
      <c r="K47" s="469"/>
      <c r="L47" s="469"/>
      <c r="M47" s="470"/>
      <c r="N47" s="469"/>
      <c r="O47" s="471"/>
      <c r="P47" s="2933"/>
      <c r="Q47" s="2854"/>
      <c r="R47" s="2854"/>
      <c r="S47" s="2854"/>
      <c r="T47" s="2854"/>
      <c r="U47" s="2854"/>
      <c r="V47" s="2854"/>
      <c r="W47" s="2854"/>
      <c r="X47" s="2854"/>
      <c r="Y47" s="2854"/>
      <c r="Z47" s="2854"/>
      <c r="AA47" s="2854"/>
      <c r="AB47" s="2854"/>
      <c r="AC47" s="2854"/>
      <c r="AD47" s="2854"/>
    </row>
    <row r="48" spans="1:30" s="113" customFormat="1" ht="15.75" thickBot="1">
      <c r="A48" s="472" t="s">
        <v>2347</v>
      </c>
      <c r="B48" s="473"/>
      <c r="C48" s="474"/>
      <c r="D48" s="475"/>
      <c r="E48" s="475"/>
      <c r="F48" s="475"/>
      <c r="G48" s="475"/>
      <c r="H48" s="475"/>
      <c r="I48" s="475"/>
      <c r="J48" s="475"/>
      <c r="K48" s="475"/>
      <c r="L48" s="475"/>
      <c r="M48" s="476"/>
      <c r="N48" s="475"/>
      <c r="O48" s="477"/>
      <c r="P48" s="2933"/>
      <c r="Q48" s="2933"/>
      <c r="R48" s="2854"/>
      <c r="S48" s="2854"/>
      <c r="T48" s="2854"/>
      <c r="U48" s="2854"/>
      <c r="V48" s="2854"/>
      <c r="W48" s="2854"/>
      <c r="X48" s="2854"/>
      <c r="Y48" s="2854"/>
      <c r="Z48" s="2854"/>
      <c r="AA48" s="2854"/>
      <c r="AB48" s="2854"/>
      <c r="AC48" s="2854"/>
      <c r="AD48" s="2854"/>
    </row>
    <row r="49" spans="1:30" s="113" customFormat="1" ht="15">
      <c r="A49" s="478" t="s">
        <v>2312</v>
      </c>
      <c r="B49" s="467"/>
      <c r="C49" s="479" t="s">
        <v>2414</v>
      </c>
      <c r="D49" s="480"/>
      <c r="E49" s="480"/>
      <c r="F49" s="480"/>
      <c r="G49" s="480"/>
      <c r="H49" s="480"/>
      <c r="I49" s="480"/>
      <c r="J49" s="480"/>
      <c r="K49" s="480"/>
      <c r="L49" s="481"/>
      <c r="M49" s="482"/>
      <c r="N49" s="2946"/>
      <c r="O49" s="2946"/>
      <c r="P49" s="2971"/>
      <c r="Q49" s="2933"/>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4"/>
      <c r="S50" s="2854"/>
      <c r="T50" s="2854"/>
      <c r="U50" s="2854"/>
      <c r="V50" s="2854"/>
      <c r="W50" s="2854"/>
      <c r="X50" s="2854"/>
      <c r="Y50" s="2854"/>
      <c r="Z50" s="2854"/>
      <c r="AA50" s="2854"/>
      <c r="AB50" s="2854"/>
      <c r="AC50" s="2854"/>
      <c r="AD50" s="2854"/>
    </row>
    <row r="51" spans="1:30">
      <c r="A51" s="484" t="s">
        <v>2350</v>
      </c>
      <c r="B51" s="485" t="s">
        <v>2316</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2319</v>
      </c>
      <c r="C53" s="496" t="s">
        <v>2351</v>
      </c>
      <c r="D53" s="496" t="s">
        <v>2352</v>
      </c>
      <c r="E53" s="496" t="s">
        <v>2353</v>
      </c>
      <c r="F53" s="496" t="s">
        <v>2354</v>
      </c>
      <c r="G53" s="496" t="s">
        <v>2355</v>
      </c>
      <c r="H53" s="496" t="s">
        <v>2356</v>
      </c>
      <c r="I53" s="496" t="s">
        <v>2357</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2321</v>
      </c>
      <c r="B61" s="485" t="s">
        <v>2364</v>
      </c>
      <c r="C61" s="530" t="s">
        <v>2359</v>
      </c>
      <c r="D61" s="530" t="s">
        <v>2360</v>
      </c>
      <c r="E61" s="530" t="s">
        <v>2361</v>
      </c>
      <c r="F61" s="530" t="s">
        <v>2362</v>
      </c>
      <c r="G61" s="530" t="s">
        <v>2363</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2502</v>
      </c>
      <c r="C63" s="535" t="s">
        <v>2359</v>
      </c>
      <c r="D63" s="535" t="s">
        <v>2360</v>
      </c>
      <c r="E63" s="535" t="s">
        <v>2361</v>
      </c>
      <c r="F63" s="535" t="s">
        <v>2362</v>
      </c>
      <c r="G63" s="535" t="s">
        <v>2363</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2451</v>
      </c>
      <c r="C65" s="616" t="s">
        <v>2437</v>
      </c>
      <c r="D65" s="616" t="s">
        <v>2438</v>
      </c>
      <c r="E65" s="616" t="s">
        <v>2439</v>
      </c>
      <c r="F65" s="616" t="s">
        <v>2440</v>
      </c>
      <c r="G65" s="616" t="s">
        <v>2441</v>
      </c>
      <c r="H65" s="496"/>
      <c r="I65" s="496"/>
      <c r="J65" s="496"/>
      <c r="K65" s="496"/>
      <c r="L65" s="496"/>
      <c r="M65" s="1263"/>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2371</v>
      </c>
      <c r="C67" s="535" t="s">
        <v>2359</v>
      </c>
      <c r="D67" s="535" t="s">
        <v>2360</v>
      </c>
      <c r="E67" s="535" t="s">
        <v>2361</v>
      </c>
      <c r="F67" s="535" t="s">
        <v>2362</v>
      </c>
      <c r="G67" s="535" t="s">
        <v>2363</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2491</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8"/>
      <c r="O72" s="2948"/>
      <c r="P72" s="2972"/>
      <c r="Q72" s="2933"/>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8"/>
      <c r="O74" s="2948"/>
      <c r="P74" s="2972"/>
      <c r="Q74" s="2933"/>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2325</v>
      </c>
      <c r="B77" s="485" t="s">
        <v>2378</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2495</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2503</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2505</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7"/>
      <c r="B98" s="1067"/>
      <c r="C98" s="1067"/>
      <c r="D98" s="1067"/>
      <c r="E98" s="1067"/>
      <c r="F98" s="1067"/>
      <c r="G98" s="1067"/>
      <c r="H98" s="1067"/>
      <c r="I98" s="1067"/>
      <c r="J98" s="1067"/>
      <c r="K98" s="1068"/>
      <c r="L98" s="1069"/>
      <c r="M98" s="1067"/>
      <c r="N98" s="2919"/>
      <c r="O98" s="2919"/>
      <c r="P98" s="2919"/>
      <c r="Q98" s="2919"/>
      <c r="R98" s="2919"/>
      <c r="S98" s="2919"/>
      <c r="T98" s="2919"/>
      <c r="U98" s="2919"/>
      <c r="V98" s="2919"/>
      <c r="W98" s="2919"/>
      <c r="X98" s="2919"/>
      <c r="Y98" s="2919"/>
      <c r="Z98" s="2919"/>
      <c r="AA98" s="2919"/>
      <c r="AB98" s="2919"/>
      <c r="AC98" s="2919"/>
      <c r="AD98" s="2919"/>
    </row>
    <row r="99" spans="1:30">
      <c r="A99" s="1067"/>
      <c r="B99" s="1067"/>
      <c r="C99" s="1067"/>
      <c r="D99" s="1067"/>
      <c r="E99" s="1067"/>
      <c r="F99" s="1067"/>
      <c r="G99" s="1067"/>
      <c r="H99" s="1067"/>
      <c r="I99" s="1067"/>
      <c r="J99" s="1067"/>
      <c r="K99" s="1068"/>
      <c r="L99" s="1069"/>
      <c r="M99" s="1067"/>
      <c r="N99" s="2919"/>
      <c r="O99" s="2919"/>
      <c r="P99" s="2919"/>
      <c r="Q99" s="2919"/>
      <c r="R99" s="2919"/>
      <c r="S99" s="2919"/>
      <c r="T99" s="2919"/>
      <c r="U99" s="2919"/>
      <c r="V99" s="2919"/>
      <c r="W99" s="2919"/>
      <c r="X99" s="2919"/>
      <c r="Y99" s="2919"/>
      <c r="Z99" s="2919"/>
      <c r="AA99" s="2919"/>
      <c r="AB99" s="2919"/>
      <c r="AC99" s="2919"/>
      <c r="AD99" s="2919"/>
    </row>
    <row r="100" spans="1:30">
      <c r="A100" s="1067"/>
      <c r="B100" s="1067"/>
      <c r="C100" s="1067"/>
      <c r="D100" s="1067"/>
      <c r="E100" s="1067"/>
      <c r="F100" s="1067"/>
      <c r="G100" s="1067"/>
      <c r="H100" s="1067"/>
      <c r="I100" s="1067"/>
      <c r="J100" s="1067"/>
      <c r="K100" s="1068"/>
      <c r="L100" s="1069"/>
      <c r="M100" s="1067"/>
      <c r="N100" s="2919"/>
      <c r="O100" s="2919"/>
      <c r="P100" s="2919"/>
      <c r="Q100" s="2919"/>
      <c r="R100" s="2919"/>
      <c r="S100" s="2919"/>
      <c r="T100" s="2919"/>
      <c r="U100" s="2919"/>
      <c r="V100" s="2919"/>
      <c r="W100" s="2919"/>
      <c r="X100" s="2919"/>
      <c r="Y100" s="2919"/>
      <c r="Z100" s="2919"/>
      <c r="AA100" s="2919"/>
      <c r="AB100" s="2919"/>
      <c r="AC100" s="2919"/>
      <c r="AD100" s="2919"/>
    </row>
    <row r="101" spans="1:30">
      <c r="A101" s="1067"/>
      <c r="B101" s="1067"/>
      <c r="C101" s="1067"/>
      <c r="D101" s="1067"/>
      <c r="E101" s="1067"/>
      <c r="F101" s="1067"/>
      <c r="G101" s="1067"/>
      <c r="H101" s="1067"/>
      <c r="I101" s="1067"/>
      <c r="J101" s="1067"/>
      <c r="K101" s="1068"/>
      <c r="L101" s="1069"/>
      <c r="M101" s="1067"/>
      <c r="N101" s="2919"/>
      <c r="O101" s="2919"/>
      <c r="P101" s="2919"/>
      <c r="Q101" s="2919"/>
      <c r="R101" s="2919"/>
      <c r="S101" s="2919"/>
      <c r="T101" s="2919"/>
      <c r="U101" s="2919"/>
      <c r="V101" s="2919"/>
      <c r="W101" s="2919"/>
      <c r="X101" s="2919"/>
      <c r="Y101" s="2919"/>
      <c r="Z101" s="2919"/>
      <c r="AA101" s="2919"/>
      <c r="AB101" s="2919"/>
      <c r="AC101" s="2919"/>
      <c r="AD101" s="2919"/>
    </row>
    <row r="102" spans="1:30">
      <c r="A102" s="1067"/>
      <c r="B102" s="1067"/>
      <c r="C102" s="1067"/>
      <c r="D102" s="1067"/>
      <c r="E102" s="1067"/>
      <c r="F102" s="1067"/>
      <c r="G102" s="1067"/>
      <c r="H102" s="1067"/>
      <c r="I102" s="1067"/>
      <c r="J102" s="1067"/>
      <c r="K102" s="1068"/>
      <c r="L102" s="1069"/>
      <c r="M102" s="1067"/>
      <c r="N102" s="2919"/>
      <c r="O102" s="2919"/>
      <c r="P102" s="2919"/>
      <c r="Q102" s="2919"/>
      <c r="R102" s="2919"/>
      <c r="S102" s="2919"/>
      <c r="T102" s="2919"/>
      <c r="U102" s="2919"/>
      <c r="V102" s="2919"/>
      <c r="W102" s="2919"/>
      <c r="X102" s="2919"/>
      <c r="Y102" s="2919"/>
      <c r="Z102" s="2919"/>
      <c r="AA102" s="2919"/>
      <c r="AB102" s="2919"/>
      <c r="AC102" s="2919"/>
      <c r="AD102" s="2919"/>
    </row>
    <row r="103" spans="1:30">
      <c r="A103" s="1067"/>
      <c r="B103" s="1067"/>
      <c r="C103" s="1067"/>
      <c r="D103" s="1067"/>
      <c r="E103" s="1067"/>
      <c r="F103" s="1067"/>
      <c r="G103" s="1067"/>
      <c r="H103" s="1067"/>
      <c r="I103" s="1067"/>
      <c r="J103" s="1067"/>
      <c r="K103" s="1068"/>
      <c r="L103" s="1069"/>
      <c r="M103" s="1067"/>
      <c r="N103" s="1067"/>
      <c r="O103" s="1067"/>
      <c r="P103" s="2919"/>
      <c r="Q103" s="2919"/>
      <c r="R103" s="2919"/>
      <c r="S103" s="2919"/>
      <c r="T103" s="2919"/>
      <c r="U103" s="2919"/>
      <c r="V103" s="2919"/>
      <c r="W103" s="2919"/>
      <c r="X103" s="2919"/>
      <c r="Y103" s="2919"/>
      <c r="Z103" s="2919"/>
      <c r="AA103" s="2919"/>
      <c r="AB103" s="2919"/>
      <c r="AC103" s="2919"/>
      <c r="AD103" s="291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2506</v>
      </c>
      <c r="B1" s="355"/>
      <c r="C1" s="356" t="s">
        <v>2558</v>
      </c>
      <c r="D1" s="695"/>
      <c r="E1" s="695"/>
      <c r="F1" s="694" t="s">
        <v>2405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t="e">
        <f>F61</f>
        <v>#DIV/0!</v>
      </c>
      <c r="C2" s="1039"/>
      <c r="D2" s="1039"/>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2091</v>
      </c>
      <c r="B3" s="566" t="e">
        <f>ROUND(IF(D3="",B2*10000/'数据-汇总表'!E3,B2*10000/D3),0)</f>
        <v>#DIV/0!</v>
      </c>
      <c r="C3" s="209" t="s">
        <v>2508</v>
      </c>
      <c r="D3" s="1327"/>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2407</v>
      </c>
      <c r="B4" s="362"/>
      <c r="C4" s="3471" t="s">
        <v>2408</v>
      </c>
      <c r="D4" s="3472"/>
      <c r="E4" s="3473" t="s">
        <v>2409</v>
      </c>
      <c r="F4" s="3474"/>
      <c r="G4" s="3471" t="s">
        <v>2410</v>
      </c>
      <c r="H4" s="3472"/>
      <c r="I4" s="3471" t="s">
        <v>2411</v>
      </c>
      <c r="J4" s="3472"/>
      <c r="K4" s="567" t="s">
        <v>2412</v>
      </c>
      <c r="L4" s="2909"/>
      <c r="M4" s="2910"/>
      <c r="N4" s="2910"/>
      <c r="O4" s="2910"/>
      <c r="P4" s="3475" t="s">
        <v>2413</v>
      </c>
      <c r="Q4" s="3476"/>
      <c r="R4" s="3458" t="s">
        <v>2409</v>
      </c>
      <c r="S4" s="3459"/>
      <c r="T4" s="3458" t="s">
        <v>2410</v>
      </c>
      <c r="U4" s="3459"/>
      <c r="V4" s="3483" t="s">
        <v>2411</v>
      </c>
      <c r="W4" s="3483"/>
      <c r="X4" s="1509"/>
      <c r="Y4" s="3458" t="s">
        <v>2413</v>
      </c>
      <c r="Z4" s="3459"/>
      <c r="AA4" s="3453" t="s">
        <v>2409</v>
      </c>
      <c r="AB4" s="3454" t="s">
        <v>2410</v>
      </c>
      <c r="AC4" s="3453" t="s">
        <v>2411</v>
      </c>
    </row>
    <row r="5" spans="1:29" ht="15">
      <c r="A5" s="364"/>
      <c r="B5" s="365"/>
      <c r="C5" s="3464" t="s">
        <v>2304</v>
      </c>
      <c r="D5" s="3465"/>
      <c r="E5" s="3462" t="s">
        <v>2305</v>
      </c>
      <c r="F5" s="3463"/>
      <c r="G5" s="3464" t="s">
        <v>2306</v>
      </c>
      <c r="H5" s="3465"/>
      <c r="I5" s="3464" t="s">
        <v>2307</v>
      </c>
      <c r="J5" s="3465"/>
      <c r="K5" s="567"/>
      <c r="L5" s="2909"/>
      <c r="M5" s="2910"/>
      <c r="N5" s="2910"/>
      <c r="O5" s="2910"/>
      <c r="P5" s="3477"/>
      <c r="Q5" s="3478"/>
      <c r="R5" s="3460"/>
      <c r="S5" s="3461"/>
      <c r="T5" s="3460"/>
      <c r="U5" s="3461"/>
      <c r="V5" s="3483"/>
      <c r="W5" s="3483"/>
      <c r="X5" s="1509"/>
      <c r="Y5" s="3460"/>
      <c r="Z5" s="3461"/>
      <c r="AA5" s="3454"/>
      <c r="AB5" s="3454"/>
      <c r="AC5" s="3454"/>
    </row>
    <row r="6" spans="1:29" ht="15.75" thickBot="1">
      <c r="A6" s="366"/>
      <c r="B6" s="367"/>
      <c r="C6" s="3549" t="s">
        <v>2559</v>
      </c>
      <c r="D6" s="3550"/>
      <c r="E6" s="3551" t="s">
        <v>2559</v>
      </c>
      <c r="F6" s="3552"/>
      <c r="G6" s="3549" t="s">
        <v>2559</v>
      </c>
      <c r="H6" s="3550"/>
      <c r="I6" s="3549" t="s">
        <v>2559</v>
      </c>
      <c r="J6" s="3550"/>
      <c r="K6" s="567" t="s">
        <v>2309</v>
      </c>
      <c r="L6" s="2909"/>
      <c r="M6" s="2910"/>
      <c r="N6" s="2910"/>
      <c r="O6" s="2910"/>
      <c r="P6" s="3479"/>
      <c r="Q6" s="3480"/>
      <c r="R6" s="3460"/>
      <c r="S6" s="3461"/>
      <c r="T6" s="3481"/>
      <c r="U6" s="3482"/>
      <c r="V6" s="3483"/>
      <c r="W6" s="3483"/>
      <c r="X6" s="1509"/>
      <c r="Y6" s="3481"/>
      <c r="Z6" s="3482"/>
      <c r="AA6" s="3455"/>
      <c r="AB6" s="3455"/>
      <c r="AC6" s="3455"/>
    </row>
    <row r="7" spans="1:29" s="113" customFormat="1" ht="15.75" thickBot="1">
      <c r="A7" s="368" t="s">
        <v>2310</v>
      </c>
      <c r="B7" s="369"/>
      <c r="C7" s="370">
        <f>'数据-取费表'!B2</f>
        <v>44623</v>
      </c>
      <c r="D7" s="371">
        <v>100</v>
      </c>
      <c r="E7" s="372"/>
      <c r="F7" s="373">
        <f>SUMIF(65:65,YEAR(E7)&amp;"-"&amp;INT((MONTH(E7)+2)/3),66:66)</f>
        <v>0</v>
      </c>
      <c r="G7" s="2129"/>
      <c r="H7" s="371">
        <f>SUMIF(65:65,YEAR(G7)&amp;"-"&amp;INT((MONTH(G7)+2)/3),66:66)</f>
        <v>0</v>
      </c>
      <c r="I7" s="2129"/>
      <c r="J7" s="371">
        <f>SUMIF(65:65,YEAR(I7)&amp;"-"&amp;INT((MONTH(I7)+2)/3),66:66)</f>
        <v>0</v>
      </c>
      <c r="K7" s="568"/>
      <c r="L7" s="2911"/>
      <c r="M7" s="2912"/>
      <c r="N7" s="2912"/>
      <c r="O7" s="2912"/>
      <c r="P7" s="3456" t="s">
        <v>2311</v>
      </c>
      <c r="Q7" s="3484"/>
      <c r="R7" s="710" t="s">
        <v>17</v>
      </c>
      <c r="S7" s="711">
        <f t="shared" ref="S7:S15" si="0">F7</f>
        <v>0</v>
      </c>
      <c r="T7" s="710" t="s">
        <v>17</v>
      </c>
      <c r="U7" s="711">
        <f t="shared" ref="U7:U15" si="1">H7</f>
        <v>0</v>
      </c>
      <c r="V7" s="710" t="s">
        <v>17</v>
      </c>
      <c r="W7" s="711">
        <f t="shared" ref="W7:W15" si="2">J7</f>
        <v>0</v>
      </c>
      <c r="X7" s="712"/>
      <c r="Y7" s="3456" t="s">
        <v>2311</v>
      </c>
      <c r="Z7" s="3457"/>
      <c r="AA7" s="713" t="e">
        <f>D7/F7</f>
        <v>#DIV/0!</v>
      </c>
      <c r="AB7" s="713" t="e">
        <f>D7/H7</f>
        <v>#DIV/0!</v>
      </c>
      <c r="AC7" s="713" t="e">
        <f>D7/J7</f>
        <v>#DIV/0!</v>
      </c>
    </row>
    <row r="8" spans="1:29" s="113" customFormat="1" ht="15.75" thickBot="1">
      <c r="A8" s="368" t="s">
        <v>2312</v>
      </c>
      <c r="B8" s="369"/>
      <c r="C8" s="374" t="s">
        <v>2313</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6" t="s">
        <v>2314</v>
      </c>
      <c r="Q8" s="3457"/>
      <c r="R8" s="710" t="s">
        <v>17</v>
      </c>
      <c r="S8" s="711">
        <f t="shared" si="0"/>
        <v>0</v>
      </c>
      <c r="T8" s="710" t="s">
        <v>17</v>
      </c>
      <c r="U8" s="711">
        <f t="shared" si="1"/>
        <v>0</v>
      </c>
      <c r="V8" s="710" t="s">
        <v>17</v>
      </c>
      <c r="W8" s="711">
        <f t="shared" si="2"/>
        <v>0</v>
      </c>
      <c r="X8" s="712"/>
      <c r="Y8" s="3456" t="s">
        <v>2314</v>
      </c>
      <c r="Z8" s="3457"/>
      <c r="AA8" s="713" t="e">
        <f t="shared" ref="AA8:AA40" si="3">D8/F8</f>
        <v>#DIV/0!</v>
      </c>
      <c r="AB8" s="713" t="e">
        <f t="shared" ref="AB8:AB40" si="4">D8/H8</f>
        <v>#DIV/0!</v>
      </c>
      <c r="AC8" s="713" t="e">
        <f t="shared" ref="AC8:AC40" si="5">D8/J8</f>
        <v>#DIV/0!</v>
      </c>
    </row>
    <row r="9" spans="1:29" s="113" customFormat="1">
      <c r="A9" s="375" t="s">
        <v>2315</v>
      </c>
      <c r="B9" s="67" t="s">
        <v>2316</v>
      </c>
      <c r="C9" s="2132"/>
      <c r="D9" s="131">
        <v>100</v>
      </c>
      <c r="E9" s="2132"/>
      <c r="F9" s="131">
        <f>SUMIF(70:70,E9,71:71)-SUMIF(70:70,C9,71:71)+100</f>
        <v>100</v>
      </c>
      <c r="G9" s="2132"/>
      <c r="H9" s="131">
        <f>SUMIF(70:70,G9,71:71)-SUMIF(70:70,C9,71:71)+100</f>
        <v>100</v>
      </c>
      <c r="I9" s="2132"/>
      <c r="J9" s="131">
        <f>SUMIF(70:70,I9,71:71)-SUMIF(70:70,C9,71:71)+100</f>
        <v>100</v>
      </c>
      <c r="K9" s="568"/>
      <c r="L9" s="2911"/>
      <c r="M9" s="2912"/>
      <c r="N9" s="2912"/>
      <c r="O9" s="2966"/>
      <c r="P9" s="3470" t="s">
        <v>2317</v>
      </c>
      <c r="Q9" s="1497" t="str">
        <f t="shared" ref="Q9:Q15" si="6">B9</f>
        <v>用途</v>
      </c>
      <c r="R9" s="710" t="s">
        <v>17</v>
      </c>
      <c r="S9" s="711">
        <f t="shared" si="0"/>
        <v>100</v>
      </c>
      <c r="T9" s="710" t="s">
        <v>17</v>
      </c>
      <c r="U9" s="711">
        <f t="shared" si="1"/>
        <v>100</v>
      </c>
      <c r="V9" s="710" t="s">
        <v>17</v>
      </c>
      <c r="W9" s="711">
        <f t="shared" si="2"/>
        <v>100</v>
      </c>
      <c r="X9" s="712"/>
      <c r="Y9" s="3429" t="s">
        <v>2318</v>
      </c>
      <c r="Z9" s="55" t="str">
        <f t="shared" ref="Z9:Z15" si="7">Q9</f>
        <v>用途</v>
      </c>
      <c r="AA9" s="713">
        <f t="shared" si="3"/>
        <v>1</v>
      </c>
      <c r="AB9" s="713">
        <f t="shared" si="4"/>
        <v>1</v>
      </c>
      <c r="AC9" s="713">
        <f t="shared" si="5"/>
        <v>1</v>
      </c>
    </row>
    <row r="10" spans="1:29" s="386" customFormat="1" ht="27">
      <c r="A10" s="380"/>
      <c r="B10" s="381" t="s">
        <v>2319</v>
      </c>
      <c r="C10" s="391"/>
      <c r="D10" s="132">
        <v>100</v>
      </c>
      <c r="E10" s="391"/>
      <c r="F10" s="132">
        <f>ROUND(100/'数据-取费表'!G16,0)</f>
        <v>108</v>
      </c>
      <c r="G10" s="391"/>
      <c r="H10" s="132">
        <f>ROUND(100/'数据-取费表'!G16,0)</f>
        <v>108</v>
      </c>
      <c r="I10" s="391"/>
      <c r="J10" s="132">
        <f>ROUND(100/'数据-取费表'!G16,0)</f>
        <v>108</v>
      </c>
      <c r="K10" s="628"/>
      <c r="L10" s="2913"/>
      <c r="M10" s="2914"/>
      <c r="N10" s="2914"/>
      <c r="O10" s="2967"/>
      <c r="P10" s="3470"/>
      <c r="Q10" s="1497" t="str">
        <f t="shared" si="6"/>
        <v>土地使用年限（年）</v>
      </c>
      <c r="R10" s="710" t="s">
        <v>17</v>
      </c>
      <c r="S10" s="711">
        <f t="shared" si="0"/>
        <v>108</v>
      </c>
      <c r="T10" s="710" t="s">
        <v>17</v>
      </c>
      <c r="U10" s="711">
        <f t="shared" si="1"/>
        <v>108</v>
      </c>
      <c r="V10" s="710" t="s">
        <v>17</v>
      </c>
      <c r="W10" s="711">
        <f t="shared" si="2"/>
        <v>108</v>
      </c>
      <c r="X10" s="712"/>
      <c r="Y10" s="3429"/>
      <c r="Z10" s="55" t="str">
        <f t="shared" si="7"/>
        <v>土地使用年限（年）</v>
      </c>
      <c r="AA10" s="713">
        <f t="shared" si="3"/>
        <v>0.92592592592592593</v>
      </c>
      <c r="AB10" s="713">
        <f t="shared" si="4"/>
        <v>0.92592592592592593</v>
      </c>
      <c r="AC10" s="713">
        <f t="shared" si="5"/>
        <v>0.92592592592592593</v>
      </c>
    </row>
    <row r="11" spans="1:29" ht="15">
      <c r="A11" s="387"/>
      <c r="B11" s="381" t="s">
        <v>2320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70"/>
      <c r="Q11" s="149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70"/>
      <c r="Q12" s="149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70"/>
      <c r="Q13" s="149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70"/>
      <c r="Q14" s="149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2321</v>
      </c>
      <c r="B15" s="585" t="s">
        <v>2560</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85" t="s">
        <v>2322</v>
      </c>
      <c r="Q15" s="1506" t="str">
        <f t="shared" si="6"/>
        <v>产业集聚程度</v>
      </c>
      <c r="R15" s="714" t="s">
        <v>17</v>
      </c>
      <c r="S15" s="715">
        <f t="shared" si="0"/>
        <v>100</v>
      </c>
      <c r="T15" s="714" t="s">
        <v>17</v>
      </c>
      <c r="U15" s="715">
        <f t="shared" si="1"/>
        <v>100</v>
      </c>
      <c r="V15" s="714" t="s">
        <v>17</v>
      </c>
      <c r="W15" s="715">
        <f t="shared" si="2"/>
        <v>100</v>
      </c>
      <c r="X15" s="1509"/>
      <c r="Y15" s="3485" t="s">
        <v>2322</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16"/>
      <c r="M16" s="2910"/>
      <c r="N16" s="2910"/>
      <c r="O16" s="2968"/>
      <c r="P16" s="3486"/>
      <c r="Q16" s="1506"/>
      <c r="R16" s="714"/>
      <c r="S16" s="715"/>
      <c r="T16" s="714"/>
      <c r="U16" s="715"/>
      <c r="V16" s="714"/>
      <c r="W16" s="715"/>
      <c r="X16" s="1509"/>
      <c r="Y16" s="3486"/>
      <c r="Z16" s="1510"/>
      <c r="AA16" s="1507">
        <v>1</v>
      </c>
      <c r="AB16" s="1507">
        <v>1</v>
      </c>
      <c r="AC16" s="1507">
        <v>1</v>
      </c>
    </row>
    <row r="17" spans="1:29" ht="85.5">
      <c r="A17" s="387"/>
      <c r="B17" s="587" t="s">
        <v>2471</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86"/>
      <c r="Q17" s="1506" t="str">
        <f>B17</f>
        <v>交通便捷度</v>
      </c>
      <c r="R17" s="714" t="s">
        <v>17</v>
      </c>
      <c r="S17" s="715">
        <f>F17</f>
        <v>100</v>
      </c>
      <c r="T17" s="714" t="s">
        <v>17</v>
      </c>
      <c r="U17" s="715">
        <f>H17</f>
        <v>100</v>
      </c>
      <c r="V17" s="714" t="s">
        <v>17</v>
      </c>
      <c r="W17" s="715">
        <f>J17</f>
        <v>100</v>
      </c>
      <c r="X17" s="1509"/>
      <c r="Y17" s="3486"/>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16"/>
      <c r="M18" s="2910"/>
      <c r="N18" s="2910"/>
      <c r="O18" s="2968"/>
      <c r="P18" s="3486"/>
      <c r="Q18" s="1506"/>
      <c r="R18" s="714"/>
      <c r="S18" s="715"/>
      <c r="T18" s="714"/>
      <c r="U18" s="715"/>
      <c r="V18" s="714"/>
      <c r="W18" s="715"/>
      <c r="X18" s="1509"/>
      <c r="Y18" s="3486"/>
      <c r="Z18" s="1510"/>
      <c r="AA18" s="1507">
        <v>1</v>
      </c>
      <c r="AB18" s="1507">
        <v>1</v>
      </c>
      <c r="AC18" s="1507">
        <v>1</v>
      </c>
    </row>
    <row r="19" spans="1:29" ht="15">
      <c r="A19" s="387"/>
      <c r="B19" s="587" t="s">
        <v>2510</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86"/>
      <c r="Q19" s="1506" t="str">
        <f t="shared" ref="Q19:Q33" si="8">B19</f>
        <v>区域土地利用方向</v>
      </c>
      <c r="R19" s="714" t="s">
        <v>17</v>
      </c>
      <c r="S19" s="715">
        <f>F19</f>
        <v>100</v>
      </c>
      <c r="T19" s="714" t="s">
        <v>17</v>
      </c>
      <c r="U19" s="715">
        <f>H19</f>
        <v>100</v>
      </c>
      <c r="V19" s="714" t="s">
        <v>17</v>
      </c>
      <c r="W19" s="715">
        <f>J19</f>
        <v>100</v>
      </c>
      <c r="X19" s="1509"/>
      <c r="Y19" s="3486"/>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16"/>
      <c r="M20" s="2910"/>
      <c r="N20" s="2910"/>
      <c r="O20" s="2968"/>
      <c r="P20" s="3486"/>
      <c r="Q20" s="1506"/>
      <c r="R20" s="714"/>
      <c r="S20" s="715"/>
      <c r="T20" s="714"/>
      <c r="U20" s="715"/>
      <c r="V20" s="714"/>
      <c r="W20" s="715"/>
      <c r="X20" s="1509"/>
      <c r="Y20" s="3486"/>
      <c r="Z20" s="1510"/>
      <c r="AA20" s="1507"/>
      <c r="AB20" s="1507"/>
      <c r="AC20" s="1507"/>
    </row>
    <row r="21" spans="1:29" ht="71.25">
      <c r="A21" s="364"/>
      <c r="B21" s="587" t="s">
        <v>2561</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86"/>
      <c r="Q21" s="1506" t="str">
        <f t="shared" si="8"/>
        <v>环境状况</v>
      </c>
      <c r="R21" s="714" t="s">
        <v>17</v>
      </c>
      <c r="S21" s="715">
        <f>F21</f>
        <v>100</v>
      </c>
      <c r="T21" s="714" t="s">
        <v>17</v>
      </c>
      <c r="U21" s="715">
        <f>H21</f>
        <v>100</v>
      </c>
      <c r="V21" s="714" t="s">
        <v>17</v>
      </c>
      <c r="W21" s="715">
        <f>J21</f>
        <v>100</v>
      </c>
      <c r="X21" s="1509"/>
      <c r="Y21" s="3486"/>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16"/>
      <c r="M22" s="2910"/>
      <c r="N22" s="2910"/>
      <c r="O22" s="2968"/>
      <c r="P22" s="3486"/>
      <c r="Q22" s="1506"/>
      <c r="R22" s="714"/>
      <c r="S22" s="715"/>
      <c r="T22" s="714"/>
      <c r="U22" s="715"/>
      <c r="V22" s="714"/>
      <c r="W22" s="715"/>
      <c r="X22" s="1509"/>
      <c r="Y22" s="3486"/>
      <c r="Z22" s="1510"/>
      <c r="AA22" s="1507">
        <v>1</v>
      </c>
      <c r="AB22" s="1507">
        <v>1</v>
      </c>
      <c r="AC22" s="1507">
        <v>1</v>
      </c>
    </row>
    <row r="23" spans="1:29" s="113" customFormat="1" ht="42.75">
      <c r="A23" s="605"/>
      <c r="B23" s="589" t="s">
        <v>2416</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86"/>
      <c r="Q23" s="1497" t="str">
        <f t="shared" si="8"/>
        <v>公共配套设施</v>
      </c>
      <c r="R23" s="710" t="s">
        <v>17</v>
      </c>
      <c r="S23" s="711">
        <f>F23</f>
        <v>100</v>
      </c>
      <c r="T23" s="710" t="s">
        <v>17</v>
      </c>
      <c r="U23" s="711">
        <f>H23</f>
        <v>100</v>
      </c>
      <c r="V23" s="710" t="s">
        <v>17</v>
      </c>
      <c r="W23" s="711">
        <f>J23</f>
        <v>100</v>
      </c>
      <c r="X23" s="712"/>
      <c r="Y23" s="3486"/>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1"/>
      <c r="M24" s="2912"/>
      <c r="N24" s="2912"/>
      <c r="O24" s="2966"/>
      <c r="P24" s="3486"/>
      <c r="Q24" s="1497"/>
      <c r="R24" s="710"/>
      <c r="S24" s="711"/>
      <c r="T24" s="710"/>
      <c r="U24" s="711"/>
      <c r="V24" s="710"/>
      <c r="W24" s="711"/>
      <c r="X24" s="712"/>
      <c r="Y24" s="3486"/>
      <c r="Z24" s="55"/>
      <c r="AA24" s="713">
        <v>1</v>
      </c>
      <c r="AB24" s="713">
        <v>1</v>
      </c>
      <c r="AC24" s="713">
        <v>1</v>
      </c>
    </row>
    <row r="25" spans="1:29" s="113" customFormat="1" ht="28.5">
      <c r="A25" s="605"/>
      <c r="B25" s="589" t="s">
        <v>2417</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86"/>
      <c r="Q25" s="1497" t="str">
        <f t="shared" ref="Q25" si="9">B25</f>
        <v>基础设施水平</v>
      </c>
      <c r="R25" s="710" t="s">
        <v>17</v>
      </c>
      <c r="S25" s="711">
        <f>F25</f>
        <v>100</v>
      </c>
      <c r="T25" s="710" t="s">
        <v>17</v>
      </c>
      <c r="U25" s="711">
        <f>H25</f>
        <v>100</v>
      </c>
      <c r="V25" s="710" t="s">
        <v>17</v>
      </c>
      <c r="W25" s="711">
        <f>J25</f>
        <v>100</v>
      </c>
      <c r="X25" s="712"/>
      <c r="Y25" s="3486"/>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1"/>
      <c r="M26" s="2912"/>
      <c r="N26" s="2912"/>
      <c r="O26" s="2966"/>
      <c r="P26" s="3486"/>
      <c r="Q26" s="1497"/>
      <c r="R26" s="710"/>
      <c r="S26" s="711"/>
      <c r="T26" s="710"/>
      <c r="U26" s="711"/>
      <c r="V26" s="710"/>
      <c r="W26" s="711"/>
      <c r="X26" s="712"/>
      <c r="Y26" s="3486"/>
      <c r="Z26" s="55"/>
      <c r="AA26" s="713">
        <v>1</v>
      </c>
      <c r="AB26" s="713">
        <v>1</v>
      </c>
      <c r="AC26" s="713">
        <v>1</v>
      </c>
    </row>
    <row r="27" spans="1:29" ht="15">
      <c r="A27" s="387"/>
      <c r="B27" s="588" t="s">
        <v>2418</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8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6"/>
      <c r="Z27" s="1510" t="str">
        <f t="shared" ref="Z27:Z40" si="13">Q27</f>
        <v>临街状况</v>
      </c>
      <c r="AA27" s="1507">
        <f t="shared" si="3"/>
        <v>1</v>
      </c>
      <c r="AB27" s="1507">
        <f t="shared" si="4"/>
        <v>1</v>
      </c>
      <c r="AC27" s="1507">
        <f t="shared" si="5"/>
        <v>1</v>
      </c>
    </row>
    <row r="28" spans="1:29" ht="27">
      <c r="A28" s="387"/>
      <c r="B28" s="589" t="s">
        <v>2453</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86"/>
      <c r="Q28" s="1506" t="str">
        <f t="shared" si="8"/>
        <v>毗邻道路的类型与等级</v>
      </c>
      <c r="R28" s="714" t="s">
        <v>17</v>
      </c>
      <c r="S28" s="715">
        <f t="shared" si="10"/>
        <v>100</v>
      </c>
      <c r="T28" s="714" t="s">
        <v>17</v>
      </c>
      <c r="U28" s="715">
        <f t="shared" si="11"/>
        <v>100</v>
      </c>
      <c r="V28" s="714" t="s">
        <v>17</v>
      </c>
      <c r="W28" s="715">
        <f t="shared" si="12"/>
        <v>100</v>
      </c>
      <c r="X28" s="1509"/>
      <c r="Y28" s="3486"/>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16"/>
      <c r="M29" s="2910"/>
      <c r="N29" s="2910"/>
      <c r="O29" s="2968"/>
      <c r="P29" s="3486"/>
      <c r="Q29" s="1506"/>
      <c r="R29" s="714"/>
      <c r="S29" s="715"/>
      <c r="T29" s="714"/>
      <c r="U29" s="715"/>
      <c r="V29" s="714"/>
      <c r="W29" s="715"/>
      <c r="X29" s="1509"/>
      <c r="Y29" s="3486"/>
      <c r="Z29" s="1510"/>
      <c r="AA29" s="1507">
        <v>1</v>
      </c>
      <c r="AB29" s="1507">
        <v>1</v>
      </c>
      <c r="AC29" s="1507">
        <v>1</v>
      </c>
    </row>
    <row r="30" spans="1:29" ht="15">
      <c r="A30" s="387"/>
      <c r="B30" s="610" t="s">
        <v>2512</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86"/>
      <c r="Q30" s="1506" t="str">
        <f t="shared" si="8"/>
        <v>土地级别</v>
      </c>
      <c r="R30" s="714" t="s">
        <v>17</v>
      </c>
      <c r="S30" s="715">
        <f t="shared" si="10"/>
        <v>100</v>
      </c>
      <c r="T30" s="714" t="s">
        <v>17</v>
      </c>
      <c r="U30" s="715">
        <f t="shared" si="11"/>
        <v>100</v>
      </c>
      <c r="V30" s="714" t="s">
        <v>17</v>
      </c>
      <c r="W30" s="715">
        <f t="shared" si="12"/>
        <v>100</v>
      </c>
      <c r="X30" s="1509"/>
      <c r="Y30" s="3486"/>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86"/>
      <c r="Q31" s="1506">
        <f t="shared" si="8"/>
        <v>111</v>
      </c>
      <c r="R31" s="714" t="s">
        <v>17</v>
      </c>
      <c r="S31" s="715">
        <f t="shared" si="10"/>
        <v>100</v>
      </c>
      <c r="T31" s="714" t="s">
        <v>17</v>
      </c>
      <c r="U31" s="715">
        <f t="shared" si="11"/>
        <v>100</v>
      </c>
      <c r="V31" s="714" t="s">
        <v>17</v>
      </c>
      <c r="W31" s="715">
        <f t="shared" si="12"/>
        <v>100</v>
      </c>
      <c r="X31" s="1509"/>
      <c r="Y31" s="3486"/>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487" t="s">
        <v>2327</v>
      </c>
      <c r="Q32" s="1506">
        <f t="shared" si="8"/>
        <v>111</v>
      </c>
      <c r="R32" s="714" t="s">
        <v>17</v>
      </c>
      <c r="S32" s="715">
        <f t="shared" si="10"/>
        <v>100</v>
      </c>
      <c r="T32" s="714" t="s">
        <v>17</v>
      </c>
      <c r="U32" s="715">
        <f t="shared" si="11"/>
        <v>100</v>
      </c>
      <c r="V32" s="714" t="s">
        <v>17</v>
      </c>
      <c r="W32" s="715">
        <f t="shared" si="12"/>
        <v>100</v>
      </c>
      <c r="X32" s="1509"/>
      <c r="Y32" s="3488" t="s">
        <v>2327</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88"/>
      <c r="Q33" s="1506">
        <f t="shared" si="8"/>
        <v>111</v>
      </c>
      <c r="R33" s="717" t="s">
        <v>17</v>
      </c>
      <c r="S33" s="718">
        <f t="shared" si="10"/>
        <v>100</v>
      </c>
      <c r="T33" s="717" t="s">
        <v>17</v>
      </c>
      <c r="U33" s="718">
        <f t="shared" si="11"/>
        <v>100</v>
      </c>
      <c r="V33" s="717" t="s">
        <v>17</v>
      </c>
      <c r="W33" s="718">
        <f t="shared" si="12"/>
        <v>100</v>
      </c>
      <c r="X33" s="719"/>
      <c r="Y33" s="3488"/>
      <c r="Z33" s="720">
        <f t="shared" si="13"/>
        <v>111</v>
      </c>
      <c r="AA33" s="1507">
        <f t="shared" si="3"/>
        <v>1</v>
      </c>
      <c r="AB33" s="1507">
        <f t="shared" si="4"/>
        <v>1</v>
      </c>
      <c r="AC33" s="1507">
        <f t="shared" si="5"/>
        <v>1</v>
      </c>
    </row>
    <row r="34" spans="1:31" ht="15">
      <c r="A34" s="399" t="s">
        <v>2325</v>
      </c>
      <c r="B34" s="415" t="s">
        <v>2513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88"/>
      <c r="Q34" s="1506" t="str">
        <f>B34</f>
        <v>宗地面积</v>
      </c>
      <c r="R34" s="714" t="s">
        <v>17</v>
      </c>
      <c r="S34" s="715" t="e">
        <f t="shared" si="10"/>
        <v>#N/A</v>
      </c>
      <c r="T34" s="714" t="s">
        <v>17</v>
      </c>
      <c r="U34" s="715" t="e">
        <f t="shared" si="11"/>
        <v>#N/A</v>
      </c>
      <c r="V34" s="714" t="s">
        <v>17</v>
      </c>
      <c r="W34" s="715" t="e">
        <f t="shared" si="12"/>
        <v>#N/A</v>
      </c>
      <c r="X34" s="1509"/>
      <c r="Y34" s="3488"/>
      <c r="Z34" s="1510" t="str">
        <f t="shared" si="13"/>
        <v>宗地面积</v>
      </c>
      <c r="AA34" s="1507" t="e">
        <f t="shared" si="3"/>
        <v>#N/A</v>
      </c>
      <c r="AB34" s="1507" t="e">
        <f t="shared" si="4"/>
        <v>#N/A</v>
      </c>
      <c r="AC34" s="1507" t="e">
        <f t="shared" si="5"/>
        <v>#N/A</v>
      </c>
    </row>
    <row r="35" spans="1:31" ht="15">
      <c r="A35" s="431"/>
      <c r="B35" s="381" t="s">
        <v>2514</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6"/>
      <c r="M35" s="2910"/>
      <c r="N35" s="2910"/>
      <c r="O35" s="2968"/>
      <c r="P35" s="3488"/>
      <c r="Q35" s="1506" t="str">
        <f t="shared" ref="Q35:Q40" si="14">B35</f>
        <v>宗地形状</v>
      </c>
      <c r="R35" s="714" t="s">
        <v>17</v>
      </c>
      <c r="S35" s="715">
        <f t="shared" si="10"/>
        <v>100</v>
      </c>
      <c r="T35" s="714" t="s">
        <v>17</v>
      </c>
      <c r="U35" s="715">
        <f t="shared" si="11"/>
        <v>100</v>
      </c>
      <c r="V35" s="714" t="s">
        <v>17</v>
      </c>
      <c r="W35" s="715">
        <f t="shared" si="12"/>
        <v>100</v>
      </c>
      <c r="X35" s="1509"/>
      <c r="Y35" s="3488"/>
      <c r="Z35" s="1510" t="str">
        <f t="shared" si="13"/>
        <v>宗地形状</v>
      </c>
      <c r="AA35" s="1507">
        <f t="shared" si="3"/>
        <v>1</v>
      </c>
      <c r="AB35" s="1507">
        <f t="shared" si="4"/>
        <v>1</v>
      </c>
      <c r="AC35" s="1507">
        <f t="shared" si="5"/>
        <v>1</v>
      </c>
    </row>
    <row r="36" spans="1:31" s="113" customFormat="1" ht="15">
      <c r="A36" s="432"/>
      <c r="B36" s="381" t="s">
        <v>2516</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1"/>
      <c r="M36" s="2912"/>
      <c r="N36" s="2912"/>
      <c r="O36" s="2966"/>
      <c r="P36" s="3488"/>
      <c r="Q36" s="1506" t="str">
        <f t="shared" si="14"/>
        <v>宗地开发程度</v>
      </c>
      <c r="R36" s="710" t="s">
        <v>17</v>
      </c>
      <c r="S36" s="711">
        <f t="shared" si="10"/>
        <v>100</v>
      </c>
      <c r="T36" s="710" t="s">
        <v>17</v>
      </c>
      <c r="U36" s="711">
        <f t="shared" si="11"/>
        <v>100</v>
      </c>
      <c r="V36" s="710" t="s">
        <v>17</v>
      </c>
      <c r="W36" s="711">
        <f t="shared" si="12"/>
        <v>100</v>
      </c>
      <c r="X36" s="712"/>
      <c r="Y36" s="3488"/>
      <c r="Z36" s="55" t="str">
        <f t="shared" si="13"/>
        <v>宗地开发程度</v>
      </c>
      <c r="AA36" s="713">
        <f t="shared" si="3"/>
        <v>1</v>
      </c>
      <c r="AB36" s="713">
        <f t="shared" si="4"/>
        <v>1</v>
      </c>
      <c r="AC36" s="713">
        <f t="shared" si="5"/>
        <v>1</v>
      </c>
    </row>
    <row r="37" spans="1:31" ht="15">
      <c r="A37" s="431"/>
      <c r="B37" s="381" t="s">
        <v>2517</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6"/>
      <c r="M37" s="2910"/>
      <c r="N37" s="2910"/>
      <c r="O37" s="2968"/>
      <c r="P37" s="3488" t="s">
        <v>2327</v>
      </c>
      <c r="Q37" s="1506" t="str">
        <f t="shared" si="14"/>
        <v>工程地质条件</v>
      </c>
      <c r="R37" s="714" t="s">
        <v>17</v>
      </c>
      <c r="S37" s="715">
        <f t="shared" si="10"/>
        <v>100</v>
      </c>
      <c r="T37" s="714" t="s">
        <v>17</v>
      </c>
      <c r="U37" s="715">
        <f t="shared" si="11"/>
        <v>100</v>
      </c>
      <c r="V37" s="714" t="s">
        <v>17</v>
      </c>
      <c r="W37" s="715">
        <f t="shared" si="12"/>
        <v>100</v>
      </c>
      <c r="X37" s="1509"/>
      <c r="Y37" s="3488" t="s">
        <v>2327</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88"/>
      <c r="Q38" s="1506">
        <f t="shared" si="14"/>
        <v>111</v>
      </c>
      <c r="R38" s="714" t="s">
        <v>17</v>
      </c>
      <c r="S38" s="715">
        <f t="shared" si="10"/>
        <v>100</v>
      </c>
      <c r="T38" s="714" t="s">
        <v>17</v>
      </c>
      <c r="U38" s="715">
        <f t="shared" si="11"/>
        <v>100</v>
      </c>
      <c r="V38" s="714" t="s">
        <v>17</v>
      </c>
      <c r="W38" s="715">
        <f t="shared" si="12"/>
        <v>100</v>
      </c>
      <c r="X38" s="1509"/>
      <c r="Y38" s="348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88"/>
      <c r="Q39" s="1506">
        <f t="shared" si="14"/>
        <v>111</v>
      </c>
      <c r="R39" s="714" t="s">
        <v>17</v>
      </c>
      <c r="S39" s="715">
        <f t="shared" si="10"/>
        <v>100</v>
      </c>
      <c r="T39" s="714" t="s">
        <v>17</v>
      </c>
      <c r="U39" s="715">
        <f t="shared" si="11"/>
        <v>100</v>
      </c>
      <c r="V39" s="714" t="s">
        <v>17</v>
      </c>
      <c r="W39" s="715">
        <f t="shared" si="12"/>
        <v>100</v>
      </c>
      <c r="X39" s="1509"/>
      <c r="Y39" s="3488"/>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88"/>
      <c r="Q40" s="1506">
        <f t="shared" si="14"/>
        <v>111</v>
      </c>
      <c r="R40" s="717" t="s">
        <v>17</v>
      </c>
      <c r="S40" s="718">
        <f t="shared" si="10"/>
        <v>100</v>
      </c>
      <c r="T40" s="717" t="s">
        <v>17</v>
      </c>
      <c r="U40" s="718">
        <f t="shared" si="11"/>
        <v>100</v>
      </c>
      <c r="V40" s="717" t="s">
        <v>17</v>
      </c>
      <c r="W40" s="718">
        <f t="shared" si="12"/>
        <v>100</v>
      </c>
      <c r="X40" s="719"/>
      <c r="Y40" s="3488"/>
      <c r="Z40" s="720">
        <f t="shared" si="13"/>
        <v>111</v>
      </c>
      <c r="AA40" s="1507">
        <f t="shared" si="3"/>
        <v>1</v>
      </c>
      <c r="AB40" s="1507">
        <f t="shared" si="4"/>
        <v>1</v>
      </c>
      <c r="AC40" s="1507">
        <f t="shared" si="5"/>
        <v>1</v>
      </c>
    </row>
    <row r="41" spans="1:31" ht="15">
      <c r="A41" s="438" t="s">
        <v>2482</v>
      </c>
      <c r="B41" s="2137" t="s">
        <v>2562</v>
      </c>
      <c r="C41" s="638" t="s">
        <v>1</v>
      </c>
      <c r="D41" s="440"/>
      <c r="E41" s="441"/>
      <c r="F41" s="442"/>
      <c r="G41" s="443"/>
      <c r="H41" s="444"/>
      <c r="I41" s="441"/>
      <c r="J41" s="444"/>
      <c r="K41" s="723"/>
      <c r="L41" s="2918"/>
      <c r="M41" s="2910"/>
      <c r="N41" s="2910"/>
      <c r="O41" s="2919"/>
      <c r="P41" s="3470" t="str">
        <f>A41</f>
        <v>成交单价</v>
      </c>
      <c r="Q41" s="3470"/>
      <c r="R41" s="3483">
        <f>E41</f>
        <v>0</v>
      </c>
      <c r="S41" s="3483"/>
      <c r="T41" s="3483">
        <f>G41</f>
        <v>0</v>
      </c>
      <c r="U41" s="3483"/>
      <c r="V41" s="3483">
        <f>I41</f>
        <v>0</v>
      </c>
      <c r="W41" s="3483"/>
      <c r="X41" s="699"/>
      <c r="Y41" s="721"/>
      <c r="Z41" s="699"/>
      <c r="AA41" s="699"/>
      <c r="AB41" s="699"/>
      <c r="AC41" s="699"/>
    </row>
    <row r="42" spans="1:31" ht="15.75" thickBot="1">
      <c r="A42" s="445" t="s">
        <v>2431</v>
      </c>
      <c r="B42" s="639"/>
      <c r="C42" s="448" t="e">
        <f>R43</f>
        <v>#DIV/0!</v>
      </c>
      <c r="D42" s="2507" t="s">
        <v>2822</v>
      </c>
      <c r="E42" s="448" t="e">
        <f>R42</f>
        <v>#DIV/0!</v>
      </c>
      <c r="F42" s="2508"/>
      <c r="G42" s="447" t="e">
        <f>T42</f>
        <v>#DIV/0!</v>
      </c>
      <c r="H42" s="2508"/>
      <c r="I42" s="448" t="e">
        <f>V42</f>
        <v>#DIV/0!</v>
      </c>
      <c r="J42" s="2508"/>
      <c r="K42" s="2510">
        <f>F42+H42+J42</f>
        <v>0</v>
      </c>
      <c r="L42" s="2918"/>
      <c r="M42" s="2910"/>
      <c r="N42" s="2910"/>
      <c r="O42" s="2919"/>
      <c r="P42" s="3470" t="str">
        <f>A42</f>
        <v>比较价值（元/平方米）</v>
      </c>
      <c r="Q42" s="3470"/>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75" thickBot="1">
      <c r="A43" s="449" t="s">
        <v>2432</v>
      </c>
      <c r="B43" s="450"/>
      <c r="C43" s="451" t="e">
        <f>R43</f>
        <v>#DIV/0!</v>
      </c>
      <c r="D43" s="451"/>
      <c r="E43" s="451"/>
      <c r="F43" s="451"/>
      <c r="G43" s="451"/>
      <c r="H43" s="451"/>
      <c r="I43" s="451"/>
      <c r="J43" s="451"/>
      <c r="K43" s="724"/>
      <c r="L43" s="2918"/>
      <c r="M43" s="2910"/>
      <c r="N43" s="2910"/>
      <c r="O43" s="2919"/>
      <c r="P43" s="3490" t="str">
        <f>A43</f>
        <v>估价对象XX用房的比较价值（楼面单价，元/平方米）</v>
      </c>
      <c r="Q43" s="3491"/>
      <c r="R43" s="3492" t="e">
        <f>ROUND(IF(D42="简单平均",AVERAGE(R42:W42),R42*F42+T42*H42+V42*J42),0)</f>
        <v>#DIV/0!</v>
      </c>
      <c r="S43" s="3492"/>
      <c r="T43" s="3492"/>
      <c r="U43" s="3492"/>
      <c r="V43" s="3492"/>
      <c r="W43" s="3492"/>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2520</v>
      </c>
      <c r="B50" s="641" t="s">
        <v>2521</v>
      </c>
      <c r="C50" s="2138" t="s">
        <v>2522</v>
      </c>
      <c r="D50" s="2139" t="s">
        <v>2523</v>
      </c>
      <c r="E50" s="642" t="s">
        <v>2524</v>
      </c>
      <c r="F50" s="643" t="s">
        <v>2525</v>
      </c>
      <c r="G50" s="3471" t="s">
        <v>2526</v>
      </c>
      <c r="H50" s="3493"/>
      <c r="I50" s="1510" t="s">
        <v>2563</v>
      </c>
      <c r="J50" s="1510" t="str">
        <f>项目基本情况!F35</f>
        <v>福建省</v>
      </c>
      <c r="K50" s="2141" t="s">
        <v>2528</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2529</v>
      </c>
      <c r="B51" s="645" t="e">
        <f>C43</f>
        <v>#DIV/0!</v>
      </c>
      <c r="C51" s="646">
        <v>1</v>
      </c>
      <c r="D51" s="1075">
        <v>1</v>
      </c>
      <c r="E51" s="646">
        <f>'数据-汇总表'!E8+'数据-汇总表'!E9</f>
        <v>1968.35</v>
      </c>
      <c r="F51" s="647" t="e">
        <f t="shared" ref="F51:F60" si="15">ROUND(B51*E51/10000,0)</f>
        <v>#DIV/0!</v>
      </c>
      <c r="G51" s="3494"/>
      <c r="H51" s="3470"/>
      <c r="I51" s="879">
        <v>1</v>
      </c>
      <c r="J51" s="879">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2530</v>
      </c>
      <c r="B52" s="224" t="e">
        <f>ROUND($C$43*C52*D52,0)</f>
        <v>#DIV/0!</v>
      </c>
      <c r="C52" s="176">
        <f t="shared" ref="C52:C60" si="16">IF($C$50="北京市系数",I52,J52)</f>
        <v>0</v>
      </c>
      <c r="D52" s="1076">
        <v>0.25</v>
      </c>
      <c r="E52" s="650"/>
      <c r="F52" s="647" t="e">
        <f t="shared" si="15"/>
        <v>#DIV/0!</v>
      </c>
      <c r="G52" s="3495" t="s">
        <v>2531</v>
      </c>
      <c r="H52" s="1018">
        <f>项目基本情况!B37</f>
        <v>0</v>
      </c>
      <c r="I52" s="879">
        <f>SUMIF(修正!A45:A56,H52,修正!B45:B56)</f>
        <v>0</v>
      </c>
      <c r="J52" s="880"/>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2532</v>
      </c>
      <c r="B53" s="224" t="e">
        <f t="shared" ref="B53:B60" si="17">ROUND($C$43*C53*D53,0)</f>
        <v>#DIV/0!</v>
      </c>
      <c r="C53" s="176">
        <f t="shared" si="16"/>
        <v>0</v>
      </c>
      <c r="D53" s="1076">
        <v>0.25</v>
      </c>
      <c r="E53" s="650"/>
      <c r="F53" s="647" t="e">
        <f t="shared" si="15"/>
        <v>#DIV/0!</v>
      </c>
      <c r="G53" s="3495"/>
      <c r="H53" s="1018">
        <f>项目基本情况!B37</f>
        <v>0</v>
      </c>
      <c r="I53" s="879">
        <f>SUMIF(修正!A45:A56,H53,修正!C45:C56)</f>
        <v>0</v>
      </c>
      <c r="J53" s="880"/>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2533</v>
      </c>
      <c r="B54" s="224" t="e">
        <f t="shared" si="17"/>
        <v>#DIV/0!</v>
      </c>
      <c r="C54" s="176">
        <f t="shared" si="16"/>
        <v>0</v>
      </c>
      <c r="D54" s="1076">
        <v>0.25</v>
      </c>
      <c r="E54" s="650"/>
      <c r="F54" s="647" t="e">
        <f t="shared" si="15"/>
        <v>#DIV/0!</v>
      </c>
      <c r="G54" s="3495"/>
      <c r="H54" s="1018">
        <f>项目基本情况!B37</f>
        <v>0</v>
      </c>
      <c r="I54" s="879">
        <f>SUMIF(修正!A45:A56,H54,修正!D45:D56)</f>
        <v>0</v>
      </c>
      <c r="J54" s="880"/>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2534</v>
      </c>
      <c r="B55" s="224" t="e">
        <f t="shared" si="17"/>
        <v>#DIV/0!</v>
      </c>
      <c r="C55" s="176">
        <f t="shared" si="16"/>
        <v>0</v>
      </c>
      <c r="D55" s="1076">
        <v>0.25</v>
      </c>
      <c r="E55" s="650"/>
      <c r="F55" s="647" t="e">
        <f t="shared" si="15"/>
        <v>#DIV/0!</v>
      </c>
      <c r="G55" s="3495"/>
      <c r="H55" s="1018">
        <f>项目基本情况!B37</f>
        <v>0</v>
      </c>
      <c r="I55" s="879">
        <f>SUMIF(修正!A45:A56,H55,修正!E45:E56)</f>
        <v>0</v>
      </c>
      <c r="J55" s="880"/>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2535</v>
      </c>
      <c r="B56" s="224" t="e">
        <f t="shared" si="17"/>
        <v>#DIV/0!</v>
      </c>
      <c r="C56" s="176">
        <f t="shared" si="16"/>
        <v>0</v>
      </c>
      <c r="D56" s="1076">
        <v>0.25</v>
      </c>
      <c r="E56" s="223">
        <f>'数据-汇总表'!E11</f>
        <v>0</v>
      </c>
      <c r="F56" s="647" t="e">
        <f t="shared" si="15"/>
        <v>#DIV/0!</v>
      </c>
      <c r="G56" s="2142" t="s">
        <v>2536</v>
      </c>
      <c r="H56" s="1018">
        <f>项目基本情况!C37</f>
        <v>0</v>
      </c>
      <c r="I56" s="879">
        <f>SUMIF(修正!A45:A56,H56,修正!F45:F56)</f>
        <v>0</v>
      </c>
      <c r="J56" s="880"/>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2537</v>
      </c>
      <c r="B57" s="224" t="e">
        <f t="shared" si="17"/>
        <v>#DIV/0!</v>
      </c>
      <c r="C57" s="176">
        <f t="shared" si="16"/>
        <v>0</v>
      </c>
      <c r="D57" s="1076">
        <v>0.25</v>
      </c>
      <c r="E57" s="223">
        <f>'数据-汇总表'!E12</f>
        <v>0</v>
      </c>
      <c r="F57" s="647" t="e">
        <f t="shared" si="15"/>
        <v>#DIV/0!</v>
      </c>
      <c r="G57" s="1023" t="s">
        <v>2538</v>
      </c>
      <c r="H57" s="1018">
        <f>IF(G57="商业",项目基本情况!B37,IF(G57="办公",项目基本情况!C37,IF(G57="住宅",项目基本情况!D37,项目基本情况!E37)))</f>
        <v>0</v>
      </c>
      <c r="I57" s="879">
        <f>SUMIF(修正!A45:A56,H57,修正!G45:G56)</f>
        <v>0</v>
      </c>
      <c r="J57" s="880"/>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2539</v>
      </c>
      <c r="B58" s="224" t="e">
        <f t="shared" si="17"/>
        <v>#DIV/0!</v>
      </c>
      <c r="C58" s="176">
        <f t="shared" si="16"/>
        <v>0</v>
      </c>
      <c r="D58" s="1076">
        <v>0.25</v>
      </c>
      <c r="E58" s="223">
        <f>'数据-汇总表'!E13</f>
        <v>37838.57</v>
      </c>
      <c r="F58" s="647" t="e">
        <f t="shared" si="15"/>
        <v>#DIV/0!</v>
      </c>
      <c r="G58" s="1023" t="s">
        <v>2540</v>
      </c>
      <c r="H58" s="1018">
        <f>IF(G58="商业",项目基本情况!B37,IF(G58="办公",项目基本情况!C37,IF(G58="住宅",项目基本情况!D37,项目基本情况!E37)))</f>
        <v>0</v>
      </c>
      <c r="I58" s="879">
        <f>SUMIF(修正!A45:A56,H58,修正!H45:H56)</f>
        <v>0</v>
      </c>
      <c r="J58" s="880"/>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2541</v>
      </c>
      <c r="B59" s="224" t="e">
        <f t="shared" si="17"/>
        <v>#DIV/0!</v>
      </c>
      <c r="C59" s="176">
        <f t="shared" si="16"/>
        <v>0</v>
      </c>
      <c r="D59" s="1076">
        <v>0.25</v>
      </c>
      <c r="E59" s="223">
        <f>'数据-汇总表'!E14</f>
        <v>0</v>
      </c>
      <c r="F59" s="647" t="e">
        <f t="shared" si="15"/>
        <v>#DIV/0!</v>
      </c>
      <c r="G59" s="2142" t="s">
        <v>2531</v>
      </c>
      <c r="H59" s="1018">
        <f>项目基本情况!B37</f>
        <v>0</v>
      </c>
      <c r="I59" s="879">
        <f>SUMIF(修正!A45:A56,H59,修正!H45:H56)</f>
        <v>0</v>
      </c>
      <c r="J59" s="880"/>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2542</v>
      </c>
      <c r="B60" s="224" t="e">
        <f t="shared" si="17"/>
        <v>#DIV/0!</v>
      </c>
      <c r="C60" s="176">
        <f t="shared" si="16"/>
        <v>0</v>
      </c>
      <c r="D60" s="1076">
        <v>0.25</v>
      </c>
      <c r="E60" s="223">
        <f>'数据-汇总表'!E15</f>
        <v>0</v>
      </c>
      <c r="F60" s="647" t="e">
        <f t="shared" si="15"/>
        <v>#DIV/0!</v>
      </c>
      <c r="G60" s="2143" t="s">
        <v>2536</v>
      </c>
      <c r="H60" s="1028">
        <f>项目基本情况!C37</f>
        <v>0</v>
      </c>
      <c r="I60" s="879">
        <f>SUMIF(修正!A45:A56,H60,修正!H45:H56)</f>
        <v>0</v>
      </c>
      <c r="J60" s="880"/>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2543</v>
      </c>
      <c r="B61" s="652" t="s">
        <v>28</v>
      </c>
      <c r="C61" s="652" t="s">
        <v>29</v>
      </c>
      <c r="D61" s="652" t="s">
        <v>997</v>
      </c>
      <c r="E61" s="652">
        <f>IF(B41="楼面地价",SUM(E51:E60),'数据-汇总表'!D3)</f>
        <v>13546.29</v>
      </c>
      <c r="F61" s="653" t="e">
        <f>IF(B41="楼面地价",SUM(F51:F60),ROUND(C43*E61/10000,0))</f>
        <v>#DIV/0!</v>
      </c>
      <c r="G61" s="1070"/>
      <c r="H61" s="1070"/>
      <c r="I61" s="1070"/>
      <c r="J61" s="1070"/>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8"/>
      <c r="B62" s="1060"/>
      <c r="C62" s="1062"/>
      <c r="D62" s="1058"/>
      <c r="E62" s="1058"/>
      <c r="F62" s="1058"/>
      <c r="G62" s="1058"/>
      <c r="H62" s="1058"/>
      <c r="I62" s="1058"/>
      <c r="J62" s="1058"/>
      <c r="K62" s="1019"/>
      <c r="L62" s="1020"/>
      <c r="M62" s="1058"/>
      <c r="N62" s="1058"/>
      <c r="O62" s="1058"/>
      <c r="P62" s="2919"/>
      <c r="Q62" s="2919"/>
      <c r="R62" s="2919"/>
      <c r="S62" s="2919"/>
      <c r="T62" s="2919"/>
      <c r="U62" s="2919"/>
      <c r="V62" s="2919"/>
      <c r="W62" s="2919"/>
      <c r="X62" s="2919"/>
      <c r="Y62" s="2919"/>
      <c r="Z62" s="2919"/>
      <c r="AA62" s="2919"/>
      <c r="AB62" s="2919"/>
      <c r="AC62" s="2919"/>
      <c r="AD62" s="2919"/>
      <c r="AE62" s="2919"/>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9"/>
      <c r="Q63" s="2919"/>
      <c r="R63" s="2919"/>
      <c r="S63" s="2919"/>
      <c r="T63" s="2919"/>
      <c r="U63" s="2919"/>
      <c r="V63" s="2919"/>
      <c r="W63" s="2919"/>
      <c r="X63" s="2919"/>
      <c r="Y63" s="2919"/>
      <c r="Z63" s="2919"/>
      <c r="AA63" s="2919"/>
      <c r="AB63" s="2919"/>
      <c r="AC63" s="2919"/>
      <c r="AD63" s="2919"/>
      <c r="AE63" s="2919"/>
    </row>
    <row r="64" spans="1:31" ht="21.75" thickBot="1">
      <c r="A64" s="703" t="s">
        <v>2436</v>
      </c>
      <c r="B64" s="699"/>
      <c r="C64" s="704"/>
      <c r="D64" s="704"/>
      <c r="E64" s="704"/>
      <c r="F64" s="705"/>
      <c r="G64" s="705"/>
      <c r="H64" s="704"/>
      <c r="I64" s="704"/>
      <c r="J64" s="704"/>
      <c r="K64" s="706"/>
      <c r="L64" s="707"/>
      <c r="M64" s="704"/>
      <c r="N64" s="704"/>
      <c r="O64" s="1071"/>
      <c r="P64" s="2963"/>
      <c r="Q64" s="2933"/>
      <c r="R64" s="2919"/>
      <c r="S64" s="2919"/>
      <c r="T64" s="2919"/>
      <c r="U64" s="2919"/>
      <c r="V64" s="2919"/>
      <c r="W64" s="2919"/>
      <c r="X64" s="2919"/>
      <c r="Y64" s="2919"/>
      <c r="Z64" s="2919"/>
      <c r="AA64" s="2919"/>
      <c r="AB64" s="2919"/>
      <c r="AC64" s="2919"/>
      <c r="AD64" s="2919"/>
      <c r="AE64" s="2919"/>
    </row>
    <row r="65" spans="1:31" s="465" customFormat="1" ht="15">
      <c r="A65" s="2144" t="s">
        <v>2544</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9" t="s">
        <v>2564</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3"/>
      <c r="Q66" s="2854"/>
      <c r="R66" s="2854"/>
      <c r="S66" s="2854"/>
      <c r="T66" s="2854"/>
      <c r="U66" s="2854"/>
      <c r="V66" s="2854"/>
      <c r="W66" s="2854"/>
      <c r="X66" s="2854"/>
      <c r="Y66" s="2854"/>
      <c r="Z66" s="2854"/>
      <c r="AA66" s="2854"/>
      <c r="AB66" s="2854"/>
      <c r="AC66" s="2854"/>
      <c r="AD66" s="2854"/>
      <c r="AE66" s="2854"/>
    </row>
    <row r="67" spans="1:31" s="113" customFormat="1" ht="15.75" thickBot="1">
      <c r="A67" s="472" t="s">
        <v>2347</v>
      </c>
      <c r="B67" s="473"/>
      <c r="C67" s="474"/>
      <c r="D67" s="475"/>
      <c r="E67" s="475"/>
      <c r="F67" s="475"/>
      <c r="G67" s="475"/>
      <c r="H67" s="475"/>
      <c r="I67" s="475"/>
      <c r="J67" s="475"/>
      <c r="K67" s="475"/>
      <c r="L67" s="475"/>
      <c r="M67" s="476"/>
      <c r="N67" s="476"/>
      <c r="O67" s="477"/>
      <c r="P67" s="2933"/>
      <c r="Q67" s="2933"/>
      <c r="R67" s="2854"/>
      <c r="S67" s="2854"/>
      <c r="T67" s="2854"/>
      <c r="U67" s="2854"/>
      <c r="V67" s="2854"/>
      <c r="W67" s="2854"/>
      <c r="X67" s="2854"/>
      <c r="Y67" s="2854"/>
      <c r="Z67" s="2854"/>
      <c r="AA67" s="2854"/>
      <c r="AB67" s="2854"/>
      <c r="AC67" s="2854"/>
      <c r="AD67" s="2854"/>
      <c r="AE67" s="2854"/>
    </row>
    <row r="68" spans="1:31" s="113" customFormat="1" ht="15">
      <c r="A68" s="478" t="s">
        <v>2312</v>
      </c>
      <c r="B68" s="467"/>
      <c r="C68" s="479" t="s">
        <v>2414</v>
      </c>
      <c r="D68" s="480"/>
      <c r="E68" s="480"/>
      <c r="F68" s="480"/>
      <c r="G68" s="480"/>
      <c r="H68" s="480"/>
      <c r="I68" s="480"/>
      <c r="J68" s="480"/>
      <c r="K68" s="480"/>
      <c r="L68" s="481"/>
      <c r="M68" s="482"/>
      <c r="N68" s="2946"/>
      <c r="O68" s="2946"/>
      <c r="P68" s="2971"/>
      <c r="Q68" s="2933"/>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4"/>
      <c r="S69" s="2854"/>
      <c r="T69" s="2854"/>
      <c r="U69" s="2854"/>
      <c r="V69" s="2854"/>
      <c r="W69" s="2854"/>
      <c r="X69" s="2854"/>
      <c r="Y69" s="2854"/>
      <c r="Z69" s="2854"/>
      <c r="AA69" s="2854"/>
      <c r="AB69" s="2854"/>
      <c r="AC69" s="2854"/>
      <c r="AD69" s="2854"/>
      <c r="AE69" s="2854"/>
    </row>
    <row r="70" spans="1:31">
      <c r="A70" s="484" t="s">
        <v>2350</v>
      </c>
      <c r="B70" s="485" t="s">
        <v>2316</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2319</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2320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2321</v>
      </c>
      <c r="B83" s="485" t="s">
        <v>2467</v>
      </c>
      <c r="C83" s="530" t="s">
        <v>2359</v>
      </c>
      <c r="D83" s="530" t="s">
        <v>2360</v>
      </c>
      <c r="E83" s="530" t="s">
        <v>2361</v>
      </c>
      <c r="F83" s="530" t="s">
        <v>2362</v>
      </c>
      <c r="G83" s="530" t="s">
        <v>2363</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2364</v>
      </c>
      <c r="C85" s="535" t="s">
        <v>2359</v>
      </c>
      <c r="D85" s="535" t="s">
        <v>2360</v>
      </c>
      <c r="E85" s="535" t="s">
        <v>2361</v>
      </c>
      <c r="F85" s="535" t="s">
        <v>2362</v>
      </c>
      <c r="G85" s="535" t="s">
        <v>2363</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2547</v>
      </c>
      <c r="C87" s="530" t="s">
        <v>2359</v>
      </c>
      <c r="D87" s="530" t="s">
        <v>2360</v>
      </c>
      <c r="E87" s="530" t="s">
        <v>2361</v>
      </c>
      <c r="F87" s="530" t="s">
        <v>2362</v>
      </c>
      <c r="G87" s="530" t="s">
        <v>2363</v>
      </c>
      <c r="H87" s="535"/>
      <c r="I87" s="535"/>
      <c r="J87" s="535"/>
      <c r="K87" s="535"/>
      <c r="L87" s="654"/>
      <c r="M87" s="578"/>
      <c r="N87" s="2946"/>
      <c r="O87" s="2946"/>
      <c r="P87" s="2972"/>
      <c r="Q87" s="2933"/>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4"/>
      <c r="S88" s="2854"/>
      <c r="T88" s="2854"/>
      <c r="U88" s="2854"/>
      <c r="V88" s="2854"/>
      <c r="W88" s="2854"/>
      <c r="X88" s="2854"/>
      <c r="Y88" s="2854"/>
      <c r="Z88" s="2854"/>
      <c r="AA88" s="2854"/>
      <c r="AB88" s="2854"/>
      <c r="AC88" s="2854"/>
      <c r="AD88" s="2854"/>
      <c r="AE88" s="2854"/>
    </row>
    <row r="89" spans="1:31" s="113" customFormat="1" ht="27.75" thickTop="1">
      <c r="A89" s="536"/>
      <c r="B89" s="495" t="s">
        <v>2548</v>
      </c>
      <c r="C89" s="530" t="s">
        <v>2359</v>
      </c>
      <c r="D89" s="530" t="s">
        <v>2360</v>
      </c>
      <c r="E89" s="530" t="s">
        <v>2361</v>
      </c>
      <c r="F89" s="530" t="s">
        <v>2362</v>
      </c>
      <c r="G89" s="530" t="s">
        <v>2363</v>
      </c>
      <c r="H89" s="535"/>
      <c r="I89" s="535"/>
      <c r="J89" s="535"/>
      <c r="K89" s="535"/>
      <c r="L89" s="535"/>
      <c r="M89" s="578"/>
      <c r="N89" s="2946"/>
      <c r="O89" s="2946"/>
      <c r="P89" s="2972"/>
      <c r="Q89" s="2933"/>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4"/>
      <c r="S90" s="2854"/>
      <c r="T90" s="2854"/>
      <c r="U90" s="2854"/>
      <c r="V90" s="2854"/>
      <c r="W90" s="2854"/>
      <c r="X90" s="2854"/>
      <c r="Y90" s="2854"/>
      <c r="Z90" s="2854"/>
      <c r="AA90" s="2854"/>
      <c r="AB90" s="2854"/>
      <c r="AC90" s="2854"/>
      <c r="AD90" s="2854"/>
      <c r="AE90" s="2854"/>
    </row>
    <row r="91" spans="1:31" s="430" customFormat="1" ht="15.75" thickTop="1">
      <c r="A91" s="510"/>
      <c r="B91" s="495" t="s">
        <v>2416</v>
      </c>
      <c r="C91" s="530" t="s">
        <v>2359</v>
      </c>
      <c r="D91" s="530" t="s">
        <v>2360</v>
      </c>
      <c r="E91" s="530" t="s">
        <v>2361</v>
      </c>
      <c r="F91" s="530" t="s">
        <v>2362</v>
      </c>
      <c r="G91" s="530" t="s">
        <v>2363</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2565</v>
      </c>
      <c r="C93" s="616" t="s">
        <v>2437</v>
      </c>
      <c r="D93" s="616" t="s">
        <v>2438</v>
      </c>
      <c r="E93" s="616" t="s">
        <v>2439</v>
      </c>
      <c r="F93" s="616" t="s">
        <v>2440</v>
      </c>
      <c r="G93" s="616" t="s">
        <v>2441</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2549</v>
      </c>
      <c r="D95" s="496" t="s">
        <v>2550</v>
      </c>
      <c r="E95" s="496" t="s">
        <v>2551</v>
      </c>
      <c r="F95" s="496" t="s">
        <v>2552</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2453</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2512</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2325</v>
      </c>
      <c r="B107" s="485" t="s">
        <v>2553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2554</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2556</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2557</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2566</v>
      </c>
      <c r="B1" s="203"/>
      <c r="C1" s="207" t="s">
        <v>2567</v>
      </c>
      <c r="D1" s="348">
        <f>SUM(D29:D30,D33:D39)</f>
        <v>0</v>
      </c>
      <c r="E1" s="2150"/>
      <c r="F1" s="2150"/>
      <c r="G1" s="2150"/>
      <c r="H1" s="2150"/>
      <c r="I1" s="2150"/>
      <c r="J1" s="2150"/>
      <c r="K1" s="1252"/>
      <c r="L1" s="2151" t="s">
        <v>2568</v>
      </c>
      <c r="M1" s="994">
        <f>SUMPRODUCT((区片价!B5:B9=I2)*(区片价!C3:F3=E2)*(区片价!C5:F9))</f>
        <v>0</v>
      </c>
      <c r="N1" s="997">
        <f>SUMPRODUCT((因素修正幅度!B5:B9=I2)*(因素修正幅度!C3:F3=E2)*(因素修正幅度!C5:F9))</f>
        <v>0</v>
      </c>
      <c r="O1" s="2152"/>
      <c r="P1" s="2152"/>
      <c r="Q1" s="1252"/>
      <c r="R1" s="1346" t="s">
        <v>2569</v>
      </c>
      <c r="S1" s="1346" t="s">
        <v>2570</v>
      </c>
      <c r="T1" s="1346" t="s">
        <v>2571</v>
      </c>
      <c r="U1" s="1346" t="s">
        <v>2572</v>
      </c>
      <c r="V1" s="1346" t="s">
        <v>2573</v>
      </c>
      <c r="W1" s="1350"/>
      <c r="X1" s="1350"/>
      <c r="Y1" s="1350"/>
      <c r="Z1" s="1350"/>
      <c r="AA1" s="1350"/>
      <c r="AB1" s="1350"/>
      <c r="AC1" s="1351"/>
      <c r="AD1" s="1352"/>
      <c r="AE1" s="1352"/>
      <c r="AF1" s="1352"/>
      <c r="AG1" s="1352"/>
      <c r="AH1" s="1352"/>
      <c r="AI1" s="1352"/>
      <c r="AJ1" s="1353"/>
    </row>
    <row r="2" spans="1:36" ht="15.75">
      <c r="A2" s="207" t="s">
        <v>2574</v>
      </c>
      <c r="B2" s="210" t="e">
        <f>C26</f>
        <v>#DIV/0!</v>
      </c>
      <c r="C2" s="2154" t="s">
        <v>2575</v>
      </c>
      <c r="D2" s="2155" t="s">
        <v>2576</v>
      </c>
      <c r="E2" s="2156"/>
      <c r="F2" s="2155" t="s">
        <v>2577</v>
      </c>
      <c r="G2" s="2157">
        <f>IF(E2="商业",项目基本情况!B37,IF(E2="办公",项目基本情况!C37,IF(E2="住宅",项目基本情况!D37,项目基本情况!E37)))</f>
        <v>0</v>
      </c>
      <c r="H2" s="2155" t="s">
        <v>2578</v>
      </c>
      <c r="I2" s="2157">
        <f>IF(E2="商业",项目基本情况!B38,IF(E2="办公",项目基本情况!C38,IF(E2="住宅",项目基本情况!D38,项目基本情况!E38)))</f>
        <v>0</v>
      </c>
      <c r="J2" s="2158"/>
      <c r="K2" s="1252"/>
      <c r="L2" s="2159" t="s">
        <v>2579</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2580</v>
      </c>
      <c r="B3" s="210" t="e">
        <f>ROUND(B2*10000/D1,0)</f>
        <v>#DIV/0!</v>
      </c>
      <c r="C3" s="2154" t="s">
        <v>2581</v>
      </c>
      <c r="D3" s="2155" t="s">
        <v>2582</v>
      </c>
      <c r="E3" s="2160"/>
      <c r="F3" s="2161" t="s">
        <v>2583</v>
      </c>
      <c r="G3" s="855">
        <f>IF(F3="宗地容积率",'数据-汇总表'!I4,IF(F3="估价对象容积率",'数据-汇总表'!I6,'数据-汇总表'!I7))</f>
        <v>2.33</v>
      </c>
      <c r="H3" s="175" t="s">
        <v>2584</v>
      </c>
      <c r="I3" s="881"/>
      <c r="J3" s="2158" t="s">
        <v>2585</v>
      </c>
      <c r="K3" s="1252"/>
      <c r="L3" s="2159" t="s">
        <v>2586</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72"/>
      <c r="B4" s="3573"/>
      <c r="C4" s="3573"/>
      <c r="D4" s="3574"/>
      <c r="E4" s="3574"/>
      <c r="F4" s="3574"/>
      <c r="G4" s="3574"/>
      <c r="H4" s="3574"/>
      <c r="I4" s="3574"/>
      <c r="J4" s="3575"/>
      <c r="K4" s="1252"/>
      <c r="L4" s="2159" t="s">
        <v>2587</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2588</v>
      </c>
      <c r="C5" s="856" t="e">
        <f>ROUND(IF(E2="商业",C6*C7+C16,(IF(E2="住宅",C6*C12+C16,C6+C16))),0)</f>
        <v>#DIV/0!</v>
      </c>
      <c r="D5" s="1493" t="e">
        <f>ROUND(C6+C16,0)</f>
        <v>#DIV/0!</v>
      </c>
      <c r="E5" s="1493"/>
      <c r="F5" s="2164"/>
      <c r="G5" s="2165"/>
      <c r="H5" s="2165"/>
      <c r="I5" s="2165"/>
      <c r="J5" s="2166"/>
      <c r="K5" s="2167"/>
      <c r="L5" s="2159" t="s">
        <v>2589</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2590</v>
      </c>
      <c r="B6" s="2173" t="s">
        <v>2591</v>
      </c>
      <c r="C6" s="857">
        <f>SUMIF(L1:L12,G2,M1:M12)</f>
        <v>0</v>
      </c>
      <c r="D6" s="2174" t="s">
        <v>2592</v>
      </c>
      <c r="E6" s="2175"/>
      <c r="F6" s="2175"/>
      <c r="G6" s="2176"/>
      <c r="H6" s="2176"/>
      <c r="I6" s="2176"/>
      <c r="J6" s="2177"/>
      <c r="K6" s="1538"/>
      <c r="L6" s="2159" t="s">
        <v>2593</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53" t="str">
        <f>IF(E2="商业",IF(C8="不临58条商业街","",2),"")</f>
        <v/>
      </c>
      <c r="B7" s="2178" t="s">
        <v>2594</v>
      </c>
      <c r="C7" s="858" t="e">
        <f>IF(C8="不临58条商业街",1,ROUND(1+(1.6*E8+1.2*E9+0.8*E10+0.4*E11)*C9,4))</f>
        <v>#DIV/0!</v>
      </c>
      <c r="D7" s="2179" t="s">
        <v>2595</v>
      </c>
      <c r="E7" s="882"/>
      <c r="F7" s="2180"/>
      <c r="G7" s="2181"/>
      <c r="H7" s="2181"/>
      <c r="I7" s="2181"/>
      <c r="J7" s="2182"/>
      <c r="K7" s="1538"/>
      <c r="L7" s="2159" t="s">
        <v>2596</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2597</v>
      </c>
      <c r="X7" s="1348">
        <f>G2</f>
        <v>0</v>
      </c>
      <c r="Y7" s="1348" t="s">
        <v>2598</v>
      </c>
      <c r="Z7" s="1349">
        <f>G3</f>
        <v>2.33</v>
      </c>
      <c r="AA7" s="1350"/>
      <c r="AB7" s="1350"/>
      <c r="AC7" s="1351"/>
      <c r="AD7" s="1352"/>
      <c r="AE7" s="1352"/>
      <c r="AF7" s="1352"/>
      <c r="AG7" s="1352"/>
      <c r="AH7" s="1352"/>
      <c r="AI7" s="1352"/>
      <c r="AJ7" s="1353"/>
    </row>
    <row r="8" spans="1:36" ht="15">
      <c r="A8" s="3576"/>
      <c r="B8" s="175" t="s">
        <v>2599</v>
      </c>
      <c r="C8" s="2183"/>
      <c r="D8" s="859" t="s">
        <v>139</v>
      </c>
      <c r="E8" s="860" t="e">
        <f>ROUND(C11/E7,4)</f>
        <v>#DIV/0!</v>
      </c>
      <c r="F8" s="2184" t="s">
        <v>2600</v>
      </c>
      <c r="G8" s="2185"/>
      <c r="H8" s="2185"/>
      <c r="I8" s="2185"/>
      <c r="J8" s="2186"/>
      <c r="K8" s="1252"/>
      <c r="L8" s="2159" t="s">
        <v>2601</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9" t="s">
        <v>2602</v>
      </c>
      <c r="X8" s="3570"/>
      <c r="Y8" s="1354" t="s">
        <v>2603</v>
      </c>
      <c r="Z8" s="1354" t="s">
        <v>2604</v>
      </c>
      <c r="AA8" s="1354" t="s">
        <v>2605</v>
      </c>
      <c r="AB8" s="1354" t="s">
        <v>2606</v>
      </c>
      <c r="AC8" s="1354" t="s">
        <v>2607</v>
      </c>
      <c r="AD8" s="1354" t="s">
        <v>2608</v>
      </c>
      <c r="AE8" s="1354" t="s">
        <v>2609</v>
      </c>
      <c r="AF8" s="1354" t="s">
        <v>2610</v>
      </c>
      <c r="AG8" s="1354" t="s">
        <v>2611</v>
      </c>
      <c r="AH8" s="1354" t="s">
        <v>2612</v>
      </c>
      <c r="AI8" s="1354" t="s">
        <v>2613</v>
      </c>
      <c r="AJ8" s="1354" t="s">
        <v>2614</v>
      </c>
    </row>
    <row r="9" spans="1:36" ht="15">
      <c r="A9" s="3576"/>
      <c r="B9" s="175" t="s">
        <v>2615</v>
      </c>
      <c r="C9" s="861">
        <f>SUMIF(修正!C59:C119,C8,修正!E59:E119)</f>
        <v>0</v>
      </c>
      <c r="D9" s="176" t="s">
        <v>140</v>
      </c>
      <c r="E9" s="176" t="e">
        <f>ROUND(C11/E7,4)</f>
        <v>#DIV/0!</v>
      </c>
      <c r="F9" s="2184" t="s">
        <v>2616</v>
      </c>
      <c r="G9" s="2185"/>
      <c r="H9" s="2185"/>
      <c r="I9" s="2185"/>
      <c r="J9" s="2186"/>
      <c r="K9" s="1252"/>
      <c r="L9" s="2159" t="s">
        <v>2617</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71" t="s">
        <v>2618</v>
      </c>
      <c r="X9" s="1355" t="s">
        <v>2619</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6"/>
      <c r="B10" s="175" t="s">
        <v>2620</v>
      </c>
      <c r="C10" s="176">
        <f>SUMIF(修正!C59:C119,C8,修正!F59:F119)</f>
        <v>0</v>
      </c>
      <c r="D10" s="176" t="s">
        <v>141</v>
      </c>
      <c r="E10" s="176" t="e">
        <f>ROUND(C11/E7,4)</f>
        <v>#DIV/0!</v>
      </c>
      <c r="F10" s="2184" t="s">
        <v>2621</v>
      </c>
      <c r="G10" s="2185"/>
      <c r="H10" s="2185"/>
      <c r="I10" s="2185"/>
      <c r="J10" s="2186"/>
      <c r="K10" s="1252"/>
      <c r="L10" s="2159" t="s">
        <v>2622</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7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6"/>
      <c r="B11" s="2187" t="s">
        <v>2623</v>
      </c>
      <c r="C11" s="862">
        <f>C10/4</f>
        <v>0</v>
      </c>
      <c r="D11" s="862" t="s">
        <v>142</v>
      </c>
      <c r="E11" s="862" t="e">
        <f>ROUND(C11/E7,4)</f>
        <v>#DIV/0!</v>
      </c>
      <c r="F11" s="2188" t="s">
        <v>2624</v>
      </c>
      <c r="G11" s="2189"/>
      <c r="H11" s="2189"/>
      <c r="I11" s="2189"/>
      <c r="J11" s="2190"/>
      <c r="K11" s="1252"/>
      <c r="L11" s="2159" t="s">
        <v>2625</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71" t="s">
        <v>2626</v>
      </c>
      <c r="X11" s="1358" t="s">
        <v>2627</v>
      </c>
      <c r="Y11" s="1359">
        <f>$G$3</f>
        <v>2.33</v>
      </c>
      <c r="Z11" s="1359">
        <f t="shared" ref="Z11:AJ11" si="3">$G$3</f>
        <v>2.33</v>
      </c>
      <c r="AA11" s="1359">
        <f t="shared" si="3"/>
        <v>2.33</v>
      </c>
      <c r="AB11" s="1359">
        <f t="shared" si="3"/>
        <v>2.33</v>
      </c>
      <c r="AC11" s="1359">
        <f t="shared" si="3"/>
        <v>2.33</v>
      </c>
      <c r="AD11" s="1359">
        <f t="shared" si="3"/>
        <v>2.33</v>
      </c>
      <c r="AE11" s="1359">
        <f t="shared" si="3"/>
        <v>2.33</v>
      </c>
      <c r="AF11" s="1359">
        <f t="shared" si="3"/>
        <v>2.33</v>
      </c>
      <c r="AG11" s="1359">
        <f t="shared" si="3"/>
        <v>2.33</v>
      </c>
      <c r="AH11" s="1359">
        <f t="shared" si="3"/>
        <v>2.33</v>
      </c>
      <c r="AI11" s="1359">
        <f t="shared" si="3"/>
        <v>2.33</v>
      </c>
      <c r="AJ11" s="1359">
        <f t="shared" si="3"/>
        <v>2.33</v>
      </c>
    </row>
    <row r="12" spans="1:36" ht="25.5" thickBot="1">
      <c r="A12" s="3553" t="s">
        <v>2628</v>
      </c>
      <c r="B12" s="2191" t="s">
        <v>2629</v>
      </c>
      <c r="C12" s="858">
        <f>ROUND(C15*D15*E15*F15*G15*H15*I15*J15,4)</f>
        <v>1</v>
      </c>
      <c r="D12" s="2192" t="s">
        <v>2630</v>
      </c>
      <c r="E12" s="2193"/>
      <c r="F12" s="2193"/>
      <c r="G12" s="2194"/>
      <c r="H12" s="2194"/>
      <c r="I12" s="2194"/>
      <c r="J12" s="2195"/>
      <c r="K12" s="1252"/>
      <c r="L12" s="2196" t="s">
        <v>2631</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71"/>
      <c r="X12" s="1360" t="s">
        <v>2632</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7"/>
      <c r="B13" s="2197" t="s">
        <v>2633</v>
      </c>
      <c r="C13" s="2198" t="s">
        <v>2634</v>
      </c>
      <c r="D13" s="1504" t="s">
        <v>2635</v>
      </c>
      <c r="E13" s="1504" t="s">
        <v>2636</v>
      </c>
      <c r="F13" s="30" t="s">
        <v>2637</v>
      </c>
      <c r="G13" s="2199" t="s">
        <v>2638</v>
      </c>
      <c r="H13" s="2199" t="s">
        <v>2638</v>
      </c>
      <c r="I13" s="2199" t="s">
        <v>2638</v>
      </c>
      <c r="J13" s="2200" t="s">
        <v>2638</v>
      </c>
      <c r="K13" s="1252"/>
      <c r="L13" s="1252"/>
      <c r="M13" s="1252"/>
      <c r="N13" s="1252"/>
      <c r="O13" s="1252"/>
      <c r="P13" s="1252"/>
      <c r="Q13" s="1252"/>
      <c r="R13" s="1346">
        <v>12</v>
      </c>
      <c r="S13" s="1347"/>
      <c r="T13" s="1346" t="e">
        <f t="shared" si="0"/>
        <v>#DIV/0!</v>
      </c>
      <c r="U13" s="1347"/>
      <c r="V13" s="1346" t="e">
        <f t="shared" si="1"/>
        <v>#DIV/0!</v>
      </c>
      <c r="W13" s="3571"/>
      <c r="X13" s="1360"/>
      <c r="Y13" s="1357">
        <f>(-0.163*(Y12^2)-0.59*Y12+7617)*(10^(-4))/Y11</f>
        <v>0.32690987124463522</v>
      </c>
      <c r="Z13" s="1357">
        <f t="shared" ref="Z13:AJ13" si="5">(-0.163*(Z12^2)-0.59*Z12+7617)*(10^(-4))/Z11</f>
        <v>0.32690987124463522</v>
      </c>
      <c r="AA13" s="1357">
        <f t="shared" si="5"/>
        <v>0.32690987124463522</v>
      </c>
      <c r="AB13" s="1357">
        <f t="shared" si="5"/>
        <v>0.32690987124463522</v>
      </c>
      <c r="AC13" s="1357">
        <f t="shared" si="5"/>
        <v>0.32690987124463522</v>
      </c>
      <c r="AD13" s="1357">
        <f t="shared" si="5"/>
        <v>0.32690987124463522</v>
      </c>
      <c r="AE13" s="1357">
        <f t="shared" si="5"/>
        <v>0.32690987124463522</v>
      </c>
      <c r="AF13" s="1357">
        <f t="shared" si="5"/>
        <v>0.32690987124463522</v>
      </c>
      <c r="AG13" s="1357">
        <f t="shared" si="5"/>
        <v>0.32690987124463522</v>
      </c>
      <c r="AH13" s="1357">
        <f t="shared" si="5"/>
        <v>0.32690987124463522</v>
      </c>
      <c r="AI13" s="1357">
        <f t="shared" si="5"/>
        <v>0.32690987124463522</v>
      </c>
      <c r="AJ13" s="1357">
        <f t="shared" si="5"/>
        <v>0.32690987124463522</v>
      </c>
    </row>
    <row r="14" spans="1:36" ht="15">
      <c r="A14" s="3577"/>
      <c r="B14" s="2201"/>
      <c r="C14" s="2202"/>
      <c r="D14" s="2203"/>
      <c r="E14" s="2203"/>
      <c r="F14" s="2204"/>
      <c r="G14" s="2205" t="s">
        <v>2639</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5"/>
      <c r="AE14" s="2985"/>
      <c r="AF14" s="2985"/>
      <c r="AG14" s="2985"/>
      <c r="AH14" s="2985"/>
      <c r="AI14" s="2985"/>
      <c r="AJ14" s="2986"/>
    </row>
    <row r="15" spans="1:36" ht="15.75" thickBot="1">
      <c r="A15" s="3578"/>
      <c r="B15" s="2209" t="s">
        <v>2640</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5"/>
      <c r="AE15" s="2985"/>
      <c r="AF15" s="2985"/>
      <c r="AG15" s="2985"/>
      <c r="AH15" s="2985"/>
      <c r="AI15" s="2985"/>
      <c r="AJ15" s="2986"/>
    </row>
    <row r="16" spans="1:36" ht="24.6" customHeight="1">
      <c r="A16" s="3553" t="s">
        <v>2645</v>
      </c>
      <c r="B16" s="2178" t="s">
        <v>2646</v>
      </c>
      <c r="C16" s="2340" t="e">
        <f>ROUND(IF(F17="与级别开发程度一致",0,(G17-E17)/C17),0)</f>
        <v>#DIV/0!</v>
      </c>
      <c r="D16" s="3566" t="s">
        <v>2650</v>
      </c>
      <c r="E16" s="3567"/>
      <c r="F16" s="3566" t="s">
        <v>2647</v>
      </c>
      <c r="G16" s="3567"/>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5"/>
      <c r="AE16" s="2985"/>
      <c r="AF16" s="2985"/>
      <c r="AG16" s="2985"/>
      <c r="AH16" s="2985"/>
      <c r="AI16" s="2985"/>
      <c r="AJ16" s="2986"/>
    </row>
    <row r="17" spans="1:37" ht="13.5" thickBot="1">
      <c r="A17" s="3554"/>
      <c r="B17" s="2351" t="s">
        <v>2649</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2652</v>
      </c>
      <c r="C18" s="2347">
        <f>SUMIF(修正!C18:C39,E3,修正!E18:E39)</f>
        <v>0</v>
      </c>
      <c r="D18" s="2348"/>
      <c r="E18" s="2349"/>
      <c r="F18" s="2349"/>
      <c r="G18" s="2349"/>
      <c r="H18" s="2349"/>
      <c r="I18" s="2349"/>
      <c r="J18" s="2350"/>
      <c r="K18" s="1259"/>
      <c r="L18" s="2984"/>
      <c r="M18" s="2984"/>
      <c r="N18" s="2984"/>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4"/>
    </row>
    <row r="19" spans="1:37" s="2171" customFormat="1" ht="27.75" thickBot="1">
      <c r="A19" s="2215" t="s">
        <v>809</v>
      </c>
      <c r="B19" s="2216" t="s">
        <v>2653</v>
      </c>
      <c r="C19" s="863" t="e">
        <f>ROUND(IF(H19="按公示增长率计算",SUMPRODUCT((地价!A3:A37=YEAR(G19)&amp;"-"&amp;ROUNDUP(MONTH(G19)/3,0))*(地价!X2:AB2=E2)*(地价!X3:AB37)),IF(H19="地价指数",M20/M19,(1+I19)^O19)),4)</f>
        <v>#VALUE!</v>
      </c>
      <c r="D19" s="2220" t="s">
        <v>2654</v>
      </c>
      <c r="E19" s="864">
        <v>41640</v>
      </c>
      <c r="F19" s="2220" t="s">
        <v>2655</v>
      </c>
      <c r="G19" s="865">
        <f>'数据-取费表'!B2</f>
        <v>44623</v>
      </c>
      <c r="H19" s="2221"/>
      <c r="I19" s="866" t="str">
        <f>IF(H19="季度增幅（自定义）",SUMIF(N21:N24,E2,O21:O24),"")</f>
        <v/>
      </c>
      <c r="J19" s="2218"/>
      <c r="K19" s="1259"/>
      <c r="L19" s="2222" t="s">
        <v>2656</v>
      </c>
      <c r="M19" s="1468">
        <f>ROUND(SUMIF(地价!B2:F2,E2,地价!B37:F37),0)</f>
        <v>0</v>
      </c>
      <c r="N19" s="2223" t="s">
        <v>2657</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7"/>
      <c r="AH19" s="2309"/>
      <c r="AI19" s="2988"/>
      <c r="AJ19" s="2988"/>
      <c r="AK19" s="2224"/>
    </row>
    <row r="20" spans="1:37" s="2171" customFormat="1" ht="27.75" thickBot="1">
      <c r="A20" s="2225" t="s">
        <v>810</v>
      </c>
      <c r="B20" s="2226" t="s">
        <v>2658</v>
      </c>
      <c r="C20" s="868" t="e">
        <f>ROUND(POWER(1+G20,J20-I20)*(POWER(1+G20,I20)-1)/(POWER(1+G20,J20)-1),4)</f>
        <v>#DIV/0!</v>
      </c>
      <c r="D20" s="2227" t="s">
        <v>2659</v>
      </c>
      <c r="E20" s="1475">
        <f>存贷款利率!E20/100</f>
        <v>4.3499999999999997E-2</v>
      </c>
      <c r="F20" s="2227" t="s">
        <v>2651</v>
      </c>
      <c r="G20" s="873">
        <f>SUMIF(M26:P26,E2,M28:P28)</f>
        <v>0</v>
      </c>
      <c r="H20" s="2227" t="s">
        <v>2660</v>
      </c>
      <c r="I20" s="874" t="e">
        <f>SUMIF('数据-取费表'!C6:C15,E2,'数据-取费表'!F6:F15)/COUNTIF('数据-取费表'!C6:C15,E2)</f>
        <v>#DIV/0!</v>
      </c>
      <c r="J20" s="875">
        <f>IF(E2="住宅",70,IF(E2="商业",40,50))</f>
        <v>50</v>
      </c>
      <c r="K20" s="1259"/>
      <c r="L20" s="2228" t="s">
        <v>2661</v>
      </c>
      <c r="M20" s="1469">
        <f>ROUND(SUMPRODUCT((地价!A4:A37=YEAR(G19)&amp;"-"&amp;ROUNDUP(MONTH(G19)/3,0))*(地价!B2:F2=E2)*(地价!B4:F37)),0)</f>
        <v>0</v>
      </c>
      <c r="N20" s="2229" t="s">
        <v>2662</v>
      </c>
      <c r="O20" s="2230" t="s">
        <v>2663</v>
      </c>
      <c r="P20" s="2231" t="s">
        <v>2664</v>
      </c>
      <c r="Q20" s="2984"/>
      <c r="R20" s="1258"/>
      <c r="S20" s="1258"/>
      <c r="T20" s="1253"/>
      <c r="U20" s="1253"/>
      <c r="V20" s="1253"/>
      <c r="W20" s="1252"/>
      <c r="X20" s="1252"/>
      <c r="Y20" s="1252"/>
      <c r="Z20" s="1259"/>
      <c r="AA20" s="1259"/>
      <c r="AB20" s="1259"/>
      <c r="AC20" s="1259"/>
      <c r="AD20" s="1259"/>
      <c r="AE20" s="1259"/>
      <c r="AF20" s="1259"/>
      <c r="AG20" s="2984"/>
      <c r="AH20" s="2984"/>
      <c r="AI20" s="2984"/>
      <c r="AJ20" s="2984"/>
    </row>
    <row r="21" spans="1:37" s="2171" customFormat="1" ht="15">
      <c r="A21" s="2232" t="s">
        <v>811</v>
      </c>
      <c r="B21" s="2233" t="s">
        <v>2665</v>
      </c>
      <c r="C21" s="876">
        <f>IF(B21="容积率修正",IF(G3&lt;=10,D22,J22),C23)</f>
        <v>0</v>
      </c>
      <c r="D21" s="2234"/>
      <c r="E21" s="2234"/>
      <c r="F21" s="2234"/>
      <c r="G21" s="2234"/>
      <c r="H21" s="2234"/>
      <c r="I21" s="2234"/>
      <c r="J21" s="2235"/>
      <c r="K21" s="1259"/>
      <c r="L21" s="2984"/>
      <c r="M21" s="2984"/>
      <c r="N21" s="2236" t="s">
        <v>2666</v>
      </c>
      <c r="O21" s="1307"/>
      <c r="P21" s="1308">
        <f>SUMPRODUCT((地价!A3:A37=YEAR(G19)&amp;"-"&amp;ROUNDUP(MONTH(G19)/3,0))*(地价!AD2:AH2=N21)*(地价!AD3:AH37))</f>
        <v>1.0200000000000001E-2</v>
      </c>
      <c r="Q21" s="2984"/>
      <c r="R21" s="1258"/>
      <c r="S21" s="1258"/>
      <c r="T21" s="1253"/>
      <c r="U21" s="1253"/>
      <c r="V21" s="1253"/>
      <c r="W21" s="1252"/>
      <c r="X21" s="1252"/>
      <c r="Y21" s="1252"/>
      <c r="Z21" s="1259"/>
      <c r="AA21" s="1259"/>
      <c r="AB21" s="1259"/>
      <c r="AC21" s="1259"/>
      <c r="AD21" s="1259"/>
      <c r="AE21" s="1259"/>
      <c r="AF21" s="1259"/>
      <c r="AG21" s="2984"/>
      <c r="AH21" s="2984"/>
      <c r="AI21" s="2984"/>
      <c r="AJ21" s="2984"/>
    </row>
    <row r="22" spans="1:37" s="2171" customFormat="1" ht="14.25">
      <c r="A22" s="2110" t="s">
        <v>2667</v>
      </c>
      <c r="B22" s="2237" t="s">
        <v>2668</v>
      </c>
      <c r="C22" s="1506" t="s">
        <v>2669</v>
      </c>
      <c r="D22" s="1506">
        <f>IF(E22=G22,F22,IF(G3&lt;=10,ROUND(F22+(H22-F22)*(G3-E22)/(G22-E22),4),"——"))</f>
        <v>0</v>
      </c>
      <c r="E22" s="855">
        <f>ROUNDDOWN(G3,1)</f>
        <v>2.2999999999999998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4"/>
      <c r="M22" s="2984"/>
      <c r="N22" s="2236" t="s">
        <v>2670</v>
      </c>
      <c r="O22" s="1307"/>
      <c r="P22" s="1308">
        <f>SUMPRODUCT((地价!A3:A37=YEAR(G19)&amp;"-"&amp;ROUNDUP(MONTH(G19)/3,0))*(地价!AD2:AH2=N22)*(地价!AD3:AH37))</f>
        <v>1.0200000000000001E-2</v>
      </c>
      <c r="Q22" s="2984"/>
      <c r="R22" s="1258"/>
      <c r="S22" s="1258"/>
      <c r="T22" s="1253"/>
      <c r="U22" s="1253"/>
      <c r="V22" s="1253"/>
      <c r="W22" s="1252"/>
      <c r="X22" s="1252"/>
      <c r="Y22" s="1252"/>
      <c r="Z22" s="1259"/>
      <c r="AA22" s="1259"/>
      <c r="AB22" s="1259"/>
      <c r="AC22" s="1259"/>
      <c r="AD22" s="1259"/>
      <c r="AE22" s="1259"/>
      <c r="AF22" s="1259"/>
      <c r="AG22" s="2984"/>
      <c r="AH22" s="2984"/>
      <c r="AI22" s="2984"/>
      <c r="AJ22" s="2984"/>
    </row>
    <row r="23" spans="1:37" ht="27.75" thickBot="1">
      <c r="A23" s="2110" t="s">
        <v>2671</v>
      </c>
      <c r="B23" s="2238" t="s">
        <v>2672</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2673</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2674</v>
      </c>
      <c r="C24" s="863">
        <f>SUMIF(A45:A88,E2,B45:B88)</f>
        <v>0</v>
      </c>
      <c r="D24" s="2217"/>
      <c r="E24" s="2244"/>
      <c r="F24" s="2244"/>
      <c r="G24" s="2244"/>
      <c r="H24" s="2244"/>
      <c r="I24" s="2244"/>
      <c r="J24" s="2245"/>
      <c r="K24" s="1259"/>
      <c r="L24" s="2984"/>
      <c r="M24" s="2984"/>
      <c r="N24" s="2246" t="s">
        <v>2675</v>
      </c>
      <c r="O24" s="1309"/>
      <c r="P24" s="1310">
        <f>SUMPRODUCT((地价!A3:A37=YEAR(G19)&amp;"-"&amp;ROUNDUP(MONTH(G19)/3,0))*(地价!AD2:AH2=N24)*(地价!AD3:AH37))</f>
        <v>1.18E-2</v>
      </c>
      <c r="Q24" s="2984"/>
      <c r="R24" s="1258"/>
      <c r="S24" s="1258"/>
      <c r="T24" s="1253"/>
      <c r="U24" s="1253"/>
      <c r="V24" s="1253"/>
      <c r="W24" s="1252"/>
      <c r="X24" s="1252"/>
      <c r="Y24" s="1252"/>
      <c r="Z24" s="1259"/>
      <c r="AA24" s="1259"/>
      <c r="AB24" s="1259"/>
      <c r="AC24" s="1259"/>
      <c r="AD24" s="1259"/>
      <c r="AE24" s="1259"/>
      <c r="AF24" s="1259"/>
      <c r="AG24" s="2984"/>
      <c r="AH24" s="2984"/>
      <c r="AI24" s="2984"/>
      <c r="AJ24" s="2984"/>
    </row>
    <row r="25" spans="1:37" ht="15.75" thickBot="1">
      <c r="A25" s="2225" t="s">
        <v>813</v>
      </c>
      <c r="B25" s="2247" t="s">
        <v>2676</v>
      </c>
      <c r="C25" s="869"/>
      <c r="D25" s="2181"/>
      <c r="E25" s="2181"/>
      <c r="F25" s="2248"/>
      <c r="G25" s="2181"/>
      <c r="H25" s="2181"/>
      <c r="I25" s="2181"/>
      <c r="J25" s="2182"/>
      <c r="K25" s="1252"/>
      <c r="L25" s="2152"/>
      <c r="M25" s="2152"/>
      <c r="N25" s="2979" t="s">
        <v>2677</v>
      </c>
      <c r="O25" s="2980"/>
      <c r="P25" s="2981">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2678</v>
      </c>
      <c r="C26" s="2511" t="e">
        <f>IF(B21="容积率修正",E29+SUM(E33:E39),SUM(V2:V16)+SUM(E33:E39))</f>
        <v>#DIV/0!</v>
      </c>
      <c r="D26" s="2250"/>
      <c r="E26" s="2206"/>
      <c r="F26" s="2251"/>
      <c r="G26" s="2206"/>
      <c r="H26" s="2206"/>
      <c r="I26" s="2206"/>
      <c r="J26" s="2252"/>
      <c r="K26" s="1252"/>
      <c r="L26" s="2982" t="s">
        <v>2576</v>
      </c>
      <c r="M26" s="2179" t="s">
        <v>2641</v>
      </c>
      <c r="N26" s="2179" t="s">
        <v>2642</v>
      </c>
      <c r="O26" s="2179" t="s">
        <v>2643</v>
      </c>
      <c r="P26" s="2983" t="s">
        <v>2644</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2679</v>
      </c>
      <c r="C27" s="870" t="e">
        <f>E30+SUM(I33:I39)</f>
        <v>#DIV/0!</v>
      </c>
      <c r="D27" s="2254"/>
      <c r="E27" s="2255"/>
      <c r="F27" s="2256"/>
      <c r="G27" s="2255"/>
      <c r="H27" s="2255"/>
      <c r="I27" s="2255"/>
      <c r="J27" s="2257"/>
      <c r="K27" s="1252"/>
      <c r="L27" s="2212" t="s">
        <v>2648</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2680</v>
      </c>
      <c r="C28" s="2260" t="s">
        <v>2681</v>
      </c>
      <c r="D28" s="2260" t="s">
        <v>2682</v>
      </c>
      <c r="E28" s="2261" t="s">
        <v>2683</v>
      </c>
      <c r="F28" s="2262"/>
      <c r="G28" s="2194"/>
      <c r="H28" s="2194"/>
      <c r="I28" s="2194"/>
      <c r="J28" s="2195"/>
      <c r="K28" s="1252"/>
      <c r="L28" s="2213" t="s">
        <v>2651</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2684</v>
      </c>
      <c r="C29" s="180" t="e">
        <f>ROUND(C5*C18*C19*C20*C21*C24,0)</f>
        <v>#DIV/0!</v>
      </c>
      <c r="D29" s="2265"/>
      <c r="E29" s="879" t="e">
        <f>ROUND(C29*D29/10000,0)</f>
        <v>#DIV/0!</v>
      </c>
      <c r="F29" s="2266" t="s">
        <v>2685</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2686</v>
      </c>
      <c r="C30" s="193" t="e">
        <f>ROUND(IF(E2="工业",C29*M39,C29*M38),0)</f>
        <v>#DIV/0!</v>
      </c>
      <c r="D30" s="2271"/>
      <c r="E30" s="879" t="e">
        <f>ROUND(C30*D30/10000,0)</f>
        <v>#DIV/0!</v>
      </c>
      <c r="F30" s="2272" t="s">
        <v>2687</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2688</v>
      </c>
      <c r="C31" s="2277" t="s">
        <v>2689</v>
      </c>
      <c r="D31" s="2194"/>
      <c r="E31" s="2277"/>
      <c r="F31" s="2277"/>
      <c r="G31" s="2192" t="s">
        <v>2690</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2681</v>
      </c>
      <c r="D32" s="455" t="s">
        <v>2682</v>
      </c>
      <c r="E32" s="455" t="s">
        <v>2683</v>
      </c>
      <c r="F32" s="348" t="s">
        <v>2691</v>
      </c>
      <c r="G32" s="2280" t="s">
        <v>2681</v>
      </c>
      <c r="H32" s="2280" t="s">
        <v>2682</v>
      </c>
      <c r="I32" s="2280" t="s">
        <v>2683</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63"/>
      <c r="B33" s="2281" t="s">
        <v>2692</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68" t="s">
        <v>2998</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64"/>
      <c r="B34" s="2198" t="s">
        <v>2693</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64"/>
      <c r="B35" s="2198" t="s">
        <v>2694</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6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65"/>
      <c r="B36" s="2198" t="s">
        <v>2695</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65"/>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2696</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2697</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2698</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2699</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2700</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2644</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2805</v>
      </c>
      <c r="C41" s="348" t="e">
        <f>ROUND(POWER(1+E41,H41-G41)*(POWER(1+E41,G41)-1)/(POWER(1+E41,H41)-1),4)</f>
        <v>#DIV/0!</v>
      </c>
      <c r="D41" s="176" t="s">
        <v>2651</v>
      </c>
      <c r="E41" s="2338">
        <f>G20</f>
        <v>0</v>
      </c>
      <c r="F41" s="176" t="s">
        <v>2660</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2701</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2702</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2703</v>
      </c>
      <c r="B47" s="1505" t="s">
        <v>2704</v>
      </c>
      <c r="C47" s="1505" t="s">
        <v>2705</v>
      </c>
      <c r="D47" s="1505" t="s">
        <v>2706</v>
      </c>
      <c r="E47" s="758" t="s">
        <v>2707</v>
      </c>
      <c r="F47" s="2299" t="s">
        <v>2708</v>
      </c>
      <c r="G47" s="1505" t="s">
        <v>754</v>
      </c>
      <c r="H47" s="2300" t="s">
        <v>2709</v>
      </c>
      <c r="I47" s="1505" t="s">
        <v>2710</v>
      </c>
      <c r="J47" s="560" t="s">
        <v>2359</v>
      </c>
      <c r="K47" s="560" t="s">
        <v>2360</v>
      </c>
      <c r="L47" s="560" t="s">
        <v>2361</v>
      </c>
      <c r="M47" s="560" t="s">
        <v>2362</v>
      </c>
      <c r="N47" s="560" t="s">
        <v>2363</v>
      </c>
      <c r="AA47" s="1253"/>
      <c r="AB47" s="1253"/>
      <c r="AC47" s="1253"/>
      <c r="AD47" s="1253"/>
      <c r="AE47" s="1253"/>
      <c r="AF47" s="1253"/>
      <c r="AG47" s="1253"/>
      <c r="AH47" s="1253"/>
      <c r="AI47" s="1253"/>
      <c r="AJ47" s="1253"/>
      <c r="AK47" s="1253"/>
    </row>
    <row r="48" spans="1:37" s="1252" customFormat="1" ht="38.25">
      <c r="A48" s="2298" t="s">
        <v>2711</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2712</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2713</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2714</v>
      </c>
      <c r="B51" s="2303" t="s">
        <v>2715</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2716</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2717</v>
      </c>
      <c r="B53" s="2304" t="s">
        <v>2718</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2719</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2720</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2721</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2722</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2703</v>
      </c>
      <c r="B58" s="1505"/>
      <c r="C58" s="1505" t="s">
        <v>2705</v>
      </c>
      <c r="D58" s="1505" t="s">
        <v>2706</v>
      </c>
      <c r="E58" s="758" t="s">
        <v>2707</v>
      </c>
      <c r="F58" s="2299" t="s">
        <v>2723</v>
      </c>
      <c r="G58" s="1505" t="s">
        <v>754</v>
      </c>
      <c r="H58" s="2300" t="s">
        <v>2709</v>
      </c>
      <c r="I58" s="1505" t="s">
        <v>2710</v>
      </c>
      <c r="J58" s="560" t="s">
        <v>2359</v>
      </c>
      <c r="K58" s="560" t="s">
        <v>2360</v>
      </c>
      <c r="L58" s="560" t="s">
        <v>2361</v>
      </c>
      <c r="M58" s="560" t="s">
        <v>2362</v>
      </c>
      <c r="N58" s="560" t="s">
        <v>2363</v>
      </c>
      <c r="AA58" s="1253"/>
      <c r="AB58" s="1253"/>
      <c r="AC58" s="1253"/>
      <c r="AD58" s="1253"/>
      <c r="AE58" s="1253"/>
      <c r="AF58" s="1253"/>
      <c r="AG58" s="1253"/>
      <c r="AH58" s="1253"/>
      <c r="AI58" s="1253"/>
      <c r="AJ58" s="1253"/>
      <c r="AK58" s="1253"/>
    </row>
    <row r="59" spans="1:37" s="1252" customFormat="1" ht="38.25">
      <c r="A59" s="2298" t="s">
        <v>2724</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2712</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2713</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2714</v>
      </c>
      <c r="B62" s="2303" t="s">
        <v>2715</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2716</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2717</v>
      </c>
      <c r="B64" s="2304" t="s">
        <v>2718</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2719</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2720</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2721</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2725</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2703</v>
      </c>
      <c r="B69" s="1505"/>
      <c r="C69" s="1505" t="s">
        <v>2705</v>
      </c>
      <c r="D69" s="1505" t="s">
        <v>2706</v>
      </c>
      <c r="E69" s="758" t="s">
        <v>2707</v>
      </c>
      <c r="F69" s="2299" t="s">
        <v>2723</v>
      </c>
      <c r="G69" s="1505" t="s">
        <v>754</v>
      </c>
      <c r="H69" s="2300" t="s">
        <v>2709</v>
      </c>
      <c r="I69" s="1505" t="s">
        <v>2710</v>
      </c>
      <c r="J69" s="560" t="s">
        <v>2359</v>
      </c>
      <c r="K69" s="560" t="s">
        <v>2360</v>
      </c>
      <c r="L69" s="560" t="s">
        <v>2361</v>
      </c>
      <c r="M69" s="560" t="s">
        <v>2362</v>
      </c>
      <c r="N69" s="560" t="s">
        <v>2363</v>
      </c>
      <c r="AA69" s="1253"/>
      <c r="AB69" s="1253"/>
      <c r="AC69" s="1253"/>
      <c r="AD69" s="1253"/>
      <c r="AE69" s="1253"/>
      <c r="AF69" s="1253"/>
      <c r="AG69" s="1253"/>
      <c r="AH69" s="1253"/>
      <c r="AI69" s="1253"/>
      <c r="AJ69" s="1253"/>
      <c r="AK69" s="1253"/>
    </row>
    <row r="70" spans="1:37" s="1252" customFormat="1" ht="51">
      <c r="A70" s="2298" t="s">
        <v>2726</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2712</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2713</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2727</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2719</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2720</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2717</v>
      </c>
      <c r="B76" s="2304" t="s">
        <v>2718</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2721</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2728</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2729</v>
      </c>
      <c r="B79" s="2295">
        <f>1+E81</f>
        <v>1</v>
      </c>
      <c r="C79" s="753"/>
      <c r="D79" s="753"/>
      <c r="E79" s="754"/>
      <c r="F79" s="2297"/>
      <c r="G79" s="6"/>
      <c r="H79" s="6"/>
      <c r="I79" s="6"/>
      <c r="J79" s="7"/>
      <c r="K79" s="7"/>
      <c r="L79" s="7"/>
      <c r="M79" s="7"/>
      <c r="N79" s="7"/>
      <c r="Z79" s="2153"/>
      <c r="AA79" s="2219"/>
      <c r="AG79" s="1254"/>
      <c r="AK79" s="2219"/>
    </row>
    <row r="80" spans="1:37" ht="24.75">
      <c r="A80" s="2298" t="s">
        <v>2703</v>
      </c>
      <c r="B80" s="1505"/>
      <c r="C80" s="1505" t="s">
        <v>2705</v>
      </c>
      <c r="D80" s="1505" t="s">
        <v>2706</v>
      </c>
      <c r="E80" s="758" t="s">
        <v>2707</v>
      </c>
      <c r="F80" s="2299" t="s">
        <v>2723</v>
      </c>
      <c r="G80" s="1505" t="s">
        <v>754</v>
      </c>
      <c r="H80" s="2300" t="s">
        <v>2709</v>
      </c>
      <c r="I80" s="1505" t="s">
        <v>2710</v>
      </c>
      <c r="J80" s="560" t="s">
        <v>2359</v>
      </c>
      <c r="K80" s="560" t="s">
        <v>2360</v>
      </c>
      <c r="L80" s="560" t="s">
        <v>2361</v>
      </c>
      <c r="M80" s="560" t="s">
        <v>2362</v>
      </c>
      <c r="N80" s="560" t="s">
        <v>2363</v>
      </c>
      <c r="Z80" s="2153"/>
      <c r="AA80" s="2219"/>
      <c r="AG80" s="1254"/>
      <c r="AK80" s="2219"/>
    </row>
    <row r="81" spans="1:37" ht="38.25">
      <c r="A81" s="2298" t="s">
        <v>2730</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2712</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2713</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2727</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2719</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2720</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2717</v>
      </c>
      <c r="B87" s="2304" t="s">
        <v>2731</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2732</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55" t="s">
        <v>2733</v>
      </c>
      <c r="B90" s="3555"/>
      <c r="C90" s="3555"/>
      <c r="D90" s="3555"/>
      <c r="E90" s="3555"/>
      <c r="F90" s="3555"/>
      <c r="G90" s="3555"/>
      <c r="H90" s="3555"/>
      <c r="I90" s="3555"/>
      <c r="J90" s="3555"/>
      <c r="K90" s="2312"/>
      <c r="L90" s="2312"/>
      <c r="M90" s="2312"/>
      <c r="N90" s="2312"/>
    </row>
    <row r="91" spans="1:37">
      <c r="A91" s="3557" t="s">
        <v>2734</v>
      </c>
      <c r="B91" s="3557" t="s">
        <v>2735</v>
      </c>
      <c r="C91" s="2266" t="s">
        <v>2736</v>
      </c>
      <c r="D91" s="2267"/>
      <c r="E91" s="2267"/>
      <c r="F91" s="2267"/>
      <c r="G91" s="2267"/>
      <c r="H91" s="2267"/>
      <c r="I91" s="2267"/>
      <c r="J91" s="2313"/>
      <c r="K91" s="2314"/>
      <c r="L91" s="2314"/>
      <c r="M91" s="2314"/>
      <c r="N91" s="2314"/>
    </row>
    <row r="92" spans="1:37">
      <c r="A92" s="3557"/>
      <c r="B92" s="3557"/>
      <c r="C92" s="879" t="s">
        <v>2603</v>
      </c>
      <c r="D92" s="879" t="s">
        <v>2604</v>
      </c>
      <c r="E92" s="879" t="s">
        <v>2605</v>
      </c>
      <c r="F92" s="879" t="s">
        <v>2606</v>
      </c>
      <c r="G92" s="879" t="s">
        <v>2607</v>
      </c>
      <c r="H92" s="879" t="s">
        <v>2608</v>
      </c>
      <c r="I92" s="879" t="s">
        <v>2609</v>
      </c>
      <c r="J92" s="879" t="s">
        <v>2610</v>
      </c>
      <c r="K92" s="879" t="s">
        <v>2611</v>
      </c>
      <c r="L92" s="879" t="s">
        <v>2612</v>
      </c>
      <c r="M92" s="879" t="s">
        <v>2613</v>
      </c>
      <c r="N92" s="879" t="s">
        <v>2614</v>
      </c>
    </row>
    <row r="93" spans="1:37">
      <c r="A93" s="3558" t="s">
        <v>2737</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9"/>
      <c r="B99" s="2315" t="s">
        <v>2619</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6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8" t="s">
        <v>2738</v>
      </c>
      <c r="B101" s="2319" t="s">
        <v>2739</v>
      </c>
      <c r="C101" s="2320">
        <f>$G$3</f>
        <v>2.33</v>
      </c>
      <c r="D101" s="2320">
        <f t="shared" ref="D101:N101" si="31">$G$3</f>
        <v>2.33</v>
      </c>
      <c r="E101" s="2320">
        <f t="shared" si="31"/>
        <v>2.33</v>
      </c>
      <c r="F101" s="2320">
        <f t="shared" si="31"/>
        <v>2.33</v>
      </c>
      <c r="G101" s="2320">
        <f t="shared" si="31"/>
        <v>2.33</v>
      </c>
      <c r="H101" s="2320">
        <f t="shared" si="31"/>
        <v>2.33</v>
      </c>
      <c r="I101" s="2320">
        <f t="shared" si="31"/>
        <v>2.33</v>
      </c>
      <c r="J101" s="2320">
        <f t="shared" si="31"/>
        <v>2.33</v>
      </c>
      <c r="K101" s="2320">
        <f t="shared" si="31"/>
        <v>2.33</v>
      </c>
      <c r="L101" s="2320">
        <f t="shared" si="31"/>
        <v>2.33</v>
      </c>
      <c r="M101" s="2320">
        <f t="shared" si="31"/>
        <v>2.33</v>
      </c>
      <c r="N101" s="2320">
        <f t="shared" si="31"/>
        <v>2.33</v>
      </c>
    </row>
    <row r="102" spans="1:14">
      <c r="A102" s="3559"/>
      <c r="B102" s="2315">
        <v>1</v>
      </c>
      <c r="C102" s="2316">
        <f>1.9362/C101</f>
        <v>0.8309871244635193</v>
      </c>
      <c r="D102" s="2316">
        <f>1.9362/D101</f>
        <v>0.8309871244635193</v>
      </c>
      <c r="E102" s="2316">
        <f>1.8629/E101</f>
        <v>0.79952789699570814</v>
      </c>
      <c r="F102" s="2316">
        <f>1.8629/F101</f>
        <v>0.79952789699570814</v>
      </c>
      <c r="G102" s="2316">
        <f>1.8629/G101</f>
        <v>0.79952789699570814</v>
      </c>
      <c r="H102" s="2316">
        <f>1.8629/H101</f>
        <v>0.79952789699570814</v>
      </c>
      <c r="I102" s="2316">
        <f>1.8629/I101</f>
        <v>0.79952789699570814</v>
      </c>
      <c r="J102" s="2316">
        <f>1.942/J101</f>
        <v>0.83347639484978531</v>
      </c>
      <c r="K102" s="2316">
        <f>1.942/K101</f>
        <v>0.83347639484978531</v>
      </c>
      <c r="L102" s="2316">
        <f>1.942/L101</f>
        <v>0.83347639484978531</v>
      </c>
      <c r="M102" s="2316">
        <f>1.942/M101</f>
        <v>0.83347639484978531</v>
      </c>
      <c r="N102" s="2316">
        <f>1.942/N101</f>
        <v>0.83347639484978531</v>
      </c>
    </row>
    <row r="103" spans="1:14">
      <c r="A103" s="3559"/>
      <c r="B103" s="2315">
        <v>2</v>
      </c>
      <c r="C103" s="2316">
        <f>1.4198/C101</f>
        <v>0.60935622317596561</v>
      </c>
      <c r="D103" s="2316">
        <f>1.4198/D101</f>
        <v>0.60935622317596561</v>
      </c>
      <c r="E103" s="2316">
        <f>1.3372/E101</f>
        <v>0.57390557939914155</v>
      </c>
      <c r="F103" s="2316">
        <f>1.3372/F101</f>
        <v>0.57390557939914155</v>
      </c>
      <c r="G103" s="2316">
        <f>1.3372/G101</f>
        <v>0.57390557939914155</v>
      </c>
      <c r="H103" s="2316">
        <f>1.3372/H101</f>
        <v>0.57390557939914155</v>
      </c>
      <c r="I103" s="2316">
        <f>1.3372/I101</f>
        <v>0.57390557939914155</v>
      </c>
      <c r="J103" s="2316">
        <f>1.2799/J101</f>
        <v>0.54931330472103002</v>
      </c>
      <c r="K103" s="2316">
        <f>1.2799/K101</f>
        <v>0.54931330472103002</v>
      </c>
      <c r="L103" s="2316">
        <f>1.2799/L101</f>
        <v>0.54931330472103002</v>
      </c>
      <c r="M103" s="2316">
        <f>1.2799/M101</f>
        <v>0.54931330472103002</v>
      </c>
      <c r="N103" s="2316">
        <f>1.2799/N101</f>
        <v>0.54931330472103002</v>
      </c>
    </row>
    <row r="104" spans="1:14">
      <c r="A104" s="3559"/>
      <c r="B104" s="2315">
        <v>3</v>
      </c>
      <c r="C104" s="2316">
        <f>1.1594/C101</f>
        <v>0.49759656652360512</v>
      </c>
      <c r="D104" s="2316">
        <f>1.1594/D101</f>
        <v>0.49759656652360512</v>
      </c>
      <c r="E104" s="2316">
        <f>1.0788/E101</f>
        <v>0.46300429184549352</v>
      </c>
      <c r="F104" s="2316">
        <f>1.0788/F101</f>
        <v>0.46300429184549352</v>
      </c>
      <c r="G104" s="2316">
        <f>1.0788/G101</f>
        <v>0.46300429184549352</v>
      </c>
      <c r="H104" s="2316">
        <f>1.0788/H101</f>
        <v>0.46300429184549352</v>
      </c>
      <c r="I104" s="2316">
        <f>1.0788/I101</f>
        <v>0.46300429184549352</v>
      </c>
      <c r="J104" s="2316">
        <f>1.0072/J101</f>
        <v>0.43227467811158798</v>
      </c>
      <c r="K104" s="2316">
        <f>1.0072/K101</f>
        <v>0.43227467811158798</v>
      </c>
      <c r="L104" s="2316">
        <f>1.0072/L101</f>
        <v>0.43227467811158798</v>
      </c>
      <c r="M104" s="2316">
        <f>1.0072/M101</f>
        <v>0.43227467811158798</v>
      </c>
      <c r="N104" s="2316">
        <f>1.0072/N101</f>
        <v>0.43227467811158798</v>
      </c>
    </row>
    <row r="105" spans="1:14">
      <c r="A105" s="3559"/>
      <c r="B105" s="2315">
        <v>4</v>
      </c>
      <c r="C105" s="2316">
        <f>0.9622/C101</f>
        <v>0.41296137339055794</v>
      </c>
      <c r="D105" s="2316">
        <f>0.9622/D101</f>
        <v>0.41296137339055794</v>
      </c>
      <c r="E105" s="2316">
        <f>0.8656/E101</f>
        <v>0.37150214592274677</v>
      </c>
      <c r="F105" s="2316">
        <f>0.8656/F101</f>
        <v>0.37150214592274677</v>
      </c>
      <c r="G105" s="2316">
        <f>0.8656/G101</f>
        <v>0.37150214592274677</v>
      </c>
      <c r="H105" s="2316">
        <f>0.8656/H101</f>
        <v>0.37150214592274677</v>
      </c>
      <c r="I105" s="2316">
        <f>0.8656/I101</f>
        <v>0.37150214592274677</v>
      </c>
      <c r="J105" s="2316">
        <f>0.7525/J101</f>
        <v>0.32296137339055792</v>
      </c>
      <c r="K105" s="2316">
        <f>0.7525/K101</f>
        <v>0.32296137339055792</v>
      </c>
      <c r="L105" s="2316">
        <f>0.7525/L101</f>
        <v>0.32296137339055792</v>
      </c>
      <c r="M105" s="2316">
        <f>0.7525/M101</f>
        <v>0.32296137339055792</v>
      </c>
      <c r="N105" s="2316">
        <f>0.7525/N101</f>
        <v>0.32296137339055792</v>
      </c>
    </row>
    <row r="106" spans="1:14">
      <c r="A106" s="3559"/>
      <c r="B106" s="2315">
        <v>5</v>
      </c>
      <c r="C106" s="2316">
        <f>0.8417/C101</f>
        <v>0.36124463519313305</v>
      </c>
      <c r="D106" s="2316">
        <f>0.8417/D101</f>
        <v>0.36124463519313305</v>
      </c>
      <c r="E106" s="2316">
        <f>0.7371/E101</f>
        <v>0.31635193133047207</v>
      </c>
      <c r="F106" s="2316">
        <f>0.7371/F101</f>
        <v>0.31635193133047207</v>
      </c>
      <c r="G106" s="2316">
        <f>0.7371/G101</f>
        <v>0.31635193133047207</v>
      </c>
      <c r="H106" s="2316">
        <f>0.7371/H101</f>
        <v>0.31635193133047207</v>
      </c>
      <c r="I106" s="2316">
        <f>0.7371/I101</f>
        <v>0.31635193133047207</v>
      </c>
      <c r="J106" s="2316">
        <f>0.5659/J101</f>
        <v>0.24287553648068666</v>
      </c>
      <c r="K106" s="2316">
        <f>0.5659/K101</f>
        <v>0.24287553648068666</v>
      </c>
      <c r="L106" s="2316">
        <f>0.5659/L101</f>
        <v>0.24287553648068666</v>
      </c>
      <c r="M106" s="2316">
        <f>0.5659/M101</f>
        <v>0.24287553648068666</v>
      </c>
      <c r="N106" s="2316">
        <f>0.5659/N101</f>
        <v>0.24287553648068666</v>
      </c>
    </row>
    <row r="107" spans="1:14">
      <c r="A107" s="3559"/>
      <c r="B107" s="2315">
        <v>6</v>
      </c>
      <c r="C107" s="2316">
        <f>0.7608/C101</f>
        <v>0.32652360515021461</v>
      </c>
      <c r="D107" s="2316">
        <f>0.7608/D101</f>
        <v>0.32652360515021461</v>
      </c>
      <c r="E107" s="2316">
        <f>0.6482/E101</f>
        <v>0.27819742489270383</v>
      </c>
      <c r="F107" s="2316">
        <f>0.6482/F101</f>
        <v>0.27819742489270383</v>
      </c>
      <c r="G107" s="2316">
        <f>0.6482/G101</f>
        <v>0.27819742489270383</v>
      </c>
      <c r="H107" s="2316">
        <f>0.6482/H101</f>
        <v>0.27819742489270383</v>
      </c>
      <c r="I107" s="2316">
        <f>0.6482/I101</f>
        <v>0.27819742489270383</v>
      </c>
      <c r="J107" s="2316">
        <f>0.4525/J101</f>
        <v>0.194206008583691</v>
      </c>
      <c r="K107" s="2316">
        <f>0.4525/K101</f>
        <v>0.194206008583691</v>
      </c>
      <c r="L107" s="2316">
        <f>0.4525/L101</f>
        <v>0.194206008583691</v>
      </c>
      <c r="M107" s="2316">
        <f>0.4525/M101</f>
        <v>0.194206008583691</v>
      </c>
      <c r="N107" s="2316">
        <f>0.4525/N101</f>
        <v>0.194206008583691</v>
      </c>
    </row>
    <row r="108" spans="1:14">
      <c r="A108" s="3559"/>
      <c r="B108" s="3561" t="s">
        <v>2740</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60"/>
      <c r="B109" s="3562"/>
      <c r="C109" s="2318">
        <f>(-0.163*(C108^2)-0.59*C108+7617)*(10^(-4))/C101</f>
        <v>0.32690987124463522</v>
      </c>
      <c r="D109" s="2318">
        <f>(-0.163*(D108^2)-0.59*D108+7617)*(10^(-4))/D101</f>
        <v>0.32690987124463522</v>
      </c>
      <c r="E109" s="2318">
        <f>(-0.161*(E108^2)-7.509*E108+6533)*(10^(-4))/E101</f>
        <v>0.28038626609442058</v>
      </c>
      <c r="F109" s="2318">
        <f>(-0.161*(F108^2)-7.509*F108+6533)*(10^(-4))/F101</f>
        <v>0.28038626609442058</v>
      </c>
      <c r="G109" s="2318">
        <f>(-0.161*(G108^2)-7.509*G108+6533)*(10^(-4))/G101</f>
        <v>0.28038626609442058</v>
      </c>
      <c r="H109" s="2318">
        <f>(-0.161*(H108^2)-7.509*H108+6533)*(10^(-4))/H101</f>
        <v>0.28038626609442058</v>
      </c>
      <c r="I109" s="2318">
        <f>(-0.161*(I108^2)-7.509*I108+6533)*(10^(-4))/I101</f>
        <v>0.28038626609442058</v>
      </c>
      <c r="J109" s="2318">
        <f>(-0.214*(J108^2)-21.991*J108+4665)*(10^(-4))/J101</f>
        <v>0.20021459227467811</v>
      </c>
      <c r="K109" s="2318">
        <f>(-0.214*(K108^2)-21.991*K108+4665)*(10^(-4))/K101</f>
        <v>0.20021459227467811</v>
      </c>
      <c r="L109" s="2318">
        <f>(-0.214*(L108^2)-21.991*L108+4665)*(10^(-4))/L101</f>
        <v>0.20021459227467811</v>
      </c>
      <c r="M109" s="2318">
        <f>(-0.214*(M108^2)-21.991*M108+4665)*(10^(-4))/M101</f>
        <v>0.20021459227467811</v>
      </c>
      <c r="N109" s="2318">
        <f>(-0.214*(N108^2)-21.991*N108+4665)*(10^(-4))/N101</f>
        <v>0.20021459227467811</v>
      </c>
    </row>
    <row r="110" spans="1:14">
      <c r="A110" s="3556" t="s">
        <v>2741</v>
      </c>
      <c r="B110" s="3556"/>
      <c r="C110" s="3556"/>
      <c r="D110" s="3556"/>
      <c r="E110" s="3556"/>
      <c r="F110" s="3556"/>
      <c r="G110" s="3556"/>
      <c r="H110" s="3556"/>
      <c r="I110" s="3556"/>
      <c r="J110" s="3556"/>
      <c r="K110" s="2321"/>
      <c r="L110" s="2321"/>
      <c r="M110" s="2321"/>
      <c r="N110" s="2321"/>
    </row>
    <row r="112" spans="1:14" ht="13.5" thickBot="1"/>
    <row r="113" spans="1:13" ht="25.5" thickBot="1">
      <c r="A113" s="842" t="s">
        <v>2742</v>
      </c>
      <c r="B113" s="1197">
        <f>G3</f>
        <v>2.33</v>
      </c>
      <c r="C113" s="843" t="s">
        <v>2743</v>
      </c>
      <c r="D113" s="844">
        <f>SUMPRODUCT((A115:A118=F113)*(B114:M114=H113)*B115:M118)</f>
        <v>0</v>
      </c>
      <c r="E113" s="2157" t="s">
        <v>2576</v>
      </c>
      <c r="F113" s="2323">
        <f>E2</f>
        <v>0</v>
      </c>
      <c r="G113" s="2157" t="s">
        <v>2577</v>
      </c>
      <c r="H113" s="2323">
        <f>G2</f>
        <v>0</v>
      </c>
      <c r="I113" s="2157"/>
      <c r="J113" s="2324"/>
      <c r="K113" s="2324"/>
      <c r="L113" s="2324"/>
      <c r="M113" s="2324"/>
    </row>
    <row r="114" spans="1:13">
      <c r="A114" s="847"/>
      <c r="B114" s="2325" t="s">
        <v>2744</v>
      </c>
      <c r="C114" s="2325" t="s">
        <v>2745</v>
      </c>
      <c r="D114" s="2325" t="s">
        <v>2746</v>
      </c>
      <c r="E114" s="2326" t="s">
        <v>2747</v>
      </c>
      <c r="F114" s="2326" t="s">
        <v>2748</v>
      </c>
      <c r="G114" s="2326" t="s">
        <v>2749</v>
      </c>
      <c r="H114" s="2327" t="s">
        <v>2750</v>
      </c>
      <c r="I114" s="2327" t="s">
        <v>2751</v>
      </c>
      <c r="J114" s="2328" t="s">
        <v>2752</v>
      </c>
      <c r="K114" s="2328" t="s">
        <v>2753</v>
      </c>
      <c r="L114" s="2328" t="s">
        <v>2754</v>
      </c>
      <c r="M114" s="2329" t="s">
        <v>2755</v>
      </c>
    </row>
    <row r="115" spans="1:13">
      <c r="A115" s="848" t="s">
        <v>2641</v>
      </c>
      <c r="B115" s="849">
        <f>ROUND(0.9335-0.0094*B113,4)</f>
        <v>0.91159999999999997</v>
      </c>
      <c r="C115" s="849">
        <f>B115</f>
        <v>0.91159999999999997</v>
      </c>
      <c r="D115" s="849">
        <f>ROUND(0.8331-0.0109*B113,4)</f>
        <v>0.80769999999999997</v>
      </c>
      <c r="E115" s="849">
        <f>D115</f>
        <v>0.80769999999999997</v>
      </c>
      <c r="F115" s="849">
        <f>E115</f>
        <v>0.80769999999999997</v>
      </c>
      <c r="G115" s="849">
        <f>F115</f>
        <v>0.80769999999999997</v>
      </c>
      <c r="H115" s="849">
        <f>G115</f>
        <v>0.80769999999999997</v>
      </c>
      <c r="I115" s="849">
        <f>ROUND(0.689-0.0155*B113,4)</f>
        <v>0.65290000000000004</v>
      </c>
      <c r="J115" s="849">
        <f t="shared" ref="J115:M118" si="33">I115</f>
        <v>0.65290000000000004</v>
      </c>
      <c r="K115" s="849">
        <f t="shared" si="33"/>
        <v>0.65290000000000004</v>
      </c>
      <c r="L115" s="849">
        <f t="shared" si="33"/>
        <v>0.65290000000000004</v>
      </c>
      <c r="M115" s="850">
        <f t="shared" si="33"/>
        <v>0.65290000000000004</v>
      </c>
    </row>
    <row r="116" spans="1:13">
      <c r="A116" s="848" t="s">
        <v>2642</v>
      </c>
      <c r="B116" s="849">
        <f>ROUND(0.949-0.012*B113,4)</f>
        <v>0.92100000000000004</v>
      </c>
      <c r="C116" s="849">
        <f>B116</f>
        <v>0.92100000000000004</v>
      </c>
      <c r="D116" s="849">
        <f>ROUND(0.8567-0.013*B113,4)</f>
        <v>0.82640000000000002</v>
      </c>
      <c r="E116" s="849">
        <f t="shared" ref="E116:H117" si="34">D116</f>
        <v>0.82640000000000002</v>
      </c>
      <c r="F116" s="849">
        <f t="shared" si="34"/>
        <v>0.82640000000000002</v>
      </c>
      <c r="G116" s="849">
        <f t="shared" si="34"/>
        <v>0.82640000000000002</v>
      </c>
      <c r="H116" s="849">
        <f t="shared" si="34"/>
        <v>0.82640000000000002</v>
      </c>
      <c r="I116" s="849">
        <f>ROUND(0.7694-0.014*B113,4)</f>
        <v>0.73680000000000001</v>
      </c>
      <c r="J116" s="849">
        <f t="shared" si="33"/>
        <v>0.73680000000000001</v>
      </c>
      <c r="K116" s="849">
        <f t="shared" si="33"/>
        <v>0.73680000000000001</v>
      </c>
      <c r="L116" s="849">
        <f t="shared" si="33"/>
        <v>0.73680000000000001</v>
      </c>
      <c r="M116" s="850">
        <f t="shared" si="33"/>
        <v>0.73680000000000001</v>
      </c>
    </row>
    <row r="117" spans="1:13">
      <c r="A117" s="848" t="s">
        <v>2643</v>
      </c>
      <c r="B117" s="849">
        <f>ROUND(0.8808-0.006*B113,4)</f>
        <v>0.86680000000000001</v>
      </c>
      <c r="C117" s="849">
        <f>B117</f>
        <v>0.86680000000000001</v>
      </c>
      <c r="D117" s="849">
        <f>ROUND(0.8748-0.008*B113,4)</f>
        <v>0.85619999999999996</v>
      </c>
      <c r="E117" s="849">
        <f t="shared" si="34"/>
        <v>0.85619999999999996</v>
      </c>
      <c r="F117" s="849">
        <f t="shared" si="34"/>
        <v>0.85619999999999996</v>
      </c>
      <c r="G117" s="849">
        <f t="shared" si="34"/>
        <v>0.85619999999999996</v>
      </c>
      <c r="H117" s="849">
        <f t="shared" si="34"/>
        <v>0.85619999999999996</v>
      </c>
      <c r="I117" s="849">
        <f>ROUND(0.7412-0.0095*B113,4)</f>
        <v>0.71909999999999996</v>
      </c>
      <c r="J117" s="849">
        <f t="shared" si="33"/>
        <v>0.71909999999999996</v>
      </c>
      <c r="K117" s="849">
        <f t="shared" si="33"/>
        <v>0.71909999999999996</v>
      </c>
      <c r="L117" s="849">
        <f t="shared" si="33"/>
        <v>0.71909999999999996</v>
      </c>
      <c r="M117" s="850">
        <f t="shared" si="33"/>
        <v>0.71909999999999996</v>
      </c>
    </row>
    <row r="118" spans="1:13" ht="13.5" thickBot="1">
      <c r="A118" s="670" t="s">
        <v>2644</v>
      </c>
      <c r="B118" s="851">
        <f>ROUND(0.7275-0.01*B113,4)</f>
        <v>0.70420000000000005</v>
      </c>
      <c r="C118" s="851">
        <f>B118</f>
        <v>0.70420000000000005</v>
      </c>
      <c r="D118" s="851">
        <f>ROUND(0.7043-0.012*B113,4)</f>
        <v>0.67630000000000001</v>
      </c>
      <c r="E118" s="851">
        <f>D118</f>
        <v>0.67630000000000001</v>
      </c>
      <c r="F118" s="851">
        <f>E118</f>
        <v>0.67630000000000001</v>
      </c>
      <c r="G118" s="851">
        <f>ROUND(0.6299-0.0122*B113,4)</f>
        <v>0.60150000000000003</v>
      </c>
      <c r="H118" s="851">
        <f>G118</f>
        <v>0.60150000000000003</v>
      </c>
      <c r="I118" s="851">
        <f>ROUND(0.5667-0.0136*B113,4)</f>
        <v>0.53500000000000003</v>
      </c>
      <c r="J118" s="851">
        <f t="shared" si="33"/>
        <v>0.53500000000000003</v>
      </c>
      <c r="K118" s="851">
        <f t="shared" si="33"/>
        <v>0.53500000000000003</v>
      </c>
      <c r="L118" s="851">
        <f t="shared" si="33"/>
        <v>0.53500000000000003</v>
      </c>
      <c r="M118" s="852">
        <f t="shared" si="33"/>
        <v>0.53500000000000003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9" t="s">
        <v>183</v>
      </c>
      <c r="B18" s="821" t="s">
        <v>560</v>
      </c>
      <c r="C18" s="822" t="s">
        <v>561</v>
      </c>
      <c r="D18" s="823"/>
      <c r="E18" s="821">
        <v>1</v>
      </c>
      <c r="F18" s="824" t="s">
        <v>562</v>
      </c>
      <c r="G18" s="825"/>
      <c r="H18" s="817"/>
      <c r="I18" s="817"/>
    </row>
    <row r="19" spans="1:9" s="826" customFormat="1" ht="19.5" customHeight="1">
      <c r="A19" s="3579"/>
      <c r="B19" s="3579" t="s">
        <v>563</v>
      </c>
      <c r="C19" s="822" t="s">
        <v>564</v>
      </c>
      <c r="D19" s="823"/>
      <c r="E19" s="821">
        <v>0.9</v>
      </c>
      <c r="F19" s="824" t="s">
        <v>565</v>
      </c>
      <c r="G19" s="825"/>
      <c r="H19" s="817"/>
      <c r="I19" s="817"/>
    </row>
    <row r="20" spans="1:9" s="826" customFormat="1" ht="19.5" customHeight="1">
      <c r="A20" s="3579"/>
      <c r="B20" s="3579"/>
      <c r="C20" s="822" t="s">
        <v>566</v>
      </c>
      <c r="D20" s="823"/>
      <c r="E20" s="821">
        <v>1.1000000000000001</v>
      </c>
      <c r="F20" s="824" t="s">
        <v>567</v>
      </c>
      <c r="G20" s="825"/>
      <c r="H20" s="817"/>
      <c r="I20" s="817"/>
    </row>
    <row r="21" spans="1:9" s="826" customFormat="1" ht="19.5" customHeight="1">
      <c r="A21" s="3579"/>
      <c r="B21" s="3579"/>
      <c r="C21" s="822" t="s">
        <v>568</v>
      </c>
      <c r="D21" s="823"/>
      <c r="E21" s="821">
        <v>0.8</v>
      </c>
      <c r="F21" s="824" t="s">
        <v>569</v>
      </c>
      <c r="G21" s="825"/>
      <c r="H21" s="817"/>
      <c r="I21" s="817"/>
    </row>
    <row r="22" spans="1:9" s="826" customFormat="1" ht="19.5" customHeight="1">
      <c r="A22" s="3579"/>
      <c r="B22" s="3579"/>
      <c r="C22" s="822" t="s">
        <v>570</v>
      </c>
      <c r="D22" s="823"/>
      <c r="E22" s="821">
        <v>0.5</v>
      </c>
      <c r="F22" s="824"/>
      <c r="G22" s="825"/>
      <c r="H22" s="817"/>
      <c r="I22" s="817"/>
    </row>
    <row r="23" spans="1:9" s="826" customFormat="1" ht="19.5" customHeight="1">
      <c r="A23" s="3579" t="s">
        <v>184</v>
      </c>
      <c r="B23" s="821" t="s">
        <v>560</v>
      </c>
      <c r="C23" s="822" t="s">
        <v>571</v>
      </c>
      <c r="D23" s="823"/>
      <c r="E23" s="821">
        <v>1</v>
      </c>
      <c r="F23" s="824" t="s">
        <v>572</v>
      </c>
      <c r="G23" s="825"/>
      <c r="H23" s="817"/>
      <c r="I23" s="817"/>
    </row>
    <row r="24" spans="1:9" s="826" customFormat="1" ht="19.5" customHeight="1">
      <c r="A24" s="3579"/>
      <c r="B24" s="3579" t="s">
        <v>563</v>
      </c>
      <c r="C24" s="822" t="s">
        <v>573</v>
      </c>
      <c r="D24" s="823"/>
      <c r="E24" s="821">
        <v>0.5</v>
      </c>
      <c r="F24" s="824"/>
      <c r="G24" s="825"/>
      <c r="H24" s="817"/>
      <c r="I24" s="817"/>
    </row>
    <row r="25" spans="1:9" s="826" customFormat="1" ht="19.5" customHeight="1">
      <c r="A25" s="3579"/>
      <c r="B25" s="3579"/>
      <c r="C25" s="822" t="s">
        <v>574</v>
      </c>
      <c r="D25" s="823"/>
      <c r="E25" s="821">
        <v>1.1000000000000001</v>
      </c>
      <c r="F25" s="824"/>
      <c r="G25" s="825"/>
      <c r="H25" s="817"/>
      <c r="I25" s="817"/>
    </row>
    <row r="26" spans="1:9" s="826" customFormat="1" ht="19.5" customHeight="1">
      <c r="A26" s="3579"/>
      <c r="B26" s="3579"/>
      <c r="C26" s="822" t="s">
        <v>575</v>
      </c>
      <c r="D26" s="823"/>
      <c r="E26" s="821">
        <v>1.1000000000000001</v>
      </c>
      <c r="F26" s="824"/>
      <c r="G26" s="825"/>
      <c r="H26" s="817"/>
      <c r="I26" s="817"/>
    </row>
    <row r="27" spans="1:9" s="826" customFormat="1" ht="19.5" customHeight="1">
      <c r="A27" s="3579"/>
      <c r="B27" s="3579"/>
      <c r="C27" s="822" t="s">
        <v>576</v>
      </c>
      <c r="D27" s="823"/>
      <c r="E27" s="821">
        <v>0.9</v>
      </c>
      <c r="F27" s="824" t="s">
        <v>577</v>
      </c>
      <c r="G27" s="825"/>
      <c r="H27" s="817"/>
      <c r="I27" s="817"/>
    </row>
    <row r="28" spans="1:9" s="826" customFormat="1" ht="19.5" customHeight="1">
      <c r="A28" s="3579"/>
      <c r="B28" s="3579"/>
      <c r="C28" s="822" t="s">
        <v>578</v>
      </c>
      <c r="D28" s="823"/>
      <c r="E28" s="821">
        <v>0.9</v>
      </c>
      <c r="F28" s="824" t="s">
        <v>579</v>
      </c>
      <c r="G28" s="825"/>
      <c r="H28" s="817"/>
      <c r="I28" s="817"/>
    </row>
    <row r="29" spans="1:9" s="826" customFormat="1" ht="19.5" customHeight="1">
      <c r="A29" s="3579"/>
      <c r="B29" s="3579"/>
      <c r="C29" s="822" t="s">
        <v>580</v>
      </c>
      <c r="D29" s="823"/>
      <c r="E29" s="821">
        <v>0.9</v>
      </c>
      <c r="F29" s="824" t="s">
        <v>581</v>
      </c>
      <c r="G29" s="825"/>
      <c r="H29" s="817"/>
      <c r="I29" s="817"/>
    </row>
    <row r="30" spans="1:9" s="826" customFormat="1" ht="19.5" customHeight="1">
      <c r="A30" s="3579"/>
      <c r="B30" s="3579"/>
      <c r="C30" s="822" t="s">
        <v>582</v>
      </c>
      <c r="D30" s="823"/>
      <c r="E30" s="821">
        <v>0.9</v>
      </c>
      <c r="F30" s="824" t="s">
        <v>583</v>
      </c>
      <c r="G30" s="825"/>
      <c r="H30" s="817"/>
      <c r="I30" s="817"/>
    </row>
    <row r="31" spans="1:9" s="826" customFormat="1" ht="19.5" customHeight="1">
      <c r="A31" s="3579"/>
      <c r="B31" s="3579"/>
      <c r="C31" s="822" t="s">
        <v>584</v>
      </c>
      <c r="D31" s="823"/>
      <c r="E31" s="821">
        <v>0.8</v>
      </c>
      <c r="F31" s="824" t="s">
        <v>585</v>
      </c>
      <c r="G31" s="825"/>
      <c r="H31" s="817"/>
      <c r="I31" s="817"/>
    </row>
    <row r="32" spans="1:9" s="826" customFormat="1" ht="19.5" customHeight="1">
      <c r="A32" s="3579"/>
      <c r="B32" s="3579"/>
      <c r="C32" s="822" t="s">
        <v>586</v>
      </c>
      <c r="D32" s="823"/>
      <c r="E32" s="821">
        <v>0.8</v>
      </c>
      <c r="F32" s="824" t="s">
        <v>587</v>
      </c>
      <c r="G32" s="825"/>
      <c r="H32" s="817"/>
      <c r="I32" s="817"/>
    </row>
    <row r="33" spans="1:9" s="826" customFormat="1" ht="19.5" customHeight="1">
      <c r="A33" s="3579" t="s">
        <v>185</v>
      </c>
      <c r="B33" s="821" t="s">
        <v>560</v>
      </c>
      <c r="C33" s="822" t="s">
        <v>588</v>
      </c>
      <c r="D33" s="823"/>
      <c r="E33" s="821">
        <v>1</v>
      </c>
      <c r="F33" s="824" t="s">
        <v>589</v>
      </c>
      <c r="G33" s="825"/>
      <c r="H33" s="817"/>
      <c r="I33" s="817"/>
    </row>
    <row r="34" spans="1:9" s="826" customFormat="1" ht="19.5" customHeight="1">
      <c r="A34" s="3579"/>
      <c r="B34" s="821" t="s">
        <v>563</v>
      </c>
      <c r="C34" s="822" t="s">
        <v>590</v>
      </c>
      <c r="D34" s="823"/>
      <c r="E34" s="821">
        <v>1.5</v>
      </c>
      <c r="F34" s="824" t="s">
        <v>591</v>
      </c>
      <c r="G34" s="825"/>
      <c r="H34" s="817"/>
      <c r="I34" s="817"/>
    </row>
    <row r="35" spans="1:9" s="826" customFormat="1" ht="19.5" customHeight="1">
      <c r="A35" s="3579" t="s">
        <v>186</v>
      </c>
      <c r="B35" s="821" t="s">
        <v>560</v>
      </c>
      <c r="C35" s="822" t="s">
        <v>592</v>
      </c>
      <c r="D35" s="823"/>
      <c r="E35" s="821">
        <v>1</v>
      </c>
      <c r="F35" s="824" t="s">
        <v>593</v>
      </c>
      <c r="G35" s="825"/>
      <c r="H35" s="817"/>
      <c r="I35" s="817"/>
    </row>
    <row r="36" spans="1:9" s="826" customFormat="1" ht="19.5" customHeight="1">
      <c r="A36" s="3579"/>
      <c r="B36" s="3579" t="s">
        <v>563</v>
      </c>
      <c r="C36" s="822" t="s">
        <v>594</v>
      </c>
      <c r="D36" s="823"/>
      <c r="E36" s="821">
        <v>1</v>
      </c>
      <c r="F36" s="824" t="s">
        <v>595</v>
      </c>
      <c r="G36" s="825"/>
      <c r="H36" s="817"/>
      <c r="I36" s="817"/>
    </row>
    <row r="37" spans="1:9" s="826" customFormat="1" ht="19.5" customHeight="1">
      <c r="A37" s="3579"/>
      <c r="B37" s="3579"/>
      <c r="C37" s="822" t="s">
        <v>596</v>
      </c>
      <c r="D37" s="823"/>
      <c r="E37" s="821">
        <v>1.5</v>
      </c>
      <c r="F37" s="824" t="s">
        <v>597</v>
      </c>
      <c r="G37" s="825"/>
      <c r="H37" s="817"/>
      <c r="I37" s="817"/>
    </row>
    <row r="38" spans="1:9" s="826" customFormat="1" ht="19.5" customHeight="1">
      <c r="A38" s="3579"/>
      <c r="B38" s="3579"/>
      <c r="C38" s="822" t="s">
        <v>598</v>
      </c>
      <c r="D38" s="823"/>
      <c r="E38" s="821">
        <v>1</v>
      </c>
      <c r="F38" s="824" t="s">
        <v>599</v>
      </c>
      <c r="G38" s="825"/>
      <c r="H38" s="817"/>
      <c r="I38" s="817"/>
    </row>
    <row r="39" spans="1:9" s="826" customFormat="1" ht="19.5" customHeight="1">
      <c r="A39" s="3579"/>
      <c r="B39" s="35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9" t="s">
        <v>614</v>
      </c>
      <c r="C61" s="757" t="s">
        <v>615</v>
      </c>
      <c r="D61" s="757" t="s">
        <v>616</v>
      </c>
      <c r="E61" s="834">
        <v>0.5</v>
      </c>
      <c r="F61" s="821">
        <v>80</v>
      </c>
    </row>
    <row r="62" spans="1:8" s="817" customFormat="1" ht="24">
      <c r="A62" s="821">
        <v>2</v>
      </c>
      <c r="B62" s="3579"/>
      <c r="C62" s="757" t="s">
        <v>617</v>
      </c>
      <c r="D62" s="757" t="s">
        <v>618</v>
      </c>
      <c r="E62" s="834">
        <v>0.5</v>
      </c>
      <c r="F62" s="821">
        <v>80</v>
      </c>
    </row>
    <row r="63" spans="1:8" s="817" customFormat="1" ht="36">
      <c r="A63" s="821">
        <v>3</v>
      </c>
      <c r="B63" s="3579"/>
      <c r="C63" s="757" t="s">
        <v>619</v>
      </c>
      <c r="D63" s="757" t="s">
        <v>620</v>
      </c>
      <c r="E63" s="834">
        <v>0.5</v>
      </c>
      <c r="F63" s="821">
        <v>80</v>
      </c>
    </row>
    <row r="64" spans="1:8" s="817" customFormat="1" ht="36">
      <c r="A64" s="821">
        <v>4</v>
      </c>
      <c r="B64" s="3579"/>
      <c r="C64" s="757" t="s">
        <v>621</v>
      </c>
      <c r="D64" s="757" t="s">
        <v>622</v>
      </c>
      <c r="E64" s="834">
        <v>0.4</v>
      </c>
      <c r="F64" s="821">
        <v>60</v>
      </c>
    </row>
    <row r="65" spans="1:6" s="817" customFormat="1" ht="36">
      <c r="A65" s="821">
        <v>5</v>
      </c>
      <c r="B65" s="3579"/>
      <c r="C65" s="757" t="s">
        <v>623</v>
      </c>
      <c r="D65" s="757" t="s">
        <v>624</v>
      </c>
      <c r="E65" s="834">
        <v>0.2</v>
      </c>
      <c r="F65" s="821">
        <v>30</v>
      </c>
    </row>
    <row r="66" spans="1:6" s="817" customFormat="1" ht="36">
      <c r="A66" s="821">
        <v>6</v>
      </c>
      <c r="B66" s="3579"/>
      <c r="C66" s="757" t="s">
        <v>625</v>
      </c>
      <c r="D66" s="757" t="s">
        <v>626</v>
      </c>
      <c r="E66" s="834">
        <v>0.3</v>
      </c>
      <c r="F66" s="821">
        <v>50</v>
      </c>
    </row>
    <row r="67" spans="1:6" s="817" customFormat="1" ht="36">
      <c r="A67" s="821">
        <v>7</v>
      </c>
      <c r="B67" s="3579"/>
      <c r="C67" s="757" t="s">
        <v>627</v>
      </c>
      <c r="D67" s="757" t="s">
        <v>628</v>
      </c>
      <c r="E67" s="834">
        <v>0.2</v>
      </c>
      <c r="F67" s="821">
        <v>30</v>
      </c>
    </row>
    <row r="68" spans="1:6" s="817" customFormat="1" ht="36">
      <c r="A68" s="821">
        <v>8</v>
      </c>
      <c r="B68" s="3579"/>
      <c r="C68" s="757" t="s">
        <v>629</v>
      </c>
      <c r="D68" s="757" t="s">
        <v>630</v>
      </c>
      <c r="E68" s="834">
        <v>0.2</v>
      </c>
      <c r="F68" s="821">
        <v>30</v>
      </c>
    </row>
    <row r="69" spans="1:6" s="817" customFormat="1" ht="36">
      <c r="A69" s="821">
        <v>9</v>
      </c>
      <c r="B69" s="3579"/>
      <c r="C69" s="757" t="s">
        <v>631</v>
      </c>
      <c r="D69" s="757" t="s">
        <v>632</v>
      </c>
      <c r="E69" s="834">
        <v>0.2</v>
      </c>
      <c r="F69" s="821">
        <v>30</v>
      </c>
    </row>
    <row r="70" spans="1:6" s="817" customFormat="1" ht="48">
      <c r="A70" s="821">
        <v>10</v>
      </c>
      <c r="B70" s="3579"/>
      <c r="C70" s="757" t="s">
        <v>633</v>
      </c>
      <c r="D70" s="757" t="s">
        <v>634</v>
      </c>
      <c r="E70" s="834">
        <v>0.2</v>
      </c>
      <c r="F70" s="821">
        <v>30</v>
      </c>
    </row>
    <row r="71" spans="1:6" s="817" customFormat="1" ht="48">
      <c r="A71" s="821">
        <v>11</v>
      </c>
      <c r="B71" s="3579"/>
      <c r="C71" s="757" t="s">
        <v>635</v>
      </c>
      <c r="D71" s="757" t="s">
        <v>636</v>
      </c>
      <c r="E71" s="834">
        <v>0.2</v>
      </c>
      <c r="F71" s="821">
        <v>30</v>
      </c>
    </row>
    <row r="72" spans="1:6" s="817" customFormat="1" ht="36">
      <c r="A72" s="821">
        <v>12</v>
      </c>
      <c r="B72" s="3579"/>
      <c r="C72" s="757" t="s">
        <v>637</v>
      </c>
      <c r="D72" s="757" t="s">
        <v>638</v>
      </c>
      <c r="E72" s="834">
        <v>0.5</v>
      </c>
      <c r="F72" s="821">
        <v>80</v>
      </c>
    </row>
    <row r="73" spans="1:6" s="817" customFormat="1" ht="24">
      <c r="A73" s="821">
        <v>13</v>
      </c>
      <c r="B73" s="3579"/>
      <c r="C73" s="757" t="s">
        <v>639</v>
      </c>
      <c r="D73" s="757" t="s">
        <v>640</v>
      </c>
      <c r="E73" s="834">
        <v>0.4</v>
      </c>
      <c r="F73" s="821">
        <v>60</v>
      </c>
    </row>
    <row r="74" spans="1:6" s="817" customFormat="1" ht="24">
      <c r="A74" s="821">
        <v>14</v>
      </c>
      <c r="B74" s="3579"/>
      <c r="C74" s="757" t="s">
        <v>641</v>
      </c>
      <c r="D74" s="757" t="s">
        <v>642</v>
      </c>
      <c r="E74" s="834">
        <v>0.2</v>
      </c>
      <c r="F74" s="821">
        <v>30</v>
      </c>
    </row>
    <row r="75" spans="1:6" s="817" customFormat="1" ht="24">
      <c r="A75" s="821">
        <v>15</v>
      </c>
      <c r="B75" s="3579"/>
      <c r="C75" s="757" t="s">
        <v>643</v>
      </c>
      <c r="D75" s="757" t="s">
        <v>644</v>
      </c>
      <c r="E75" s="834">
        <v>0.2</v>
      </c>
      <c r="F75" s="821">
        <v>30</v>
      </c>
    </row>
    <row r="76" spans="1:6" s="817" customFormat="1" ht="24">
      <c r="A76" s="821">
        <v>16</v>
      </c>
      <c r="B76" s="3579" t="s">
        <v>645</v>
      </c>
      <c r="C76" s="757" t="s">
        <v>646</v>
      </c>
      <c r="D76" s="757" t="s">
        <v>647</v>
      </c>
      <c r="E76" s="834">
        <v>0.5</v>
      </c>
      <c r="F76" s="821">
        <v>80</v>
      </c>
    </row>
    <row r="77" spans="1:6" s="817" customFormat="1" ht="24">
      <c r="A77" s="821">
        <v>17</v>
      </c>
      <c r="B77" s="3579"/>
      <c r="C77" s="757" t="s">
        <v>648</v>
      </c>
      <c r="D77" s="757" t="s">
        <v>649</v>
      </c>
      <c r="E77" s="834">
        <v>0.5</v>
      </c>
      <c r="F77" s="821">
        <v>80</v>
      </c>
    </row>
    <row r="78" spans="1:6" s="817" customFormat="1" ht="24">
      <c r="A78" s="821">
        <v>18</v>
      </c>
      <c r="B78" s="3579"/>
      <c r="C78" s="757" t="s">
        <v>650</v>
      </c>
      <c r="D78" s="757" t="s">
        <v>651</v>
      </c>
      <c r="E78" s="834">
        <v>0.2</v>
      </c>
      <c r="F78" s="821">
        <v>30</v>
      </c>
    </row>
    <row r="79" spans="1:6" s="817" customFormat="1" ht="24">
      <c r="A79" s="821">
        <v>19</v>
      </c>
      <c r="B79" s="3579"/>
      <c r="C79" s="757" t="s">
        <v>652</v>
      </c>
      <c r="D79" s="757" t="s">
        <v>653</v>
      </c>
      <c r="E79" s="834">
        <v>0.5</v>
      </c>
      <c r="F79" s="821">
        <v>80</v>
      </c>
    </row>
    <row r="80" spans="1:6" s="817" customFormat="1" ht="36">
      <c r="A80" s="821">
        <v>20</v>
      </c>
      <c r="B80" s="3579"/>
      <c r="C80" s="757" t="s">
        <v>654</v>
      </c>
      <c r="D80" s="757" t="s">
        <v>655</v>
      </c>
      <c r="E80" s="834">
        <v>0.2</v>
      </c>
      <c r="F80" s="821">
        <v>30</v>
      </c>
    </row>
    <row r="81" spans="1:6" s="817" customFormat="1" ht="36">
      <c r="A81" s="821">
        <v>21</v>
      </c>
      <c r="B81" s="3579"/>
      <c r="C81" s="757" t="s">
        <v>656</v>
      </c>
      <c r="D81" s="757" t="s">
        <v>657</v>
      </c>
      <c r="E81" s="834">
        <v>0.2</v>
      </c>
      <c r="F81" s="821">
        <v>30</v>
      </c>
    </row>
    <row r="82" spans="1:6" s="817" customFormat="1" ht="48">
      <c r="A82" s="821">
        <v>22</v>
      </c>
      <c r="B82" s="3579"/>
      <c r="C82" s="757" t="s">
        <v>658</v>
      </c>
      <c r="D82" s="757" t="s">
        <v>659</v>
      </c>
      <c r="E82" s="834">
        <v>0.2</v>
      </c>
      <c r="F82" s="821">
        <v>30</v>
      </c>
    </row>
    <row r="83" spans="1:6" s="817" customFormat="1" ht="48">
      <c r="A83" s="821">
        <v>23</v>
      </c>
      <c r="B83" s="3579"/>
      <c r="C83" s="757" t="s">
        <v>660</v>
      </c>
      <c r="D83" s="757" t="s">
        <v>661</v>
      </c>
      <c r="E83" s="834">
        <v>0.2</v>
      </c>
      <c r="F83" s="821">
        <v>30</v>
      </c>
    </row>
    <row r="84" spans="1:6" s="817" customFormat="1" ht="36">
      <c r="A84" s="821">
        <v>24</v>
      </c>
      <c r="B84" s="3579"/>
      <c r="C84" s="757" t="s">
        <v>662</v>
      </c>
      <c r="D84" s="757" t="s">
        <v>663</v>
      </c>
      <c r="E84" s="834">
        <v>0.2</v>
      </c>
      <c r="F84" s="821">
        <v>30</v>
      </c>
    </row>
    <row r="85" spans="1:6" s="817" customFormat="1" ht="36">
      <c r="A85" s="821">
        <v>25</v>
      </c>
      <c r="B85" s="3579"/>
      <c r="C85" s="757" t="s">
        <v>664</v>
      </c>
      <c r="D85" s="757" t="s">
        <v>665</v>
      </c>
      <c r="E85" s="834">
        <v>0.5</v>
      </c>
      <c r="F85" s="821">
        <v>80</v>
      </c>
    </row>
    <row r="86" spans="1:6" s="817" customFormat="1" ht="36">
      <c r="A86" s="821">
        <v>26</v>
      </c>
      <c r="B86" s="3579"/>
      <c r="C86" s="757" t="s">
        <v>666</v>
      </c>
      <c r="D86" s="757" t="s">
        <v>667</v>
      </c>
      <c r="E86" s="834">
        <v>0.2</v>
      </c>
      <c r="F86" s="821">
        <v>30</v>
      </c>
    </row>
    <row r="87" spans="1:6" s="817" customFormat="1" ht="36">
      <c r="A87" s="821">
        <v>27</v>
      </c>
      <c r="B87" s="3579"/>
      <c r="C87" s="757" t="s">
        <v>668</v>
      </c>
      <c r="D87" s="757" t="s">
        <v>669</v>
      </c>
      <c r="E87" s="834">
        <v>0.2</v>
      </c>
      <c r="F87" s="821">
        <v>30</v>
      </c>
    </row>
    <row r="88" spans="1:6" s="817" customFormat="1" ht="36">
      <c r="A88" s="821">
        <v>28</v>
      </c>
      <c r="B88" s="3579"/>
      <c r="C88" s="757" t="s">
        <v>670</v>
      </c>
      <c r="D88" s="757" t="s">
        <v>671</v>
      </c>
      <c r="E88" s="834">
        <v>0.2</v>
      </c>
      <c r="F88" s="821">
        <v>30</v>
      </c>
    </row>
    <row r="89" spans="1:6" s="817" customFormat="1" ht="24">
      <c r="A89" s="821">
        <v>29</v>
      </c>
      <c r="B89" s="3579"/>
      <c r="C89" s="757" t="s">
        <v>672</v>
      </c>
      <c r="D89" s="757" t="s">
        <v>673</v>
      </c>
      <c r="E89" s="834">
        <v>0.2</v>
      </c>
      <c r="F89" s="821">
        <v>30</v>
      </c>
    </row>
    <row r="90" spans="1:6" s="817" customFormat="1" ht="24">
      <c r="A90" s="821">
        <v>30</v>
      </c>
      <c r="B90" s="3579"/>
      <c r="C90" s="757" t="s">
        <v>674</v>
      </c>
      <c r="D90" s="757" t="s">
        <v>675</v>
      </c>
      <c r="E90" s="834">
        <v>0.2</v>
      </c>
      <c r="F90" s="821">
        <v>30</v>
      </c>
    </row>
    <row r="91" spans="1:6" s="817" customFormat="1" ht="36">
      <c r="A91" s="821">
        <v>31</v>
      </c>
      <c r="B91" s="3579"/>
      <c r="C91" s="757" t="s">
        <v>676</v>
      </c>
      <c r="D91" s="757" t="s">
        <v>677</v>
      </c>
      <c r="E91" s="834">
        <v>0.2</v>
      </c>
      <c r="F91" s="821">
        <v>30</v>
      </c>
    </row>
    <row r="92" spans="1:6" s="817" customFormat="1" ht="24">
      <c r="A92" s="821">
        <v>32</v>
      </c>
      <c r="B92" s="3579" t="s">
        <v>678</v>
      </c>
      <c r="C92" s="821" t="s">
        <v>679</v>
      </c>
      <c r="D92" s="757" t="s">
        <v>680</v>
      </c>
      <c r="E92" s="834">
        <v>0.2</v>
      </c>
      <c r="F92" s="821">
        <v>30</v>
      </c>
    </row>
    <row r="93" spans="1:6" s="817" customFormat="1" ht="36">
      <c r="A93" s="821">
        <v>33</v>
      </c>
      <c r="B93" s="3579"/>
      <c r="C93" s="821" t="s">
        <v>681</v>
      </c>
      <c r="D93" s="757" t="s">
        <v>682</v>
      </c>
      <c r="E93" s="834">
        <v>0.2</v>
      </c>
      <c r="F93" s="821">
        <v>30</v>
      </c>
    </row>
    <row r="94" spans="1:6" s="817" customFormat="1" ht="48">
      <c r="A94" s="821">
        <v>34</v>
      </c>
      <c r="B94" s="3579"/>
      <c r="C94" s="821" t="s">
        <v>683</v>
      </c>
      <c r="D94" s="757" t="s">
        <v>684</v>
      </c>
      <c r="E94" s="834">
        <v>0.2</v>
      </c>
      <c r="F94" s="821">
        <v>30</v>
      </c>
    </row>
    <row r="95" spans="1:6" s="817" customFormat="1" ht="36">
      <c r="A95" s="821">
        <v>35</v>
      </c>
      <c r="B95" s="3579"/>
      <c r="C95" s="821" t="s">
        <v>685</v>
      </c>
      <c r="D95" s="757" t="s">
        <v>686</v>
      </c>
      <c r="E95" s="834">
        <v>0.2</v>
      </c>
      <c r="F95" s="821">
        <v>30</v>
      </c>
    </row>
    <row r="96" spans="1:6" s="817" customFormat="1" ht="48">
      <c r="A96" s="821">
        <v>36</v>
      </c>
      <c r="B96" s="3579"/>
      <c r="C96" s="757" t="s">
        <v>687</v>
      </c>
      <c r="D96" s="757" t="s">
        <v>688</v>
      </c>
      <c r="E96" s="834">
        <v>0.2</v>
      </c>
      <c r="F96" s="821">
        <v>30</v>
      </c>
    </row>
    <row r="97" spans="1:6" s="817" customFormat="1" ht="36">
      <c r="A97" s="821">
        <v>37</v>
      </c>
      <c r="B97" s="3579"/>
      <c r="C97" s="821" t="s">
        <v>689</v>
      </c>
      <c r="D97" s="757" t="s">
        <v>690</v>
      </c>
      <c r="E97" s="834">
        <v>0.2</v>
      </c>
      <c r="F97" s="821">
        <v>30</v>
      </c>
    </row>
    <row r="98" spans="1:6" s="817" customFormat="1" ht="36">
      <c r="A98" s="821">
        <v>38</v>
      </c>
      <c r="B98" s="3579"/>
      <c r="C98" s="821" t="s">
        <v>691</v>
      </c>
      <c r="D98" s="757" t="s">
        <v>692</v>
      </c>
      <c r="E98" s="834">
        <v>0.2</v>
      </c>
      <c r="F98" s="821">
        <v>30</v>
      </c>
    </row>
    <row r="99" spans="1:6" s="817" customFormat="1" ht="36">
      <c r="A99" s="821">
        <v>39</v>
      </c>
      <c r="B99" s="3579" t="s">
        <v>693</v>
      </c>
      <c r="C99" s="821" t="s">
        <v>694</v>
      </c>
      <c r="D99" s="757" t="s">
        <v>695</v>
      </c>
      <c r="E99" s="834">
        <v>0.3</v>
      </c>
      <c r="F99" s="821">
        <v>50</v>
      </c>
    </row>
    <row r="100" spans="1:6" s="817" customFormat="1" ht="24">
      <c r="A100" s="821">
        <v>40</v>
      </c>
      <c r="B100" s="3579"/>
      <c r="C100" s="821" t="s">
        <v>696</v>
      </c>
      <c r="D100" s="757" t="s">
        <v>697</v>
      </c>
      <c r="E100" s="834">
        <v>0.2</v>
      </c>
      <c r="F100" s="821">
        <v>30</v>
      </c>
    </row>
    <row r="101" spans="1:6" s="817" customFormat="1" ht="36">
      <c r="A101" s="821">
        <v>41</v>
      </c>
      <c r="B101" s="35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9" t="s">
        <v>708</v>
      </c>
      <c r="C105" s="821" t="s">
        <v>709</v>
      </c>
      <c r="D105" s="757" t="s">
        <v>710</v>
      </c>
      <c r="E105" s="834">
        <v>0.2</v>
      </c>
      <c r="F105" s="821">
        <v>30</v>
      </c>
    </row>
    <row r="106" spans="1:6" s="817" customFormat="1" ht="36">
      <c r="A106" s="821">
        <v>46</v>
      </c>
      <c r="B106" s="3579"/>
      <c r="C106" s="821" t="s">
        <v>711</v>
      </c>
      <c r="D106" s="757" t="s">
        <v>712</v>
      </c>
      <c r="E106" s="834">
        <v>0.2</v>
      </c>
      <c r="F106" s="821">
        <v>30</v>
      </c>
    </row>
    <row r="107" spans="1:6" s="817" customFormat="1" ht="36">
      <c r="A107" s="821">
        <v>47</v>
      </c>
      <c r="B107" s="3579" t="s">
        <v>713</v>
      </c>
      <c r="C107" s="821" t="s">
        <v>714</v>
      </c>
      <c r="D107" s="757" t="s">
        <v>715</v>
      </c>
      <c r="E107" s="834">
        <v>0.3</v>
      </c>
      <c r="F107" s="821">
        <v>50</v>
      </c>
    </row>
    <row r="108" spans="1:6" s="817" customFormat="1" ht="36">
      <c r="A108" s="821">
        <v>48</v>
      </c>
      <c r="B108" s="35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9" t="s">
        <v>724</v>
      </c>
      <c r="C111" s="821" t="s">
        <v>725</v>
      </c>
      <c r="D111" s="757" t="s">
        <v>726</v>
      </c>
      <c r="E111" s="834">
        <v>0.2</v>
      </c>
      <c r="F111" s="821">
        <v>30</v>
      </c>
    </row>
    <row r="112" spans="1:6" s="817" customFormat="1" ht="24">
      <c r="A112" s="821">
        <v>52</v>
      </c>
      <c r="B112" s="3579"/>
      <c r="C112" s="821" t="s">
        <v>727</v>
      </c>
      <c r="D112" s="757" t="s">
        <v>728</v>
      </c>
      <c r="E112" s="834">
        <v>0.2</v>
      </c>
      <c r="F112" s="821">
        <v>30</v>
      </c>
    </row>
    <row r="113" spans="1:6" s="817" customFormat="1" ht="24">
      <c r="A113" s="821">
        <v>53</v>
      </c>
      <c r="B113" s="35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9" t="s">
        <v>737</v>
      </c>
      <c r="C116" s="821" t="s">
        <v>738</v>
      </c>
      <c r="D116" s="757" t="s">
        <v>739</v>
      </c>
      <c r="E116" s="834">
        <v>0.2</v>
      </c>
      <c r="F116" s="821">
        <v>30</v>
      </c>
    </row>
    <row r="117" spans="1:6" ht="36">
      <c r="A117" s="821">
        <v>57</v>
      </c>
      <c r="B117" s="35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2764</v>
      </c>
      <c r="B1" s="2332"/>
      <c r="C1" s="2332"/>
      <c r="D1" s="2332"/>
      <c r="E1" s="2332"/>
      <c r="F1" s="2989"/>
      <c r="G1" s="2989"/>
      <c r="H1" s="2989"/>
      <c r="I1" s="2989"/>
      <c r="J1" s="2989"/>
      <c r="K1" s="2989"/>
      <c r="L1" s="2989"/>
      <c r="M1" s="2989"/>
      <c r="N1" s="2989"/>
      <c r="O1" s="2989"/>
      <c r="P1" s="2989"/>
    </row>
    <row r="2" spans="1:16" ht="15.75">
      <c r="A2" s="2330" t="s">
        <v>2756</v>
      </c>
      <c r="B2" s="2794" t="e">
        <f ca="1">SUMIF(B6:B13,"&lt;&gt;#ref!",B6:B13)</f>
        <v>#DIV/0!</v>
      </c>
      <c r="C2" s="2330" t="s">
        <v>2757</v>
      </c>
      <c r="D2" s="2330" t="s">
        <v>2758</v>
      </c>
      <c r="E2" s="2804">
        <f ca="1">SUMIF(E6:E13,"&lt;&gt;#ref!",E6:E13)</f>
        <v>0</v>
      </c>
      <c r="F2" s="2989"/>
      <c r="G2" s="2989"/>
      <c r="H2" s="2989"/>
      <c r="I2" s="2989"/>
      <c r="J2" s="2989"/>
      <c r="K2" s="2989"/>
      <c r="L2" s="2989"/>
      <c r="M2" s="2989"/>
      <c r="N2" s="2989"/>
      <c r="O2" s="2989"/>
      <c r="P2" s="2989"/>
    </row>
    <row r="3" spans="1:16" ht="15.75">
      <c r="A3" s="2330" t="s">
        <v>2759</v>
      </c>
      <c r="B3" s="2794" t="e">
        <f ca="1">ROUND(B2*10000/E2,0)</f>
        <v>#DIV/0!</v>
      </c>
      <c r="C3" s="2330" t="s">
        <v>2765</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800" t="s">
        <v>2760</v>
      </c>
      <c r="B5" s="2802" t="s">
        <v>2761</v>
      </c>
      <c r="C5" s="2331"/>
      <c r="D5" s="2989"/>
      <c r="E5" s="2803" t="s">
        <v>2762</v>
      </c>
      <c r="F5" s="2989"/>
      <c r="G5" s="2989"/>
      <c r="H5" s="2989"/>
      <c r="I5" s="2989"/>
      <c r="J5" s="2989"/>
      <c r="K5" s="2989"/>
      <c r="L5" s="2989"/>
      <c r="M5" s="2989"/>
      <c r="N5" s="2989"/>
      <c r="O5" s="2989"/>
      <c r="P5" s="2989"/>
    </row>
    <row r="6" spans="1:16" ht="15.75">
      <c r="A6" s="2801" t="s">
        <v>2763</v>
      </c>
      <c r="B6" s="2794" t="e">
        <f ca="1">SUMIF(INDIRECT("'"&amp;A6&amp;"'"&amp;"!A:A"),"总价",INDIRECT("'"&amp;A6&amp;"'"&amp;"!B:B"))</f>
        <v>#DIV/0!</v>
      </c>
      <c r="C6" s="2330" t="s">
        <v>2757</v>
      </c>
      <c r="D6" s="2989"/>
      <c r="E6" s="2804">
        <f ca="1">SUMIF(INDIRECT("'"&amp;A6&amp;"'"&amp;"!C:C"),"建筑面积",INDIRECT("'"&amp;A6&amp;"'"&amp;"!D:D"))</f>
        <v>0</v>
      </c>
      <c r="F6" s="2989"/>
      <c r="G6" s="2989"/>
      <c r="H6" s="2989"/>
      <c r="I6" s="2989"/>
      <c r="J6" s="2989"/>
      <c r="K6" s="2989"/>
      <c r="L6" s="2989"/>
      <c r="M6" s="2989"/>
      <c r="N6" s="2989"/>
      <c r="O6" s="2989"/>
      <c r="P6" s="2989"/>
    </row>
    <row r="7" spans="1:16" ht="15.75">
      <c r="A7" s="2801"/>
      <c r="B7" s="2794" t="e">
        <f ca="1">SUMIF(INDIRECT("'"&amp;A7&amp;"'"&amp;"!A:A"),"总价",INDIRECT("'"&amp;A7&amp;"'"&amp;"!B:B"))</f>
        <v>#REF!</v>
      </c>
      <c r="C7" s="2330" t="s">
        <v>2757</v>
      </c>
      <c r="D7" s="2989"/>
      <c r="E7" s="2804" t="e">
        <f t="shared" ref="E7:E13" ca="1" si="0">SUMIF(INDIRECT("'"&amp;A7&amp;"'"&amp;"!C:C"),"建筑面积",INDIRECT("'"&amp;A7&amp;"'"&amp;"!D:D"))</f>
        <v>#REF!</v>
      </c>
      <c r="F7" s="2989"/>
      <c r="G7" s="2989"/>
      <c r="H7" s="2989"/>
      <c r="I7" s="2989"/>
      <c r="J7" s="2989"/>
      <c r="K7" s="2989"/>
      <c r="L7" s="2989"/>
      <c r="M7" s="2989"/>
      <c r="N7" s="2989"/>
      <c r="O7" s="2989"/>
      <c r="P7" s="2989"/>
    </row>
    <row r="8" spans="1:16" ht="15.75">
      <c r="A8" s="2801"/>
      <c r="B8" s="2794" t="e">
        <f t="shared" ref="B8:B13" ca="1" si="1">SUMIF(INDIRECT("'"&amp;A8&amp;"'"&amp;"!A:A"),"总价",INDIRECT("'"&amp;A8&amp;"'"&amp;"!B:B"))</f>
        <v>#REF!</v>
      </c>
      <c r="C8" s="2330" t="s">
        <v>2757</v>
      </c>
      <c r="D8" s="2989"/>
      <c r="E8" s="2804" t="e">
        <f t="shared" ca="1" si="0"/>
        <v>#REF!</v>
      </c>
      <c r="F8" s="2989"/>
      <c r="G8" s="2989"/>
      <c r="H8" s="2989"/>
      <c r="I8" s="2989"/>
      <c r="J8" s="2989"/>
      <c r="K8" s="2989"/>
      <c r="L8" s="2989"/>
      <c r="M8" s="2989"/>
      <c r="N8" s="2989"/>
      <c r="O8" s="2989"/>
      <c r="P8" s="2989"/>
    </row>
    <row r="9" spans="1:16" ht="15.75">
      <c r="A9" s="2801"/>
      <c r="B9" s="2794" t="e">
        <f t="shared" ca="1" si="1"/>
        <v>#REF!</v>
      </c>
      <c r="C9" s="2330" t="s">
        <v>2757</v>
      </c>
      <c r="D9" s="2989"/>
      <c r="E9" s="2804" t="e">
        <f t="shared" ca="1" si="0"/>
        <v>#REF!</v>
      </c>
      <c r="F9" s="2989"/>
      <c r="G9" s="2989"/>
      <c r="H9" s="2989"/>
      <c r="I9" s="2989"/>
      <c r="J9" s="2989"/>
      <c r="K9" s="2989"/>
      <c r="L9" s="2989"/>
      <c r="M9" s="2989"/>
      <c r="N9" s="2989"/>
      <c r="O9" s="2989"/>
      <c r="P9" s="2989"/>
    </row>
    <row r="10" spans="1:16" ht="15.75">
      <c r="A10" s="2801"/>
      <c r="B10" s="2794" t="e">
        <f t="shared" ca="1" si="1"/>
        <v>#REF!</v>
      </c>
      <c r="C10" s="2330" t="s">
        <v>2757</v>
      </c>
      <c r="D10" s="2989"/>
      <c r="E10" s="2804" t="e">
        <f t="shared" ca="1" si="0"/>
        <v>#REF!</v>
      </c>
      <c r="F10" s="2989"/>
      <c r="G10" s="2989"/>
      <c r="H10" s="2989"/>
      <c r="I10" s="2989"/>
      <c r="J10" s="2989"/>
      <c r="K10" s="2989"/>
      <c r="L10" s="2989"/>
      <c r="M10" s="2989"/>
      <c r="N10" s="2989"/>
      <c r="O10" s="2989"/>
      <c r="P10" s="2989"/>
    </row>
    <row r="11" spans="1:16" ht="15.75">
      <c r="A11" s="2801"/>
      <c r="B11" s="2794" t="e">
        <f t="shared" ca="1" si="1"/>
        <v>#REF!</v>
      </c>
      <c r="C11" s="2330" t="s">
        <v>2757</v>
      </c>
      <c r="D11" s="2989"/>
      <c r="E11" s="2804" t="e">
        <f t="shared" ca="1" si="0"/>
        <v>#REF!</v>
      </c>
      <c r="F11" s="2989"/>
      <c r="G11" s="2989"/>
      <c r="H11" s="2989"/>
      <c r="I11" s="2989"/>
      <c r="J11" s="2989"/>
      <c r="K11" s="2989"/>
      <c r="L11" s="2989"/>
      <c r="M11" s="2989"/>
      <c r="N11" s="2989"/>
      <c r="O11" s="2989"/>
      <c r="P11" s="2989"/>
    </row>
    <row r="12" spans="1:16" ht="15.75">
      <c r="A12" s="2801"/>
      <c r="B12" s="2794" t="e">
        <f t="shared" ca="1" si="1"/>
        <v>#REF!</v>
      </c>
      <c r="C12" s="2330" t="s">
        <v>2757</v>
      </c>
      <c r="D12" s="2989"/>
      <c r="E12" s="2804" t="e">
        <f t="shared" ca="1" si="0"/>
        <v>#REF!</v>
      </c>
      <c r="F12" s="2989"/>
      <c r="G12" s="2989"/>
      <c r="H12" s="2989"/>
      <c r="I12" s="2989"/>
      <c r="J12" s="2989"/>
      <c r="K12" s="2989"/>
      <c r="L12" s="2989"/>
      <c r="M12" s="2989"/>
      <c r="N12" s="2989"/>
      <c r="O12" s="2989"/>
      <c r="P12" s="2989"/>
    </row>
    <row r="13" spans="1:16" ht="15.75">
      <c r="A13" s="2801"/>
      <c r="B13" s="2794" t="e">
        <f t="shared" ca="1" si="1"/>
        <v>#REF!</v>
      </c>
      <c r="C13" s="2330" t="s">
        <v>2757</v>
      </c>
      <c r="D13" s="2989"/>
      <c r="E13" s="2804"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估价结果一览表（市场价值不需“结果表-1”）</v>
      </c>
      <c r="B3" s="3270"/>
      <c r="C3" s="3270"/>
      <c r="D3" s="3270"/>
      <c r="E3" s="3270"/>
    </row>
    <row r="4" spans="1:5" ht="19.5" thickBot="1">
      <c r="A4" s="1648"/>
      <c r="B4" s="3268" t="s">
        <v>1535</v>
      </c>
      <c r="C4" s="3268"/>
      <c r="D4" s="3268"/>
      <c r="E4" s="1648"/>
    </row>
    <row r="5" spans="1:5" ht="16.5" thickTop="1">
      <c r="A5" s="1646"/>
      <c r="B5" s="3266" t="s">
        <v>1527</v>
      </c>
      <c r="C5" s="1649" t="s">
        <v>1528</v>
      </c>
      <c r="D5" s="959">
        <f ca="1">结果表!H101</f>
        <v>3870</v>
      </c>
      <c r="E5" s="1646"/>
    </row>
    <row r="6" spans="1:5" ht="15.75">
      <c r="A6" s="1646"/>
      <c r="B6" s="3266"/>
      <c r="C6" s="1649" t="s">
        <v>1529</v>
      </c>
      <c r="D6" s="959" t="str">
        <f ca="1">NUMBERSTRING(INT(D5*10000),2)&amp;"元整"</f>
        <v>叁仟捌佰柒拾万元整</v>
      </c>
      <c r="E6" s="1646"/>
    </row>
    <row r="7" spans="1:5" ht="15.75">
      <c r="A7" s="1646"/>
      <c r="B7" s="3271"/>
      <c r="C7" s="1650" t="s">
        <v>1530</v>
      </c>
      <c r="D7" s="960">
        <f ca="1">结果表!H102</f>
        <v>970</v>
      </c>
      <c r="E7" s="1646"/>
    </row>
    <row r="8" spans="1:5" ht="15.75">
      <c r="A8" s="1646"/>
      <c r="B8" s="3272" t="str">
        <f>结果表!E103</f>
        <v>2.估价师知悉的法定优先受偿款</v>
      </c>
      <c r="C8" s="1651" t="s">
        <v>1531</v>
      </c>
      <c r="D8" s="960">
        <f>结果表!H103</f>
        <v>0</v>
      </c>
      <c r="E8" s="1646"/>
    </row>
    <row r="9" spans="1:5" ht="15.75">
      <c r="A9" s="1646"/>
      <c r="B9" s="327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5" t="str">
        <f>结果表!E107</f>
        <v>3.房地产抵押价值</v>
      </c>
      <c r="C13" s="1654" t="s">
        <v>1528</v>
      </c>
      <c r="D13" s="962">
        <f ca="1">结果表!H107</f>
        <v>3870</v>
      </c>
      <c r="E13" s="1646"/>
    </row>
    <row r="14" spans="1:5" ht="15.75">
      <c r="A14" s="1646"/>
      <c r="B14" s="3266"/>
      <c r="C14" s="1649" t="s">
        <v>1529</v>
      </c>
      <c r="D14" s="959" t="str">
        <f ca="1">NUMBERSTRING(INT(D13*10000),2)&amp;"元整"</f>
        <v>叁仟捌佰柒拾万元整</v>
      </c>
      <c r="E14" s="1646"/>
    </row>
    <row r="15" spans="1:5" ht="15">
      <c r="A15" s="1646"/>
      <c r="B15" s="3271"/>
      <c r="C15" s="1650" t="s">
        <v>1539</v>
      </c>
      <c r="D15" s="968">
        <f ca="1">结果表!H108</f>
        <v>970</v>
      </c>
      <c r="E15" s="1646"/>
    </row>
    <row r="16" spans="1:5" ht="15">
      <c r="A16" s="1646"/>
      <c r="B16" s="3272" t="str">
        <f>结果表!E109</f>
        <v>——</v>
      </c>
      <c r="C16" s="1654" t="s">
        <v>1540</v>
      </c>
      <c r="D16" s="1655" t="str">
        <f>结果表!H109</f>
        <v>——</v>
      </c>
      <c r="E16" s="1646"/>
    </row>
    <row r="17" spans="1:5" ht="15.75">
      <c r="A17" s="1646"/>
      <c r="B17" s="3273"/>
      <c r="C17" s="1649" t="s">
        <v>1541</v>
      </c>
      <c r="D17" s="959" t="e">
        <f>NUMBERSTRING(INT(D16*10000),2)&amp;"元整"</f>
        <v>#VALUE!</v>
      </c>
      <c r="E17" s="1646"/>
    </row>
    <row r="18" spans="1:5" ht="15">
      <c r="A18" s="1646"/>
      <c r="B18" s="3274"/>
      <c r="C18" s="1650" t="s">
        <v>1530</v>
      </c>
      <c r="D18" s="968" t="str">
        <f>结果表!H110</f>
        <v>——</v>
      </c>
      <c r="E18" s="1646"/>
    </row>
    <row r="19" spans="1:5" ht="15.75">
      <c r="A19" s="1646"/>
      <c r="B19" s="3265" t="str">
        <f>结果表!E111</f>
        <v>——</v>
      </c>
      <c r="C19" s="1654" t="s">
        <v>1528</v>
      </c>
      <c r="D19" s="960" t="str">
        <f>结果表!H111</f>
        <v>——</v>
      </c>
      <c r="E19" s="1646"/>
    </row>
    <row r="20" spans="1:5" ht="15.75">
      <c r="A20" s="1646"/>
      <c r="B20" s="3266"/>
      <c r="C20" s="1649" t="s">
        <v>1541</v>
      </c>
      <c r="D20" s="959" t="e">
        <f>NUMBERSTRING(INT(D19*10000),2)&amp;"元整"</f>
        <v>#VALUE!</v>
      </c>
      <c r="E20" s="1646"/>
    </row>
    <row r="21" spans="1:5" ht="15.75" thickBot="1">
      <c r="A21" s="1646"/>
      <c r="B21" s="326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5" t="s">
        <v>1058</v>
      </c>
      <c r="C1" s="3585"/>
      <c r="D1" s="3585"/>
      <c r="E1" s="3585"/>
      <c r="F1" s="3585"/>
      <c r="G1" s="3581" t="s">
        <v>1059</v>
      </c>
      <c r="H1" s="3581"/>
      <c r="I1" s="3581"/>
      <c r="J1" s="3581"/>
      <c r="K1" s="3581"/>
      <c r="L1" s="3581"/>
      <c r="N1" s="3581" t="s">
        <v>1060</v>
      </c>
      <c r="O1" s="3581"/>
      <c r="P1" s="3581"/>
      <c r="Q1" s="3581"/>
      <c r="S1" s="3581" t="s">
        <v>1061</v>
      </c>
      <c r="T1" s="3581"/>
      <c r="U1" s="3581"/>
      <c r="V1" s="3581"/>
      <c r="X1" s="3580" t="s">
        <v>1062</v>
      </c>
      <c r="Y1" s="3581"/>
      <c r="Z1" s="3581"/>
      <c r="AA1" s="3581"/>
      <c r="AB1" s="3581"/>
      <c r="AD1" s="3580" t="s">
        <v>1063</v>
      </c>
      <c r="AE1" s="3581"/>
      <c r="AF1" s="3581"/>
      <c r="AG1" s="3581"/>
      <c r="AH1" s="358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2797</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3129</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0">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2798</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3128</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0">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3005</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5">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3004</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4">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3003</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08">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3001</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7">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3000</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4">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2814</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2812</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2811</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2810</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2808</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2806</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2809</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2804</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2803</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2796</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2794</v>
      </c>
      <c r="B22" s="2407">
        <v>439</v>
      </c>
      <c r="C22" s="2407">
        <v>327</v>
      </c>
      <c r="D22" s="2407">
        <f>C22</f>
        <v>327</v>
      </c>
      <c r="E22" s="2407">
        <v>627</v>
      </c>
      <c r="F22" s="2408">
        <v>283</v>
      </c>
      <c r="G22" s="358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2795</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2766</v>
      </c>
      <c r="C1" s="3594" t="s">
        <v>2767</v>
      </c>
      <c r="D1" s="3595"/>
      <c r="E1" s="3595"/>
      <c r="F1" s="3595"/>
      <c r="G1" s="3595"/>
      <c r="H1" s="3595"/>
      <c r="I1" s="3595"/>
      <c r="J1" s="3595"/>
      <c r="K1" s="3595"/>
      <c r="L1" s="3595"/>
      <c r="M1" s="3595"/>
      <c r="N1" s="3595"/>
      <c r="O1" s="3595"/>
      <c r="P1" s="3595"/>
      <c r="Q1" s="3595"/>
      <c r="R1" s="3595"/>
      <c r="S1" s="3596"/>
      <c r="T1" s="1114" t="s">
        <v>2768</v>
      </c>
    </row>
    <row r="2" spans="1:45" s="663" customFormat="1">
      <c r="A2" s="1115"/>
      <c r="B2" s="659" t="s">
        <v>2769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2770</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2771</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2772</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2776</v>
      </c>
      <c r="B17" s="2334" t="s">
        <v>2777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2778</v>
      </c>
      <c r="E19" s="1494"/>
      <c r="F19" s="1494"/>
      <c r="G19" s="1494"/>
      <c r="H19" s="1190"/>
      <c r="I19" s="164"/>
      <c r="J19" s="164"/>
      <c r="K19" s="164"/>
      <c r="L19" s="164"/>
      <c r="M19" s="164"/>
      <c r="N19" s="164"/>
      <c r="O19" s="164"/>
      <c r="P19" s="164"/>
      <c r="Q19" s="164"/>
      <c r="R19" s="727"/>
      <c r="S19" s="134"/>
    </row>
    <row r="20" spans="1:45" ht="16.5" thickBot="1">
      <c r="A20" s="671" t="s">
        <v>2779</v>
      </c>
      <c r="B20" s="300" t="e">
        <f ca="1">IF(D20="——",S22,S22-F20)</f>
        <v>#REF!</v>
      </c>
      <c r="C20" s="164"/>
      <c r="D20" s="2336"/>
      <c r="E20" s="1495"/>
      <c r="F20" s="1114" t="e">
        <f ca="1">SUMIF(INDIRECT("'"&amp;H20&amp;"'"&amp;"!A:A"),"承租人权益价值",INDIRECT("'"&amp;H20&amp;"'"&amp;"!c:c"))</f>
        <v>#REF!</v>
      </c>
      <c r="G20" s="1114" t="s">
        <v>2780</v>
      </c>
      <c r="H20" s="2337"/>
      <c r="I20" s="164"/>
      <c r="J20" s="164"/>
      <c r="K20" s="164"/>
      <c r="L20" s="164"/>
      <c r="M20" s="164"/>
      <c r="N20" s="164"/>
      <c r="O20" s="164"/>
      <c r="P20" s="164"/>
      <c r="Q20" s="164"/>
      <c r="R20" s="727"/>
      <c r="S20" s="134"/>
    </row>
    <row r="21" spans="1:45" ht="15.75">
      <c r="A21" s="671" t="s">
        <v>2781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2782</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2783</v>
      </c>
      <c r="B23" s="11" t="s">
        <v>2784</v>
      </c>
      <c r="C23" s="11" t="s">
        <v>2785</v>
      </c>
      <c r="D23" s="11" t="str">
        <f>B5</f>
        <v>修正项2</v>
      </c>
      <c r="E23" s="11" t="s">
        <v>2785</v>
      </c>
      <c r="F23" s="11" t="str">
        <f>B7</f>
        <v>修正项3</v>
      </c>
      <c r="G23" s="11" t="s">
        <v>2785</v>
      </c>
      <c r="H23" s="11" t="str">
        <f>B9</f>
        <v>修正项4</v>
      </c>
      <c r="I23" s="11" t="s">
        <v>2785</v>
      </c>
      <c r="J23" s="11" t="str">
        <f>B11</f>
        <v>修正项5</v>
      </c>
      <c r="K23" s="11" t="s">
        <v>2785</v>
      </c>
      <c r="L23" s="11" t="str">
        <f>B13</f>
        <v>修正项6</v>
      </c>
      <c r="M23" s="11" t="s">
        <v>2785</v>
      </c>
      <c r="N23" s="11" t="str">
        <f>B15</f>
        <v>修正项7</v>
      </c>
      <c r="O23" s="11" t="s">
        <v>2785</v>
      </c>
      <c r="P23" s="11" t="str">
        <f>B17</f>
        <v>楼层</v>
      </c>
      <c r="Q23" s="11" t="s">
        <v>2785</v>
      </c>
      <c r="R23" s="673" t="s">
        <v>2786</v>
      </c>
      <c r="S23" s="11" t="s">
        <v>2787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2788</v>
      </c>
      <c r="B24" s="674">
        <v>100</v>
      </c>
      <c r="C24" s="3005">
        <v>1</v>
      </c>
      <c r="D24" s="3006"/>
      <c r="E24" s="3005">
        <v>1</v>
      </c>
      <c r="F24" s="3006"/>
      <c r="G24" s="3005">
        <v>1</v>
      </c>
      <c r="H24" s="3006"/>
      <c r="I24" s="3005">
        <v>1</v>
      </c>
      <c r="J24" s="3006"/>
      <c r="K24" s="3005">
        <v>1</v>
      </c>
      <c r="L24" s="3006"/>
      <c r="M24" s="3005">
        <v>1</v>
      </c>
      <c r="N24" s="3006"/>
      <c r="O24" s="3005">
        <v>1</v>
      </c>
      <c r="P24" s="3006"/>
      <c r="Q24" s="300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28828</v>
      </c>
      <c r="C2" s="2" t="s">
        <v>133</v>
      </c>
      <c r="D2" s="205"/>
      <c r="E2" s="205"/>
      <c r="F2" s="205"/>
      <c r="G2" s="205"/>
    </row>
    <row r="3" spans="1:7" s="206" customFormat="1" ht="18" customHeight="1" thickBot="1">
      <c r="A3" s="209" t="s">
        <v>85</v>
      </c>
      <c r="B3" s="210">
        <f ca="1">ROUND(B2*10000/'数据-汇总表'!E3,0)</f>
        <v>7226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17</v>
      </c>
      <c r="F9" s="227"/>
      <c r="G9" s="232"/>
    </row>
    <row r="10" spans="1:7" s="220" customFormat="1" ht="13.5" customHeight="1">
      <c r="A10" s="887" t="s">
        <v>801</v>
      </c>
      <c r="B10" s="230" t="s">
        <v>94</v>
      </c>
      <c r="C10" s="231">
        <f>ROUND(D10*E10/10000,0)</f>
        <v>68</v>
      </c>
      <c r="D10" s="954">
        <f>'数据-汇总表'!E6</f>
        <v>39892.17</v>
      </c>
      <c r="E10" s="231">
        <f>'数据-取费表'!B28</f>
        <v>17</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798</v>
      </c>
      <c r="D19" s="958">
        <f>'数据-汇总表'!E3</f>
        <v>39892.17</v>
      </c>
      <c r="E19" s="217">
        <f>'数据-取费表'!B31</f>
        <v>200</v>
      </c>
      <c r="F19" s="237"/>
      <c r="G19" s="1" t="s">
        <v>1042</v>
      </c>
    </row>
    <row r="20" spans="1:7" s="220" customFormat="1" ht="13.5" customHeight="1">
      <c r="A20" s="885" t="s">
        <v>1025</v>
      </c>
      <c r="B20" s="216" t="s">
        <v>104</v>
      </c>
      <c r="C20" s="238">
        <f>ROUND((C5+C19)*F20,0)</f>
        <v>642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543</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515</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20</v>
      </c>
      <c r="D24" s="244"/>
      <c r="E24" s="244"/>
      <c r="F24" s="245"/>
      <c r="G24" s="246" t="s">
        <v>109</v>
      </c>
    </row>
    <row r="25" spans="1:7" s="220" customFormat="1" ht="24">
      <c r="A25" s="888" t="s">
        <v>793</v>
      </c>
      <c r="B25" s="221" t="s">
        <v>1026</v>
      </c>
      <c r="C25" s="1237">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265</v>
      </c>
      <c r="D27" s="241">
        <f>C29</f>
        <v>4.0000000000000002E-4</v>
      </c>
      <c r="E27" s="242" t="s">
        <v>126</v>
      </c>
      <c r="F27" s="252">
        <f>'数据-取费表'!Q16</f>
        <v>0.05</v>
      </c>
      <c r="G27" s="253" t="s">
        <v>1037</v>
      </c>
    </row>
    <row r="28" spans="1:7" s="220" customFormat="1" ht="13.5" customHeight="1">
      <c r="A28" s="888" t="s">
        <v>794</v>
      </c>
      <c r="B28" s="254" t="s">
        <v>1030</v>
      </c>
      <c r="C28" s="255">
        <f>ROUND((C5+C19+C20)*F27*'数据-取费表'!B21/'数据-取费表'!B20,0)</f>
        <v>265</v>
      </c>
      <c r="D28" s="241"/>
      <c r="E28" s="242"/>
      <c r="F28" s="252"/>
      <c r="G28" s="253"/>
    </row>
    <row r="29" spans="1:7" s="220" customFormat="1" ht="13.5" customHeight="1">
      <c r="A29" s="888" t="s">
        <v>792</v>
      </c>
      <c r="B29" s="254" t="s">
        <v>1031</v>
      </c>
      <c r="C29" s="244">
        <f>ROUND(C21*F27*'数据-取费表'!B21/'数据-取费表'!B20,4)</f>
        <v>4.0000000000000002E-4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24958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2858</v>
      </c>
      <c r="D34" s="223"/>
      <c r="E34" s="226"/>
      <c r="F34" s="263">
        <f>IF('数据-取费表'!B24=0,1,'数据-取费表'!N16)</f>
        <v>0.23899999999999999</v>
      </c>
      <c r="G34" s="225" t="s">
        <v>116</v>
      </c>
    </row>
    <row r="35" spans="1:7" ht="13.5" customHeight="1">
      <c r="A35" s="888" t="s">
        <v>796</v>
      </c>
      <c r="B35" s="221" t="s">
        <v>60</v>
      </c>
      <c r="C35" s="226">
        <f>ROUND(C34*F35,0)</f>
        <v>143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191</v>
      </c>
      <c r="D37" s="223">
        <f>'数据-汇总表'!E3</f>
        <v>39892.17</v>
      </c>
      <c r="E37" s="255">
        <f>'数据-取费表'!B35</f>
        <v>200</v>
      </c>
      <c r="F37" s="265"/>
      <c r="G37" s="267" t="s">
        <v>119</v>
      </c>
    </row>
    <row r="38" spans="1:7" ht="13.5" customHeight="1">
      <c r="A38" s="888" t="s">
        <v>799</v>
      </c>
      <c r="B38" s="221" t="s">
        <v>63</v>
      </c>
      <c r="C38" s="226">
        <f>ROUND(C34*F38,0)</f>
        <v>43</v>
      </c>
      <c r="D38" s="226"/>
      <c r="E38" s="226"/>
      <c r="F38" s="265">
        <f>'数据-取费表'!B36</f>
        <v>1.4999999999999999E-2</v>
      </c>
      <c r="G38" s="225" t="s">
        <v>117</v>
      </c>
    </row>
    <row r="39" spans="1:7" s="220" customFormat="1" ht="13.5" customHeight="1">
      <c r="A39" s="885" t="s">
        <v>783</v>
      </c>
      <c r="B39" s="216" t="s">
        <v>104</v>
      </c>
      <c r="C39" s="238">
        <f>ROUND(C33*F20,0)</f>
        <v>97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41</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40</v>
      </c>
      <c r="D42" s="244"/>
      <c r="E42" s="244"/>
      <c r="F42" s="245"/>
      <c r="G42" s="3496" t="s">
        <v>121</v>
      </c>
    </row>
    <row r="43" spans="1:7" ht="13.5" customHeight="1">
      <c r="A43" s="888" t="s">
        <v>792</v>
      </c>
      <c r="B43" s="221" t="s">
        <v>1032</v>
      </c>
      <c r="C43" s="244">
        <f ca="1">ROUND(IF('数据-取费表'!B22&lt;=1,C39*F22*'数据-取费表'!B21/2,C39*(POWER((1+F22),'数据-取费表'!B21/2)-1)),0)</f>
        <v>1</v>
      </c>
      <c r="D43" s="244"/>
      <c r="E43" s="244"/>
      <c r="F43" s="245"/>
      <c r="G43" s="3497"/>
    </row>
    <row r="44" spans="1:7" ht="13.5" customHeight="1">
      <c r="A44" s="888" t="s">
        <v>793</v>
      </c>
      <c r="B44" s="221" t="s">
        <v>1034</v>
      </c>
      <c r="C44" s="244">
        <f ca="1">ROUND(IF('数据-取费表'!B22&lt;=1,C40*F22*'数据-取费表'!B21/2,C40*(POWER((1+F22),'数据-取费表'!B21/2)-1)),4)</f>
        <v>4.0000000000000002E-4</v>
      </c>
      <c r="D44" s="244"/>
      <c r="E44" s="244"/>
      <c r="F44" s="245"/>
      <c r="G44" s="3498"/>
    </row>
    <row r="45" spans="1:7" s="220" customFormat="1" ht="13.5" customHeight="1">
      <c r="A45" s="885" t="s">
        <v>786</v>
      </c>
      <c r="B45" s="250" t="s">
        <v>112</v>
      </c>
      <c r="C45" s="251">
        <f>C46</f>
        <v>167</v>
      </c>
      <c r="D45" s="241">
        <f>C47</f>
        <v>1.5E-3</v>
      </c>
      <c r="E45" s="242" t="s">
        <v>129</v>
      </c>
      <c r="F45" s="252"/>
      <c r="G45" s="253" t="s">
        <v>1040</v>
      </c>
    </row>
    <row r="46" spans="1:7" s="220" customFormat="1" ht="13.5" customHeight="1">
      <c r="A46" s="888" t="s">
        <v>794</v>
      </c>
      <c r="B46" s="254" t="s">
        <v>1033</v>
      </c>
      <c r="C46" s="255">
        <f>ROUND((C33+C39)*F27,0)</f>
        <v>167</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3870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3870</v>
      </c>
      <c r="D51" s="238"/>
      <c r="E51" s="238"/>
      <c r="F51" s="270"/>
      <c r="G51" s="240" t="s">
        <v>64</v>
      </c>
    </row>
    <row r="52" spans="1:7" s="214" customFormat="1" ht="16.5" thickBot="1">
      <c r="A52" s="271" t="s">
        <v>65</v>
      </c>
      <c r="B52" s="272"/>
      <c r="C52" s="273">
        <f ca="1">C31+C51</f>
        <v>28828</v>
      </c>
      <c r="D52" s="272"/>
      <c r="E52" s="272"/>
      <c r="F52" s="272"/>
      <c r="G52" s="274"/>
    </row>
    <row r="55" spans="1:7" ht="15">
      <c r="B55" s="276" t="s">
        <v>66</v>
      </c>
      <c r="C55" s="277"/>
    </row>
    <row r="56" spans="1:7">
      <c r="B56" s="279" t="s">
        <v>67</v>
      </c>
      <c r="C56" s="280">
        <f ca="1">ROUND(C51/C52,3)</f>
        <v>0.13400000000000001</v>
      </c>
    </row>
    <row r="57" spans="1:7">
      <c r="B57" s="279" t="s">
        <v>68</v>
      </c>
      <c r="C57" s="281">
        <f ca="1">1-C56</f>
        <v>0.86599999999999999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839</v>
      </c>
      <c r="B1" s="35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44623</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6">
        <v>44581</v>
      </c>
      <c r="D13" s="3017">
        <v>3.7</v>
      </c>
      <c r="E13" s="3017">
        <f>D13</f>
        <v>3.7</v>
      </c>
      <c r="F13" s="3017">
        <f>D13</f>
        <v>3.7</v>
      </c>
      <c r="G13" s="3017">
        <f>D13</f>
        <v>3.7</v>
      </c>
      <c r="H13" s="3017">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2"/>
      <c r="C14" s="3013">
        <v>44550</v>
      </c>
      <c r="D14" s="3012">
        <v>3.8</v>
      </c>
      <c r="E14" s="3012">
        <f>D14</f>
        <v>3.8</v>
      </c>
      <c r="F14" s="3012">
        <f>D14</f>
        <v>3.8</v>
      </c>
      <c r="G14" s="3012">
        <f>D14</f>
        <v>3.8</v>
      </c>
      <c r="H14" s="3012">
        <v>4.6500000000000004</v>
      </c>
      <c r="I14" s="3012"/>
      <c r="J14" s="3017"/>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2"/>
      <c r="C15" s="3013">
        <v>43941</v>
      </c>
      <c r="D15" s="3012">
        <v>3.85</v>
      </c>
      <c r="E15" s="3012">
        <v>3.85</v>
      </c>
      <c r="F15" s="3012">
        <v>3.85</v>
      </c>
      <c r="G15" s="3012">
        <v>3.85</v>
      </c>
      <c r="H15" s="3012">
        <v>4.6500000000000004</v>
      </c>
      <c r="I15" s="3012"/>
      <c r="J15" s="3012"/>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2"/>
      <c r="C16" s="3013">
        <v>43881</v>
      </c>
      <c r="D16" s="3012">
        <v>4.05</v>
      </c>
      <c r="E16" s="3012">
        <v>4.05</v>
      </c>
      <c r="F16" s="3012">
        <v>4.05</v>
      </c>
      <c r="G16" s="3012">
        <v>4.05</v>
      </c>
      <c r="H16" s="3012">
        <v>4.75</v>
      </c>
      <c r="I16" s="3012"/>
      <c r="J16" s="3012"/>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2"/>
      <c r="C17" s="3013">
        <v>43789</v>
      </c>
      <c r="D17" s="3012">
        <v>4.1500000000000004</v>
      </c>
      <c r="E17" s="3012">
        <v>4.1500000000000004</v>
      </c>
      <c r="F17" s="3012">
        <v>4.1500000000000004</v>
      </c>
      <c r="G17" s="3012">
        <v>4.1500000000000004</v>
      </c>
      <c r="H17" s="3012">
        <v>4.8</v>
      </c>
      <c r="I17" s="3012"/>
      <c r="J17" s="3012"/>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2"/>
      <c r="C18" s="3013">
        <v>43728</v>
      </c>
      <c r="D18" s="3012">
        <v>4.2</v>
      </c>
      <c r="E18" s="3012">
        <v>4.2</v>
      </c>
      <c r="F18" s="3012">
        <v>4.2</v>
      </c>
      <c r="G18" s="3012">
        <v>4.2</v>
      </c>
      <c r="H18" s="3012">
        <v>4.8499999999999996</v>
      </c>
      <c r="I18" s="3012"/>
      <c r="J18" s="3012"/>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1424"/>
      <c r="B19" s="3011" t="s">
        <v>3002</v>
      </c>
      <c r="C19" s="3014">
        <v>43697</v>
      </c>
      <c r="D19" s="3015">
        <v>4.25</v>
      </c>
      <c r="E19" s="3015">
        <v>4.25</v>
      </c>
      <c r="F19" s="3015">
        <v>4.25</v>
      </c>
      <c r="G19" s="3015">
        <v>4.25</v>
      </c>
      <c r="H19" s="3015">
        <v>4.8499999999999996</v>
      </c>
      <c r="I19" s="3015"/>
      <c r="J19" s="3015"/>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18"/>
      <c r="B20" s="3019"/>
      <c r="C20" s="3020">
        <v>42301</v>
      </c>
      <c r="D20" s="3021">
        <v>4.3499999999999996</v>
      </c>
      <c r="E20" s="3021">
        <v>4.3499999999999996</v>
      </c>
      <c r="F20" s="3021">
        <v>4.75</v>
      </c>
      <c r="G20" s="3021">
        <v>4.75</v>
      </c>
      <c r="H20" s="3021">
        <v>4.9000000000000004</v>
      </c>
      <c r="I20" s="3021"/>
      <c r="J20" s="3021"/>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workbookViewId="0">
      <selection activeCell="D8" sqref="D8"/>
    </sheetView>
  </sheetViews>
  <sheetFormatPr defaultRowHeight="13.5"/>
  <cols>
    <col min="8" max="8" width="32.875" customWidth="1"/>
  </cols>
  <sheetData>
    <row r="1" spans="1:11">
      <c r="A1" s="3201" t="s">
        <v>3130</v>
      </c>
    </row>
    <row r="2" spans="1:11" ht="14.25" thickBot="1"/>
    <row r="3" spans="1:11" ht="132" customHeight="1" thickBot="1">
      <c r="A3" s="3604" t="s">
        <v>3131</v>
      </c>
      <c r="B3" s="3605"/>
      <c r="C3" s="3605"/>
      <c r="D3" s="3605"/>
      <c r="E3" s="3605"/>
      <c r="F3" s="3606"/>
      <c r="H3" s="3211" t="s">
        <v>3201</v>
      </c>
    </row>
    <row r="4" spans="1:11" ht="14.25" thickBot="1">
      <c r="A4" s="3607" t="s">
        <v>3132</v>
      </c>
      <c r="B4" s="3608"/>
      <c r="C4" s="3609"/>
      <c r="D4" s="3202" t="s">
        <v>3133</v>
      </c>
      <c r="E4" s="3202" t="s">
        <v>3134</v>
      </c>
      <c r="F4" s="3202" t="s">
        <v>3135</v>
      </c>
    </row>
    <row r="5" spans="1:11" ht="15" thickBot="1">
      <c r="A5" s="3601" t="s">
        <v>3136</v>
      </c>
      <c r="B5" s="3602"/>
      <c r="C5" s="3603"/>
      <c r="D5" s="3203">
        <v>62794</v>
      </c>
      <c r="E5" s="3204" t="s">
        <v>3137</v>
      </c>
      <c r="F5" s="3204"/>
    </row>
    <row r="6" spans="1:11" ht="15" thickBot="1">
      <c r="A6" s="3601" t="s">
        <v>3138</v>
      </c>
      <c r="B6" s="3602"/>
      <c r="C6" s="3603"/>
      <c r="D6" s="3203">
        <v>0</v>
      </c>
      <c r="E6" s="3204" t="s">
        <v>3137</v>
      </c>
      <c r="F6" s="3204"/>
    </row>
    <row r="7" spans="1:11" ht="15" thickBot="1">
      <c r="A7" s="3601" t="s">
        <v>3139</v>
      </c>
      <c r="B7" s="3602"/>
      <c r="C7" s="3603"/>
      <c r="D7" s="3203">
        <v>61852</v>
      </c>
      <c r="E7" s="3204" t="s">
        <v>3137</v>
      </c>
      <c r="F7" s="3204"/>
      <c r="H7" s="3212" t="s">
        <v>3202</v>
      </c>
      <c r="I7" s="3213" t="s">
        <v>3203</v>
      </c>
      <c r="J7" s="3213" t="s">
        <v>3204</v>
      </c>
      <c r="K7" s="3214" t="s">
        <v>3205</v>
      </c>
    </row>
    <row r="8" spans="1:11" ht="15" thickBot="1">
      <c r="A8" s="3601" t="s">
        <v>3140</v>
      </c>
      <c r="B8" s="3602"/>
      <c r="C8" s="3603"/>
      <c r="D8" s="3205">
        <v>188987.17</v>
      </c>
      <c r="E8" s="3204" t="s">
        <v>3137</v>
      </c>
      <c r="F8" s="3204"/>
      <c r="H8" s="3215">
        <v>1</v>
      </c>
      <c r="I8" s="3216" t="s">
        <v>3206</v>
      </c>
      <c r="J8" s="3217">
        <v>78936</v>
      </c>
      <c r="K8" s="3218">
        <v>0.5575</v>
      </c>
    </row>
    <row r="9" spans="1:11" ht="15" thickBot="1">
      <c r="A9" s="3601" t="s">
        <v>3141</v>
      </c>
      <c r="B9" s="3602"/>
      <c r="C9" s="3603"/>
      <c r="D9" s="3205">
        <v>143032.85999999999</v>
      </c>
      <c r="E9" s="3204" t="s">
        <v>3137</v>
      </c>
      <c r="F9" s="3204"/>
      <c r="H9" s="3215">
        <v>2</v>
      </c>
      <c r="I9" s="3216" t="s">
        <v>3207</v>
      </c>
      <c r="J9" s="3217">
        <v>2456.83</v>
      </c>
      <c r="K9" s="3218">
        <v>1.7399999999999999E-2</v>
      </c>
    </row>
    <row r="10" spans="1:11" ht="26.25" thickBot="1">
      <c r="A10" s="3610" t="s">
        <v>3142</v>
      </c>
      <c r="B10" s="3611"/>
      <c r="C10" s="3612"/>
      <c r="D10" s="3205">
        <v>142259.6</v>
      </c>
      <c r="E10" s="3204" t="s">
        <v>3137</v>
      </c>
      <c r="F10" s="3204"/>
      <c r="H10" s="3215">
        <v>3</v>
      </c>
      <c r="I10" s="3216" t="s">
        <v>3208</v>
      </c>
      <c r="J10" s="3217">
        <v>50050.17</v>
      </c>
      <c r="K10" s="3218">
        <v>0.35349999999999998</v>
      </c>
    </row>
    <row r="11" spans="1:11" ht="15" thickBot="1">
      <c r="A11" s="3613" t="s">
        <v>3143</v>
      </c>
      <c r="B11" s="3616" t="s">
        <v>3144</v>
      </c>
      <c r="C11" s="3617"/>
      <c r="D11" s="3205">
        <v>130430.06</v>
      </c>
      <c r="E11" s="3204" t="s">
        <v>3137</v>
      </c>
      <c r="F11" s="3204"/>
      <c r="H11" s="3215">
        <v>4</v>
      </c>
      <c r="I11" s="3216" t="s">
        <v>3209</v>
      </c>
      <c r="J11" s="3217">
        <v>10151.17</v>
      </c>
      <c r="K11" s="3218">
        <v>7.17E-2</v>
      </c>
    </row>
    <row r="12" spans="1:11" ht="15" thickBot="1">
      <c r="A12" s="3614"/>
      <c r="B12" s="3613" t="s">
        <v>3143</v>
      </c>
      <c r="C12" s="3205" t="s">
        <v>3145</v>
      </c>
      <c r="D12" s="3205">
        <v>60369.16</v>
      </c>
      <c r="E12" s="3204" t="s">
        <v>3137</v>
      </c>
      <c r="F12" s="3204"/>
      <c r="H12" s="3215">
        <v>5</v>
      </c>
      <c r="I12" s="3216" t="s">
        <v>3210</v>
      </c>
      <c r="J12" s="3219">
        <v>141594.17000000001</v>
      </c>
      <c r="K12" s="3218">
        <v>1</v>
      </c>
    </row>
    <row r="13" spans="1:11" ht="15" thickBot="1">
      <c r="A13" s="3614"/>
      <c r="B13" s="3615"/>
      <c r="C13" s="3205" t="s">
        <v>3146</v>
      </c>
      <c r="D13" s="3205">
        <v>40059.9</v>
      </c>
      <c r="E13" s="3204" t="s">
        <v>3137</v>
      </c>
      <c r="F13" s="3204"/>
    </row>
    <row r="14" spans="1:11" ht="15" thickBot="1">
      <c r="A14" s="3614"/>
      <c r="B14" s="3204"/>
      <c r="C14" s="3204" t="s">
        <v>3147</v>
      </c>
      <c r="D14" s="3205">
        <v>30001</v>
      </c>
      <c r="E14" s="3204"/>
      <c r="F14" s="3204"/>
      <c r="H14" s="3220" t="s">
        <v>3211</v>
      </c>
      <c r="I14" s="3221" t="s">
        <v>3212</v>
      </c>
      <c r="J14" s="3221" t="s">
        <v>3213</v>
      </c>
      <c r="K14" s="3221" t="s">
        <v>3214</v>
      </c>
    </row>
    <row r="15" spans="1:11" ht="15" thickBot="1">
      <c r="A15" s="3614"/>
      <c r="B15" s="3616" t="s">
        <v>3148</v>
      </c>
      <c r="C15" s="3617"/>
      <c r="D15" s="3206">
        <v>3906.54</v>
      </c>
      <c r="E15" s="3204" t="s">
        <v>3137</v>
      </c>
      <c r="F15" s="3204"/>
      <c r="H15" s="3222" t="s">
        <v>3215</v>
      </c>
      <c r="I15" s="3223">
        <v>100429</v>
      </c>
      <c r="J15" s="3223">
        <v>14500</v>
      </c>
      <c r="K15" s="3223">
        <v>145622</v>
      </c>
    </row>
    <row r="16" spans="1:11" ht="15" thickBot="1">
      <c r="A16" s="3614"/>
      <c r="B16" s="3613" t="s">
        <v>3143</v>
      </c>
      <c r="C16" s="3204" t="s">
        <v>3149</v>
      </c>
      <c r="D16" s="3205">
        <v>816</v>
      </c>
      <c r="E16" s="3204" t="s">
        <v>3137</v>
      </c>
      <c r="F16" s="3204"/>
      <c r="H16" s="3222" t="s">
        <v>3147</v>
      </c>
      <c r="I16" s="3224">
        <v>30001</v>
      </c>
      <c r="J16" s="3224">
        <v>2458</v>
      </c>
      <c r="K16" s="3224">
        <v>7374</v>
      </c>
    </row>
    <row r="17" spans="1:11" ht="15" thickBot="1">
      <c r="A17" s="3614"/>
      <c r="B17" s="3614"/>
      <c r="C17" s="3204" t="s">
        <v>3150</v>
      </c>
      <c r="D17" s="3205">
        <v>595</v>
      </c>
      <c r="E17" s="3204" t="s">
        <v>3137</v>
      </c>
      <c r="F17" s="3204"/>
      <c r="H17" s="3222" t="s">
        <v>3216</v>
      </c>
      <c r="I17" s="3223">
        <v>1000</v>
      </c>
      <c r="J17" s="3223">
        <v>22000</v>
      </c>
      <c r="K17" s="3223">
        <v>2200</v>
      </c>
    </row>
    <row r="18" spans="1:11" ht="15" thickBot="1">
      <c r="A18" s="3614"/>
      <c r="B18" s="3614"/>
      <c r="C18" s="3204" t="s">
        <v>3151</v>
      </c>
      <c r="D18" s="3205">
        <v>510</v>
      </c>
      <c r="E18" s="3204" t="s">
        <v>3137</v>
      </c>
      <c r="F18" s="3204"/>
      <c r="H18" s="3222" t="s">
        <v>3163</v>
      </c>
      <c r="I18" s="3223">
        <v>6100</v>
      </c>
      <c r="J18" s="3223">
        <v>5040</v>
      </c>
      <c r="K18" s="3223">
        <v>3074</v>
      </c>
    </row>
    <row r="19" spans="1:11" ht="15" thickBot="1">
      <c r="A19" s="3614"/>
      <c r="B19" s="3614"/>
      <c r="C19" s="3204" t="s">
        <v>3152</v>
      </c>
      <c r="D19" s="3205">
        <v>510</v>
      </c>
      <c r="E19" s="3204" t="s">
        <v>3137</v>
      </c>
      <c r="F19" s="3204"/>
      <c r="H19" s="3222" t="s">
        <v>3217</v>
      </c>
      <c r="I19" s="3224">
        <v>1382</v>
      </c>
      <c r="J19" s="3224">
        <v>76500</v>
      </c>
      <c r="K19" s="3224">
        <v>10573</v>
      </c>
    </row>
    <row r="20" spans="1:11" ht="15" thickBot="1">
      <c r="A20" s="3614"/>
      <c r="B20" s="3614"/>
      <c r="C20" s="3204" t="s">
        <v>3153</v>
      </c>
      <c r="D20" s="3205">
        <v>408</v>
      </c>
      <c r="E20" s="3204" t="s">
        <v>3137</v>
      </c>
      <c r="F20" s="3204"/>
      <c r="H20" s="3222" t="s">
        <v>3218</v>
      </c>
      <c r="I20" s="3225"/>
      <c r="J20" s="3225"/>
      <c r="K20" s="3223">
        <v>170654</v>
      </c>
    </row>
    <row r="21" spans="1:11" ht="15" thickBot="1">
      <c r="A21" s="3614"/>
      <c r="B21" s="3614"/>
      <c r="C21" s="3204" t="s">
        <v>3154</v>
      </c>
      <c r="D21" s="3205">
        <v>204</v>
      </c>
      <c r="E21" s="3204" t="s">
        <v>3137</v>
      </c>
      <c r="F21" s="3204"/>
    </row>
    <row r="22" spans="1:11" ht="15" thickBot="1">
      <c r="A22" s="3614"/>
      <c r="B22" s="3614"/>
      <c r="C22" s="3204" t="s">
        <v>3155</v>
      </c>
      <c r="D22" s="3205">
        <v>61.2</v>
      </c>
      <c r="E22" s="3204" t="s">
        <v>3137</v>
      </c>
      <c r="F22" s="3204"/>
    </row>
    <row r="23" spans="1:11" ht="15" thickBot="1">
      <c r="A23" s="3614"/>
      <c r="B23" s="3614"/>
      <c r="C23" s="3204" t="s">
        <v>3156</v>
      </c>
      <c r="D23" s="3205">
        <v>7.14</v>
      </c>
      <c r="E23" s="3204" t="s">
        <v>3137</v>
      </c>
      <c r="F23" s="3204"/>
    </row>
    <row r="24" spans="1:11" ht="15" thickBot="1">
      <c r="A24" s="3614"/>
      <c r="B24" s="3614"/>
      <c r="C24" s="3204" t="s">
        <v>3157</v>
      </c>
      <c r="D24" s="3205">
        <v>10.199999999999999</v>
      </c>
      <c r="E24" s="3204" t="s">
        <v>3137</v>
      </c>
      <c r="F24" s="3204"/>
    </row>
    <row r="25" spans="1:11" ht="15" thickBot="1">
      <c r="A25" s="3614"/>
      <c r="B25" s="3614"/>
      <c r="C25" s="3204" t="s">
        <v>3158</v>
      </c>
      <c r="D25" s="3205">
        <v>200</v>
      </c>
      <c r="E25" s="3204" t="s">
        <v>3137</v>
      </c>
      <c r="F25" s="3204"/>
    </row>
    <row r="26" spans="1:11" ht="15" thickBot="1">
      <c r="A26" s="3614"/>
      <c r="B26" s="3614"/>
      <c r="C26" s="3204" t="s">
        <v>3159</v>
      </c>
      <c r="D26" s="3205">
        <v>60</v>
      </c>
      <c r="E26" s="3204" t="s">
        <v>3137</v>
      </c>
      <c r="F26" s="3204"/>
    </row>
    <row r="27" spans="1:11" ht="15" thickBot="1">
      <c r="A27" s="3614"/>
      <c r="B27" s="3614"/>
      <c r="C27" s="3204" t="s">
        <v>3160</v>
      </c>
      <c r="D27" s="3205">
        <v>500</v>
      </c>
      <c r="E27" s="3204" t="s">
        <v>3137</v>
      </c>
      <c r="F27" s="3204"/>
    </row>
    <row r="28" spans="1:11" ht="15" thickBot="1">
      <c r="A28" s="3614"/>
      <c r="B28" s="3615"/>
      <c r="C28" s="3204" t="s">
        <v>3161</v>
      </c>
      <c r="D28" s="3205">
        <v>25</v>
      </c>
      <c r="E28" s="3204" t="s">
        <v>3137</v>
      </c>
      <c r="F28" s="3204"/>
    </row>
    <row r="29" spans="1:11" ht="15" thickBot="1">
      <c r="A29" s="3614"/>
      <c r="B29" s="3616" t="s">
        <v>3162</v>
      </c>
      <c r="C29" s="3617"/>
      <c r="D29" s="3205">
        <v>7923</v>
      </c>
      <c r="E29" s="3204" t="s">
        <v>3137</v>
      </c>
      <c r="F29" s="3204"/>
    </row>
    <row r="30" spans="1:11" ht="15" thickBot="1">
      <c r="A30" s="3614"/>
      <c r="B30" s="3613" t="s">
        <v>3143</v>
      </c>
      <c r="C30" s="3204" t="s">
        <v>3163</v>
      </c>
      <c r="D30" s="3205">
        <v>6100</v>
      </c>
      <c r="E30" s="3204"/>
      <c r="F30" s="3204"/>
    </row>
    <row r="31" spans="1:11" ht="15" thickBot="1">
      <c r="A31" s="3615"/>
      <c r="B31" s="3615"/>
      <c r="C31" s="3204" t="s">
        <v>3164</v>
      </c>
      <c r="D31" s="3205">
        <v>1823</v>
      </c>
      <c r="E31" s="3204"/>
      <c r="F31" s="3204"/>
    </row>
    <row r="32" spans="1:11" ht="15" thickBot="1">
      <c r="A32" s="3610" t="s">
        <v>3165</v>
      </c>
      <c r="B32" s="3611"/>
      <c r="C32" s="3612"/>
      <c r="D32" s="3205">
        <v>773.26</v>
      </c>
      <c r="E32" s="3204" t="s">
        <v>3137</v>
      </c>
      <c r="F32" s="3204"/>
    </row>
    <row r="33" spans="1:11" ht="15" thickBot="1">
      <c r="A33" s="3601" t="s">
        <v>3143</v>
      </c>
      <c r="B33" s="3603"/>
      <c r="C33" s="3204" t="s">
        <v>3166</v>
      </c>
      <c r="D33" s="3205">
        <v>773.26</v>
      </c>
      <c r="E33" s="3204" t="s">
        <v>3137</v>
      </c>
      <c r="F33" s="3207">
        <v>0.14180000000000001</v>
      </c>
    </row>
    <row r="34" spans="1:11" ht="15" thickBot="1">
      <c r="A34" s="3610" t="s">
        <v>3167</v>
      </c>
      <c r="B34" s="3611"/>
      <c r="C34" s="3612"/>
      <c r="D34" s="3205">
        <v>45954.31</v>
      </c>
      <c r="E34" s="3204" t="s">
        <v>3137</v>
      </c>
      <c r="F34" s="3204"/>
    </row>
    <row r="35" spans="1:11" ht="15" thickBot="1">
      <c r="A35" s="3618" t="s">
        <v>3143</v>
      </c>
      <c r="B35" s="3601" t="s">
        <v>3168</v>
      </c>
      <c r="C35" s="3603"/>
      <c r="D35" s="3205">
        <v>1821.97</v>
      </c>
      <c r="E35" s="3204" t="s">
        <v>3137</v>
      </c>
      <c r="F35" s="3204"/>
    </row>
    <row r="36" spans="1:11" ht="15" thickBot="1">
      <c r="A36" s="3619"/>
      <c r="B36" s="3601" t="s">
        <v>3169</v>
      </c>
      <c r="C36" s="3603"/>
      <c r="D36" s="3205">
        <v>708.16</v>
      </c>
      <c r="E36" s="3204" t="s">
        <v>3137</v>
      </c>
      <c r="F36" s="3204"/>
    </row>
    <row r="37" spans="1:11" ht="15" thickBot="1">
      <c r="A37" s="3619"/>
      <c r="B37" s="3601" t="s">
        <v>3170</v>
      </c>
      <c r="C37" s="3603"/>
      <c r="D37" s="3205">
        <v>43424.18</v>
      </c>
      <c r="E37" s="3204" t="s">
        <v>3137</v>
      </c>
      <c r="F37" s="3204"/>
    </row>
    <row r="38" spans="1:11" ht="15" thickBot="1">
      <c r="A38" s="3619"/>
      <c r="B38" s="3613" t="s">
        <v>3143</v>
      </c>
      <c r="C38" s="3204" t="s">
        <v>3171</v>
      </c>
      <c r="D38" s="3208">
        <v>33466</v>
      </c>
      <c r="E38" s="3204" t="s">
        <v>3137</v>
      </c>
      <c r="F38" s="3204"/>
    </row>
    <row r="39" spans="1:11" ht="24.75" thickBot="1">
      <c r="A39" s="3620"/>
      <c r="B39" s="3615"/>
      <c r="C39" s="3204" t="s">
        <v>3172</v>
      </c>
      <c r="D39" s="3205">
        <v>9958.17</v>
      </c>
      <c r="E39" s="3204" t="s">
        <v>3137</v>
      </c>
      <c r="F39" s="3204"/>
      <c r="H39" s="3226" t="s">
        <v>3202</v>
      </c>
      <c r="I39" s="3227" t="s">
        <v>3219</v>
      </c>
      <c r="J39" s="3227" t="s">
        <v>3134</v>
      </c>
      <c r="K39" s="3227" t="s">
        <v>3220</v>
      </c>
    </row>
    <row r="40" spans="1:11" ht="15.75" thickBot="1">
      <c r="A40" s="3601" t="s">
        <v>3173</v>
      </c>
      <c r="B40" s="3602"/>
      <c r="C40" s="3603"/>
      <c r="D40" s="3206">
        <v>2.2999999999999998</v>
      </c>
      <c r="E40" s="3205" t="s">
        <v>3174</v>
      </c>
      <c r="F40" s="3204"/>
      <c r="H40" s="3228">
        <v>1</v>
      </c>
      <c r="I40" s="3229" t="s">
        <v>3221</v>
      </c>
      <c r="J40" s="3230" t="s">
        <v>3222</v>
      </c>
      <c r="K40" s="3231">
        <v>61852</v>
      </c>
    </row>
    <row r="41" spans="1:11" ht="15.75" thickBot="1">
      <c r="A41" s="3601" t="s">
        <v>3175</v>
      </c>
      <c r="B41" s="3602"/>
      <c r="C41" s="3603"/>
      <c r="D41" s="3207">
        <v>0.21110000000000001</v>
      </c>
      <c r="E41" s="3205" t="s">
        <v>3176</v>
      </c>
      <c r="F41" s="3204"/>
      <c r="H41" s="3228">
        <v>2</v>
      </c>
      <c r="I41" s="3229" t="s">
        <v>3140</v>
      </c>
      <c r="J41" s="3230" t="s">
        <v>3222</v>
      </c>
      <c r="K41" s="3231">
        <v>188986.6</v>
      </c>
    </row>
    <row r="42" spans="1:11" ht="15.75" thickBot="1">
      <c r="A42" s="3621" t="s">
        <v>3177</v>
      </c>
      <c r="B42" s="3622"/>
      <c r="C42" s="3623"/>
      <c r="D42" s="3209">
        <v>13054.7</v>
      </c>
      <c r="E42" s="3210" t="s">
        <v>3137</v>
      </c>
      <c r="F42" s="3210"/>
      <c r="H42" s="3228">
        <v>3</v>
      </c>
      <c r="I42" s="3229" t="s">
        <v>3223</v>
      </c>
      <c r="J42" s="3230" t="s">
        <v>3222</v>
      </c>
      <c r="K42" s="3231">
        <v>138353.06</v>
      </c>
    </row>
    <row r="43" spans="1:11" ht="24.75" thickBot="1">
      <c r="A43" s="3613" t="s">
        <v>3143</v>
      </c>
      <c r="B43" s="3601" t="s">
        <v>3178</v>
      </c>
      <c r="C43" s="3603"/>
      <c r="D43" s="3205">
        <v>5454.7</v>
      </c>
      <c r="E43" s="3204" t="s">
        <v>3137</v>
      </c>
      <c r="F43" s="3204"/>
      <c r="H43" s="3228">
        <v>4</v>
      </c>
      <c r="I43" s="3229" t="s">
        <v>3224</v>
      </c>
      <c r="J43" s="3232"/>
      <c r="K43" s="3231">
        <v>2.2999999999999998</v>
      </c>
    </row>
    <row r="44" spans="1:11" ht="15" thickBot="1">
      <c r="A44" s="3615"/>
      <c r="B44" s="3601" t="s">
        <v>3179</v>
      </c>
      <c r="C44" s="3603"/>
      <c r="D44" s="3206">
        <v>7600</v>
      </c>
      <c r="E44" s="3204" t="s">
        <v>3137</v>
      </c>
      <c r="F44" s="3204"/>
      <c r="H44" s="3228">
        <v>5</v>
      </c>
      <c r="I44" s="3229" t="s">
        <v>3225</v>
      </c>
      <c r="J44" s="3230" t="s">
        <v>3176</v>
      </c>
      <c r="K44" s="3233">
        <v>0.35</v>
      </c>
    </row>
    <row r="45" spans="1:11" ht="15" thickBot="1">
      <c r="A45" s="3601" t="s">
        <v>3180</v>
      </c>
      <c r="B45" s="3602"/>
      <c r="C45" s="3603"/>
      <c r="D45" s="3207">
        <v>0.35</v>
      </c>
      <c r="E45" s="3205" t="s">
        <v>3176</v>
      </c>
      <c r="F45" s="3204"/>
      <c r="H45" s="3228">
        <v>6</v>
      </c>
      <c r="I45" s="3229" t="s">
        <v>3210</v>
      </c>
      <c r="J45" s="3232" t="s">
        <v>3226</v>
      </c>
      <c r="K45" s="3231">
        <v>141594.17000000001</v>
      </c>
    </row>
    <row r="46" spans="1:11" ht="25.5" thickBot="1">
      <c r="A46" s="3601" t="s">
        <v>3181</v>
      </c>
      <c r="B46" s="3602"/>
      <c r="C46" s="3603"/>
      <c r="D46" s="3205">
        <v>1302</v>
      </c>
      <c r="E46" s="3204" t="s">
        <v>3182</v>
      </c>
      <c r="F46" s="3204"/>
      <c r="H46" s="3234">
        <v>6.1</v>
      </c>
      <c r="I46" s="3229" t="s">
        <v>3227</v>
      </c>
      <c r="J46" s="3232" t="s">
        <v>3226</v>
      </c>
      <c r="K46" s="3231">
        <v>78936</v>
      </c>
    </row>
    <row r="47" spans="1:11" ht="25.5" thickBot="1">
      <c r="A47" s="3624" t="s">
        <v>3143</v>
      </c>
      <c r="B47" s="3625"/>
      <c r="C47" s="3204" t="s">
        <v>3183</v>
      </c>
      <c r="D47" s="3204"/>
      <c r="E47" s="3204" t="s">
        <v>3182</v>
      </c>
      <c r="F47" s="3204"/>
      <c r="H47" s="3234">
        <v>6.2</v>
      </c>
      <c r="I47" s="3235" t="s">
        <v>3228</v>
      </c>
      <c r="J47" s="3232" t="s">
        <v>3226</v>
      </c>
      <c r="K47" s="3231">
        <v>50000</v>
      </c>
    </row>
    <row r="48" spans="1:11" ht="25.5" thickBot="1">
      <c r="A48" s="3626"/>
      <c r="B48" s="3627"/>
      <c r="C48" s="3204" t="s">
        <v>3147</v>
      </c>
      <c r="D48" s="3204"/>
      <c r="E48" s="3204" t="s">
        <v>3182</v>
      </c>
      <c r="F48" s="3204"/>
      <c r="H48" s="3234">
        <v>6.3</v>
      </c>
      <c r="I48" s="3235" t="s">
        <v>3229</v>
      </c>
      <c r="J48" s="3232" t="s">
        <v>3226</v>
      </c>
      <c r="K48" s="3231">
        <v>12658.17</v>
      </c>
    </row>
    <row r="49" spans="1:11" ht="15" thickBot="1">
      <c r="A49" s="3601" t="s">
        <v>3184</v>
      </c>
      <c r="B49" s="3602"/>
      <c r="C49" s="3603"/>
      <c r="D49" s="3205">
        <v>4166</v>
      </c>
      <c r="E49" s="3204" t="s">
        <v>3185</v>
      </c>
      <c r="F49" s="3204"/>
      <c r="H49" s="3228">
        <v>7</v>
      </c>
      <c r="I49" s="3229" t="s">
        <v>3230</v>
      </c>
      <c r="J49" s="3232" t="s">
        <v>3226</v>
      </c>
      <c r="K49" s="3231">
        <v>170654.24</v>
      </c>
    </row>
    <row r="50" spans="1:11" ht="15" thickBot="1">
      <c r="A50" s="3601" t="s">
        <v>3186</v>
      </c>
      <c r="B50" s="3602"/>
      <c r="C50" s="3603"/>
      <c r="D50" s="3205" t="s">
        <v>3187</v>
      </c>
      <c r="E50" s="3204" t="s">
        <v>3188</v>
      </c>
      <c r="F50" s="3204"/>
      <c r="H50" s="3228">
        <v>8</v>
      </c>
      <c r="I50" s="3229" t="s">
        <v>3231</v>
      </c>
      <c r="J50" s="3232" t="s">
        <v>3226</v>
      </c>
      <c r="K50" s="3231">
        <v>16026.21</v>
      </c>
    </row>
    <row r="51" spans="1:11" ht="15" thickBot="1">
      <c r="A51" s="3601" t="s">
        <v>3189</v>
      </c>
      <c r="B51" s="3602"/>
      <c r="C51" s="3603"/>
      <c r="D51" s="3205">
        <v>31.44</v>
      </c>
      <c r="E51" s="3204" t="s">
        <v>3190</v>
      </c>
      <c r="F51" s="3204"/>
      <c r="H51" s="3228">
        <v>9</v>
      </c>
      <c r="I51" s="3229" t="s">
        <v>3232</v>
      </c>
      <c r="J51" s="3232" t="s">
        <v>3226</v>
      </c>
      <c r="K51" s="3231">
        <v>12019.66</v>
      </c>
    </row>
    <row r="52" spans="1:11" ht="15" thickBot="1">
      <c r="A52" s="3610" t="s">
        <v>3191</v>
      </c>
      <c r="B52" s="3611"/>
      <c r="C52" s="3612"/>
      <c r="D52" s="3205">
        <v>1535</v>
      </c>
      <c r="E52" s="3204" t="s">
        <v>3192</v>
      </c>
      <c r="F52" s="3210"/>
      <c r="H52" s="3228">
        <v>10</v>
      </c>
      <c r="I52" s="3229" t="s">
        <v>3233</v>
      </c>
      <c r="J52" s="3232"/>
      <c r="K52" s="3233">
        <v>0.1132</v>
      </c>
    </row>
    <row r="53" spans="1:11" ht="24.75" thickBot="1">
      <c r="A53" s="3613" t="s">
        <v>3143</v>
      </c>
      <c r="B53" s="3601" t="s">
        <v>3193</v>
      </c>
      <c r="C53" s="3603"/>
      <c r="D53" s="3205">
        <v>153</v>
      </c>
      <c r="E53" s="3204" t="s">
        <v>3192</v>
      </c>
      <c r="F53" s="3210"/>
      <c r="H53" s="3228">
        <v>11</v>
      </c>
      <c r="I53" s="3229" t="s">
        <v>3234</v>
      </c>
      <c r="J53" s="3232"/>
      <c r="K53" s="3233">
        <v>8.4900000000000003E-2</v>
      </c>
    </row>
    <row r="54" spans="1:11" ht="24.75" thickBot="1">
      <c r="A54" s="3614"/>
      <c r="B54" s="3601" t="s">
        <v>3194</v>
      </c>
      <c r="C54" s="3603"/>
      <c r="D54" s="3205">
        <v>1381</v>
      </c>
      <c r="E54" s="3204" t="s">
        <v>3192</v>
      </c>
      <c r="F54" s="3204"/>
      <c r="H54" s="3228">
        <v>12</v>
      </c>
      <c r="I54" s="3229" t="s">
        <v>3235</v>
      </c>
      <c r="J54" s="3232"/>
      <c r="K54" s="3233">
        <v>7.0400000000000004E-2</v>
      </c>
    </row>
    <row r="55" spans="1:11" ht="24.75" thickBot="1">
      <c r="A55" s="3614"/>
      <c r="B55" s="3613" t="s">
        <v>3143</v>
      </c>
      <c r="C55" s="3204" t="s">
        <v>3195</v>
      </c>
      <c r="D55" s="3205">
        <v>1080</v>
      </c>
      <c r="E55" s="3204" t="s">
        <v>3192</v>
      </c>
      <c r="F55" s="3204"/>
      <c r="H55" s="3228">
        <v>13</v>
      </c>
      <c r="I55" s="3229" t="s">
        <v>3236</v>
      </c>
      <c r="J55" s="3232"/>
      <c r="K55" s="3233">
        <v>1.4771000000000001</v>
      </c>
    </row>
    <row r="56" spans="1:11" ht="56.25" thickBot="1">
      <c r="A56" s="3615"/>
      <c r="B56" s="3615"/>
      <c r="C56" s="3204" t="s">
        <v>3196</v>
      </c>
      <c r="D56" s="3205">
        <v>302</v>
      </c>
      <c r="E56" s="3204" t="s">
        <v>3192</v>
      </c>
      <c r="F56" s="3204"/>
      <c r="H56" s="3228">
        <v>14</v>
      </c>
      <c r="I56" s="3236" t="s">
        <v>3237</v>
      </c>
      <c r="J56" s="3232"/>
      <c r="K56" s="3237">
        <v>11353.68</v>
      </c>
    </row>
    <row r="57" spans="1:11" ht="27.75" thickBot="1">
      <c r="A57" s="3610" t="s">
        <v>3197</v>
      </c>
      <c r="B57" s="3611"/>
      <c r="C57" s="3612"/>
      <c r="D57" s="3205">
        <v>1967</v>
      </c>
      <c r="E57" s="3204" t="s">
        <v>3192</v>
      </c>
      <c r="F57" s="3204"/>
      <c r="H57" s="3228">
        <v>15</v>
      </c>
      <c r="I57" s="3236" t="s">
        <v>3238</v>
      </c>
      <c r="J57" s="3232"/>
      <c r="K57" s="3233">
        <v>0.89829999999999999</v>
      </c>
    </row>
    <row r="58" spans="1:11" ht="15" thickBot="1">
      <c r="A58" s="3613" t="s">
        <v>3143</v>
      </c>
      <c r="B58" s="3601" t="s">
        <v>3198</v>
      </c>
      <c r="C58" s="3603"/>
      <c r="D58" s="3205">
        <v>1554</v>
      </c>
      <c r="E58" s="3204" t="s">
        <v>3192</v>
      </c>
      <c r="F58" s="3204"/>
    </row>
    <row r="59" spans="1:11" ht="15" thickBot="1">
      <c r="A59" s="3614"/>
      <c r="B59" s="3601" t="s">
        <v>3199</v>
      </c>
      <c r="C59" s="3603"/>
      <c r="D59" s="3205">
        <v>317</v>
      </c>
      <c r="E59" s="3204" t="s">
        <v>3192</v>
      </c>
      <c r="F59" s="3204"/>
    </row>
    <row r="60" spans="1:11" ht="15" thickBot="1">
      <c r="A60" s="3615"/>
      <c r="B60" s="3628" t="s">
        <v>3200</v>
      </c>
      <c r="C60" s="3629"/>
      <c r="D60" s="3205">
        <v>96</v>
      </c>
      <c r="E60" s="3204" t="s">
        <v>3192</v>
      </c>
      <c r="F60" s="3210"/>
    </row>
  </sheetData>
  <mergeCells count="45">
    <mergeCell ref="A58:A60"/>
    <mergeCell ref="B58:C58"/>
    <mergeCell ref="B59:C59"/>
    <mergeCell ref="B60:C60"/>
    <mergeCell ref="A52:C52"/>
    <mergeCell ref="A53:A56"/>
    <mergeCell ref="B53:C53"/>
    <mergeCell ref="B54:C54"/>
    <mergeCell ref="B55:B56"/>
    <mergeCell ref="A57:C57"/>
    <mergeCell ref="A51:C51"/>
    <mergeCell ref="A40:C40"/>
    <mergeCell ref="A41:C41"/>
    <mergeCell ref="A42:C42"/>
    <mergeCell ref="A43:A44"/>
    <mergeCell ref="B43:C43"/>
    <mergeCell ref="B44:C44"/>
    <mergeCell ref="A45:C45"/>
    <mergeCell ref="A46:C46"/>
    <mergeCell ref="A47:B48"/>
    <mergeCell ref="A49:C49"/>
    <mergeCell ref="A50:C50"/>
    <mergeCell ref="A32:C32"/>
    <mergeCell ref="A33:B33"/>
    <mergeCell ref="A34:C34"/>
    <mergeCell ref="A35:A39"/>
    <mergeCell ref="B35:C35"/>
    <mergeCell ref="B36:C36"/>
    <mergeCell ref="B37:C37"/>
    <mergeCell ref="B38:B39"/>
    <mergeCell ref="A9:C9"/>
    <mergeCell ref="A10:C10"/>
    <mergeCell ref="A11:A31"/>
    <mergeCell ref="B11:C11"/>
    <mergeCell ref="B12:B13"/>
    <mergeCell ref="B15:C15"/>
    <mergeCell ref="B16:B28"/>
    <mergeCell ref="B29:C29"/>
    <mergeCell ref="B30:B31"/>
    <mergeCell ref="A8:C8"/>
    <mergeCell ref="A3:F3"/>
    <mergeCell ref="A4:C4"/>
    <mergeCell ref="A5:C5"/>
    <mergeCell ref="A6:C6"/>
    <mergeCell ref="A7:C7"/>
  </mergeCells>
  <phoneticPr fontId="141"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77"/>
  <sheetViews>
    <sheetView zoomScaleNormal="100" workbookViewId="0">
      <selection activeCell="P21" sqref="P21"/>
    </sheetView>
  </sheetViews>
  <sheetFormatPr defaultRowHeight="13.5"/>
  <cols>
    <col min="2" max="3" width="10.5" bestFit="1" customWidth="1"/>
  </cols>
  <sheetData>
    <row r="3" spans="1:19">
      <c r="S3">
        <v>31</v>
      </c>
    </row>
    <row r="4" spans="1:19">
      <c r="S4">
        <v>28</v>
      </c>
    </row>
    <row r="5" spans="1:19">
      <c r="S5">
        <v>16</v>
      </c>
    </row>
    <row r="6" spans="1:19">
      <c r="S6">
        <v>61</v>
      </c>
    </row>
    <row r="10" spans="1:19">
      <c r="S10">
        <v>14</v>
      </c>
    </row>
    <row r="11" spans="1:19">
      <c r="A11" s="3201" t="s">
        <v>3384</v>
      </c>
    </row>
    <row r="12" spans="1:19">
      <c r="A12" s="3201" t="s">
        <v>3239</v>
      </c>
      <c r="B12" s="3201" t="s">
        <v>3381</v>
      </c>
    </row>
    <row r="13" spans="1:19">
      <c r="A13" s="3201" t="s">
        <v>3240</v>
      </c>
      <c r="B13">
        <v>62794</v>
      </c>
    </row>
    <row r="14" spans="1:19">
      <c r="A14" s="3201" t="s">
        <v>3241</v>
      </c>
      <c r="B14">
        <v>61852</v>
      </c>
    </row>
    <row r="15" spans="1:19">
      <c r="A15" s="3201" t="s">
        <v>3242</v>
      </c>
      <c r="B15" s="3201" t="s">
        <v>3243</v>
      </c>
    </row>
    <row r="16" spans="1:19">
      <c r="A16" s="3201" t="s">
        <v>3244</v>
      </c>
      <c r="B16" s="3201" t="s">
        <v>3245</v>
      </c>
    </row>
    <row r="17" spans="1:5">
      <c r="A17" s="3201" t="s">
        <v>3246</v>
      </c>
      <c r="B17" s="3238">
        <v>44025</v>
      </c>
      <c r="C17" s="3239" t="s">
        <v>3247</v>
      </c>
    </row>
    <row r="18" spans="1:5">
      <c r="A18" s="3201" t="s">
        <v>3248</v>
      </c>
      <c r="B18" s="3201" t="s">
        <v>3249</v>
      </c>
    </row>
    <row r="19" spans="1:5">
      <c r="A19" s="3201" t="s">
        <v>3250</v>
      </c>
      <c r="B19">
        <v>75900</v>
      </c>
      <c r="C19" s="3201" t="s">
        <v>3251</v>
      </c>
      <c r="D19">
        <f>0.74+6.85</f>
        <v>7.59</v>
      </c>
      <c r="E19">
        <f>ROUND(B19*0.03,2)</f>
        <v>2277</v>
      </c>
    </row>
    <row r="20" spans="1:5">
      <c r="A20" s="3201" t="s">
        <v>3252</v>
      </c>
      <c r="B20">
        <v>83456</v>
      </c>
      <c r="C20" s="3201" t="s">
        <v>3251</v>
      </c>
    </row>
    <row r="21" spans="1:5">
      <c r="A21" s="3201" t="s">
        <v>3253</v>
      </c>
      <c r="B21" s="3201" t="s">
        <v>3254</v>
      </c>
    </row>
    <row r="22" spans="1:5">
      <c r="A22" s="3201" t="s">
        <v>3255</v>
      </c>
      <c r="B22" s="3201" t="s">
        <v>3256</v>
      </c>
      <c r="C22">
        <v>2.2999999999999998</v>
      </c>
      <c r="D22" s="3201" t="s">
        <v>3257</v>
      </c>
      <c r="E22">
        <v>1.5</v>
      </c>
    </row>
    <row r="23" spans="1:5">
      <c r="A23" s="3201" t="s">
        <v>3258</v>
      </c>
      <c r="B23">
        <v>100</v>
      </c>
    </row>
    <row r="24" spans="1:5">
      <c r="A24" s="3201" t="s">
        <v>3259</v>
      </c>
      <c r="B24" s="3240">
        <v>0.23</v>
      </c>
    </row>
    <row r="25" spans="1:5">
      <c r="A25" s="3201" t="s">
        <v>3260</v>
      </c>
      <c r="B25" s="3240">
        <v>0.35</v>
      </c>
    </row>
    <row r="26" spans="1:5">
      <c r="A26" s="3201" t="s">
        <v>3261</v>
      </c>
      <c r="B26" s="3238">
        <v>44299</v>
      </c>
    </row>
    <row r="27" spans="1:5">
      <c r="A27" s="3201" t="s">
        <v>3262</v>
      </c>
      <c r="B27" s="3238">
        <v>45029</v>
      </c>
    </row>
    <row r="28" spans="1:5">
      <c r="A28" s="3201" t="s">
        <v>3263</v>
      </c>
    </row>
    <row r="29" spans="1:5">
      <c r="A29">
        <v>1</v>
      </c>
    </row>
    <row r="34" spans="1:2">
      <c r="A34">
        <v>2</v>
      </c>
    </row>
    <row r="40" spans="1:2">
      <c r="A40">
        <v>3</v>
      </c>
    </row>
    <row r="46" spans="1:2">
      <c r="A46" s="3201" t="s">
        <v>3264</v>
      </c>
      <c r="B46" s="3238">
        <v>43944</v>
      </c>
    </row>
    <row r="48" spans="1:2">
      <c r="A48" s="3201" t="s">
        <v>3265</v>
      </c>
    </row>
    <row r="49" spans="1:3">
      <c r="A49" s="3201" t="s">
        <v>3266</v>
      </c>
      <c r="B49" s="3201" t="s">
        <v>3382</v>
      </c>
    </row>
    <row r="51" spans="1:3">
      <c r="A51" s="3201" t="s">
        <v>3267</v>
      </c>
    </row>
    <row r="53" spans="1:3">
      <c r="A53" s="3201" t="s">
        <v>3385</v>
      </c>
    </row>
    <row r="54" spans="1:3">
      <c r="A54" s="3201" t="s">
        <v>3268</v>
      </c>
      <c r="B54" t="str">
        <f>B49</f>
        <v>福建长新房地产开发有限公司</v>
      </c>
    </row>
    <row r="55" spans="1:3">
      <c r="A55" s="3201" t="s">
        <v>3269</v>
      </c>
      <c r="B55" s="3201" t="s">
        <v>3270</v>
      </c>
    </row>
    <row r="56" spans="1:3">
      <c r="A56" s="3201" t="s">
        <v>3271</v>
      </c>
      <c r="B56" s="3201" t="s">
        <v>3243</v>
      </c>
    </row>
    <row r="57" spans="1:3">
      <c r="A57" s="3201" t="s">
        <v>3272</v>
      </c>
      <c r="B57" s="3201" t="s">
        <v>3273</v>
      </c>
    </row>
    <row r="58" spans="1:3">
      <c r="A58" s="3201" t="s">
        <v>3274</v>
      </c>
      <c r="B58" s="3201" t="s">
        <v>3275</v>
      </c>
      <c r="C58">
        <v>62794</v>
      </c>
    </row>
    <row r="59" spans="1:3">
      <c r="B59" s="3201" t="s">
        <v>3276</v>
      </c>
      <c r="C59">
        <v>61852</v>
      </c>
    </row>
    <row r="61" spans="1:3">
      <c r="A61" s="3201" t="s">
        <v>3277</v>
      </c>
    </row>
    <row r="62" spans="1:3">
      <c r="A62" s="3201" t="s">
        <v>3278</v>
      </c>
      <c r="B62" t="str">
        <f>B54</f>
        <v>福建长新房地产开发有限公司</v>
      </c>
    </row>
    <row r="63" spans="1:3">
      <c r="A63" s="3201" t="s">
        <v>3242</v>
      </c>
      <c r="B63" s="3201" t="s">
        <v>3383</v>
      </c>
    </row>
    <row r="64" spans="1:3">
      <c r="A64" s="3201" t="s">
        <v>3279</v>
      </c>
      <c r="B64" s="3201" t="s">
        <v>3280</v>
      </c>
    </row>
    <row r="65" spans="1:3">
      <c r="A65" s="3201" t="s">
        <v>3244</v>
      </c>
      <c r="B65" s="3201" t="s">
        <v>3245</v>
      </c>
    </row>
    <row r="66" spans="1:3">
      <c r="A66" s="3201" t="s">
        <v>3281</v>
      </c>
      <c r="B66">
        <v>61852</v>
      </c>
    </row>
    <row r="67" spans="1:3">
      <c r="A67" s="3201" t="s">
        <v>3282</v>
      </c>
      <c r="B67" s="3238">
        <v>44001</v>
      </c>
      <c r="C67" s="3238">
        <v>58610</v>
      </c>
    </row>
    <row r="68" spans="1:3">
      <c r="C68" s="3238">
        <v>69567</v>
      </c>
    </row>
    <row r="70" spans="1:3">
      <c r="A70" s="3201" t="s">
        <v>3386</v>
      </c>
    </row>
    <row r="71" spans="1:3">
      <c r="A71" s="3201" t="s">
        <v>3283</v>
      </c>
      <c r="B71" t="str">
        <f>B62</f>
        <v>福建长新房地产开发有限公司</v>
      </c>
    </row>
    <row r="72" spans="1:3">
      <c r="A72" s="3201" t="s">
        <v>3284</v>
      </c>
      <c r="B72" s="3201" t="s">
        <v>3326</v>
      </c>
    </row>
    <row r="73" spans="1:3">
      <c r="A73" s="3201" t="s">
        <v>3285</v>
      </c>
      <c r="B73" s="3201" t="s">
        <v>3286</v>
      </c>
    </row>
    <row r="74" spans="1:3">
      <c r="A74" s="3201" t="s">
        <v>3287</v>
      </c>
      <c r="B74" s="3201" t="s">
        <v>3288</v>
      </c>
      <c r="C74">
        <v>182146.65</v>
      </c>
    </row>
    <row r="75" spans="1:3">
      <c r="B75" s="3201" t="s">
        <v>3289</v>
      </c>
      <c r="C75">
        <v>142259.6</v>
      </c>
    </row>
    <row r="76" spans="1:3">
      <c r="B76" s="3201" t="s">
        <v>3290</v>
      </c>
      <c r="C76">
        <v>37923.82</v>
      </c>
    </row>
    <row r="77" spans="1:3">
      <c r="B77" s="3201" t="s">
        <v>3291</v>
      </c>
      <c r="C77">
        <v>1963.23</v>
      </c>
    </row>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zoomScale="80" zoomScaleNormal="80" workbookViewId="0">
      <selection activeCell="W3" sqref="W3"/>
    </sheetView>
  </sheetViews>
  <sheetFormatPr defaultRowHeight="13.5"/>
  <cols>
    <col min="1" max="2" width="9" style="3242"/>
    <col min="3" max="3" width="21.625" style="3242" bestFit="1" customWidth="1"/>
    <col min="4" max="15" width="9" style="3242"/>
    <col min="16" max="16" width="24.5" style="3242" customWidth="1"/>
    <col min="17" max="16384" width="9" style="3242"/>
  </cols>
  <sheetData>
    <row r="1" spans="1:26">
      <c r="A1" s="3241" t="s">
        <v>3313</v>
      </c>
      <c r="B1" s="3241" t="s">
        <v>3292</v>
      </c>
      <c r="C1" s="3241" t="s">
        <v>3289</v>
      </c>
      <c r="D1" s="3241" t="s">
        <v>3293</v>
      </c>
      <c r="E1" s="3241" t="s">
        <v>3294</v>
      </c>
      <c r="J1" s="3241" t="s">
        <v>3290</v>
      </c>
      <c r="M1" s="3241" t="s">
        <v>3314</v>
      </c>
      <c r="N1" s="3241" t="s">
        <v>3315</v>
      </c>
      <c r="P1" s="3241" t="s">
        <v>3343</v>
      </c>
      <c r="R1" s="3241" t="s">
        <v>3339</v>
      </c>
      <c r="S1" s="3241" t="s">
        <v>3340</v>
      </c>
    </row>
    <row r="2" spans="1:26">
      <c r="B2" s="3241"/>
      <c r="C2" s="3241"/>
      <c r="D2" s="3241"/>
      <c r="E2" s="3241" t="s">
        <v>3295</v>
      </c>
      <c r="F2" s="3241" t="s">
        <v>3296</v>
      </c>
      <c r="G2" s="3241" t="s">
        <v>3311</v>
      </c>
      <c r="H2" s="3241" t="s">
        <v>3298</v>
      </c>
      <c r="I2" s="3241" t="s">
        <v>3299</v>
      </c>
      <c r="K2" s="3241" t="s">
        <v>3312</v>
      </c>
      <c r="L2" s="3241" t="s">
        <v>3297</v>
      </c>
      <c r="N2" s="3241" t="s">
        <v>3317</v>
      </c>
      <c r="R2" s="3244">
        <v>0.55000000000000004</v>
      </c>
      <c r="S2" s="3244">
        <v>0.15</v>
      </c>
      <c r="U2" s="3241" t="s">
        <v>3365</v>
      </c>
      <c r="V2" s="3241" t="s">
        <v>3364</v>
      </c>
      <c r="W2" s="3241" t="s">
        <v>3388</v>
      </c>
      <c r="X2" s="3241" t="s">
        <v>3378</v>
      </c>
      <c r="Y2" s="3241" t="s">
        <v>3387</v>
      </c>
    </row>
    <row r="3" spans="1:26" s="3246" customFormat="1">
      <c r="A3" s="3245">
        <v>1</v>
      </c>
      <c r="B3" s="3246">
        <v>12504.13</v>
      </c>
      <c r="C3" s="3246">
        <v>12118.28</v>
      </c>
      <c r="D3" s="3246">
        <v>12504.13</v>
      </c>
      <c r="E3" s="3245">
        <f>D3-F3-G3</f>
        <v>11680.96</v>
      </c>
      <c r="F3" s="3245">
        <v>437.32</v>
      </c>
      <c r="G3" s="3245">
        <v>385.85</v>
      </c>
      <c r="M3" s="3246">
        <v>31</v>
      </c>
      <c r="N3" s="3245" t="s">
        <v>3316</v>
      </c>
      <c r="P3" s="3245" t="s">
        <v>3327</v>
      </c>
      <c r="Q3" s="3246">
        <v>18</v>
      </c>
      <c r="R3" s="3246">
        <f>ROUND(Q3/M3*$R$2,2)</f>
        <v>0.32</v>
      </c>
      <c r="S3" s="3247">
        <v>0.2</v>
      </c>
      <c r="T3" s="3247">
        <f>S3+R3</f>
        <v>0.52</v>
      </c>
      <c r="W3" s="3246">
        <f>ROUND(X3/$X$26*$J$25,2)</f>
        <v>2506.7399999999998</v>
      </c>
      <c r="X3" s="3246">
        <v>887.04</v>
      </c>
      <c r="Y3" s="3247">
        <v>0.6</v>
      </c>
      <c r="Z3" s="3246">
        <f>ROUND(W3/$W$26*Y3,5)</f>
        <v>3.9660000000000001E-2</v>
      </c>
    </row>
    <row r="4" spans="1:26" s="3246" customFormat="1" ht="27">
      <c r="A4" s="3246">
        <v>2</v>
      </c>
      <c r="B4" s="3246">
        <v>12976.45</v>
      </c>
      <c r="C4" s="3246">
        <v>12735.99</v>
      </c>
      <c r="D4" s="3246">
        <v>12976.45</v>
      </c>
      <c r="E4" s="3245">
        <f>D4-F4-G4</f>
        <v>11680.960000000001</v>
      </c>
      <c r="F4" s="3246">
        <v>1055.03</v>
      </c>
      <c r="G4" s="3246">
        <v>240.46</v>
      </c>
      <c r="M4" s="3246">
        <v>31</v>
      </c>
      <c r="N4" s="3245" t="s">
        <v>3316</v>
      </c>
      <c r="P4" s="3248" t="s">
        <v>3328</v>
      </c>
      <c r="Q4" s="3246">
        <v>20</v>
      </c>
      <c r="R4" s="3246">
        <f t="shared" ref="R4:R25" si="0">ROUND(Q4/M4*$R$2,2)</f>
        <v>0.35</v>
      </c>
      <c r="S4" s="3247">
        <v>0.2</v>
      </c>
      <c r="T4" s="3247">
        <f t="shared" ref="T4:T25" si="1">S4+R4</f>
        <v>0.55000000000000004</v>
      </c>
      <c r="W4" s="3246">
        <f t="shared" ref="W4:W24" si="2">ROUND(X4/$X$26*$J$25,2)</f>
        <v>3842.24</v>
      </c>
      <c r="X4" s="3246">
        <v>1359.62</v>
      </c>
      <c r="Y4" s="3247">
        <v>0.6</v>
      </c>
      <c r="Z4" s="3246">
        <f t="shared" ref="Z4:Z24" si="3">ROUND(W4/$W$26*Y4,5)</f>
        <v>6.0789999999999997E-2</v>
      </c>
    </row>
    <row r="5" spans="1:26" s="3246" customFormat="1">
      <c r="A5" s="3246">
        <v>3</v>
      </c>
      <c r="B5" s="3246">
        <v>13359.42</v>
      </c>
      <c r="C5" s="3246">
        <v>13359.42</v>
      </c>
      <c r="D5" s="3246">
        <v>13359.42</v>
      </c>
      <c r="E5" s="3246">
        <f>D5</f>
        <v>13359.42</v>
      </c>
      <c r="M5" s="3246">
        <v>32</v>
      </c>
      <c r="N5" s="3245" t="s">
        <v>3318</v>
      </c>
      <c r="P5" s="3245" t="s">
        <v>3329</v>
      </c>
      <c r="Q5" s="3246">
        <v>17</v>
      </c>
      <c r="R5" s="3246">
        <f t="shared" si="0"/>
        <v>0.28999999999999998</v>
      </c>
      <c r="S5" s="3247">
        <v>0.2</v>
      </c>
      <c r="T5" s="3247">
        <f t="shared" si="1"/>
        <v>0.49</v>
      </c>
      <c r="W5" s="3246">
        <f t="shared" si="2"/>
        <v>1428.75</v>
      </c>
      <c r="X5" s="3246">
        <v>505.58</v>
      </c>
      <c r="Y5" s="3247">
        <v>0.6</v>
      </c>
      <c r="Z5" s="3246">
        <f t="shared" si="3"/>
        <v>2.2599999999999999E-2</v>
      </c>
    </row>
    <row r="6" spans="1:26">
      <c r="A6" s="3242">
        <v>5</v>
      </c>
      <c r="B6" s="3242">
        <v>13359.42</v>
      </c>
      <c r="C6" s="3242">
        <f>B6</f>
        <v>13359.42</v>
      </c>
      <c r="D6" s="3242">
        <f>C6</f>
        <v>13359.42</v>
      </c>
      <c r="E6" s="3242">
        <f>D6</f>
        <v>13359.42</v>
      </c>
      <c r="M6" s="3242">
        <v>32</v>
      </c>
      <c r="N6" s="3241" t="s">
        <v>3318</v>
      </c>
      <c r="P6" s="3241" t="s">
        <v>3330</v>
      </c>
      <c r="Q6" s="3242">
        <v>0</v>
      </c>
      <c r="R6" s="3242">
        <f t="shared" si="0"/>
        <v>0</v>
      </c>
      <c r="S6" s="3244">
        <v>0.05</v>
      </c>
      <c r="T6" s="3244">
        <f t="shared" si="1"/>
        <v>0.05</v>
      </c>
      <c r="W6" s="3246">
        <f t="shared" si="2"/>
        <v>1424.14</v>
      </c>
      <c r="X6" s="3242">
        <v>503.95</v>
      </c>
      <c r="Y6" s="3244">
        <v>0.18</v>
      </c>
      <c r="Z6" s="3246">
        <f t="shared" si="3"/>
        <v>6.7600000000000004E-3</v>
      </c>
    </row>
    <row r="7" spans="1:26">
      <c r="A7" s="3242">
        <v>6</v>
      </c>
      <c r="B7" s="3242">
        <v>13372.56</v>
      </c>
      <c r="C7" s="3242">
        <v>12986.73</v>
      </c>
      <c r="D7" s="3242">
        <v>13372.56</v>
      </c>
      <c r="E7" s="3241">
        <f>D7-F7-G7</f>
        <v>12986.73</v>
      </c>
      <c r="G7" s="3242">
        <v>385.83</v>
      </c>
      <c r="M7" s="3242">
        <v>32</v>
      </c>
      <c r="N7" s="3241" t="s">
        <v>3318</v>
      </c>
      <c r="P7" s="3241" t="s">
        <v>3331</v>
      </c>
      <c r="Q7" s="3242">
        <v>0</v>
      </c>
      <c r="R7" s="3242">
        <f t="shared" si="0"/>
        <v>0</v>
      </c>
      <c r="S7" s="3244">
        <v>0.1</v>
      </c>
      <c r="T7" s="3244">
        <f t="shared" si="1"/>
        <v>0.1</v>
      </c>
      <c r="W7" s="3246">
        <f t="shared" si="2"/>
        <v>1330.07</v>
      </c>
      <c r="X7" s="3242">
        <v>470.66</v>
      </c>
      <c r="Y7" s="3244">
        <v>0.28000000000000003</v>
      </c>
      <c r="Z7" s="3246">
        <f t="shared" si="3"/>
        <v>9.8200000000000006E-3</v>
      </c>
    </row>
    <row r="8" spans="1:26" s="3246" customFormat="1">
      <c r="A8" s="3246">
        <v>7</v>
      </c>
      <c r="B8" s="3246">
        <v>12409.045</v>
      </c>
      <c r="C8" s="3246">
        <f>B8</f>
        <v>12409.045</v>
      </c>
      <c r="D8" s="3246">
        <f>C8</f>
        <v>12409.045</v>
      </c>
      <c r="E8" s="3246">
        <f>D8</f>
        <v>12409.045</v>
      </c>
      <c r="M8" s="3246">
        <v>32</v>
      </c>
      <c r="N8" s="3245" t="s">
        <v>3318</v>
      </c>
      <c r="P8" s="3245" t="s">
        <v>3332</v>
      </c>
      <c r="Q8" s="3246">
        <v>10</v>
      </c>
      <c r="R8" s="3246">
        <f t="shared" si="0"/>
        <v>0.17</v>
      </c>
      <c r="S8" s="3247">
        <v>0.2</v>
      </c>
      <c r="T8" s="3247">
        <f t="shared" si="1"/>
        <v>0.37</v>
      </c>
      <c r="W8" s="3246">
        <f t="shared" si="2"/>
        <v>1339.93</v>
      </c>
      <c r="X8" s="3246">
        <v>474.15</v>
      </c>
      <c r="Y8" s="3247">
        <v>0.6</v>
      </c>
      <c r="Z8" s="3246">
        <f t="shared" si="3"/>
        <v>2.12E-2</v>
      </c>
    </row>
    <row r="9" spans="1:26" ht="27">
      <c r="A9" s="3242">
        <v>8</v>
      </c>
      <c r="B9" s="3242">
        <v>12418.59</v>
      </c>
      <c r="C9" s="3242">
        <v>12067.11</v>
      </c>
      <c r="D9" s="3242">
        <v>12418.59</v>
      </c>
      <c r="E9" s="3241">
        <f>D9-F9-G9</f>
        <v>12067.11</v>
      </c>
      <c r="G9" s="3242">
        <v>351.48</v>
      </c>
      <c r="M9" s="3242">
        <v>32</v>
      </c>
      <c r="N9" s="3241" t="s">
        <v>3318</v>
      </c>
      <c r="P9" s="3243" t="s">
        <v>3333</v>
      </c>
      <c r="Q9" s="3242">
        <v>0</v>
      </c>
      <c r="R9" s="3242">
        <f t="shared" si="0"/>
        <v>0</v>
      </c>
      <c r="S9" s="3244">
        <v>0</v>
      </c>
      <c r="T9" s="3244">
        <f t="shared" si="1"/>
        <v>0</v>
      </c>
      <c r="W9" s="3246">
        <f t="shared" si="2"/>
        <v>1193.74</v>
      </c>
      <c r="X9" s="3242">
        <v>422.42</v>
      </c>
      <c r="Y9" s="3244">
        <v>0.14000000000000001</v>
      </c>
      <c r="Z9" s="3246">
        <f t="shared" si="3"/>
        <v>4.4099999999999999E-3</v>
      </c>
    </row>
    <row r="10" spans="1:26">
      <c r="A10" s="3242">
        <v>9</v>
      </c>
      <c r="B10" s="3242">
        <v>12419.78</v>
      </c>
      <c r="C10" s="3242">
        <v>12067.11</v>
      </c>
      <c r="D10" s="3242">
        <v>12419.78</v>
      </c>
      <c r="E10" s="3241">
        <f>D10-F10-G10</f>
        <v>12067.11</v>
      </c>
      <c r="G10" s="3242">
        <v>352.67</v>
      </c>
      <c r="M10" s="3242">
        <v>32</v>
      </c>
      <c r="N10" s="3241" t="s">
        <v>3318</v>
      </c>
      <c r="P10" s="3241" t="s">
        <v>3334</v>
      </c>
      <c r="Q10" s="3242">
        <v>0</v>
      </c>
      <c r="R10" s="3242">
        <f t="shared" si="0"/>
        <v>0</v>
      </c>
      <c r="S10" s="3244">
        <v>0.05</v>
      </c>
      <c r="T10" s="3244">
        <f t="shared" si="1"/>
        <v>0.05</v>
      </c>
      <c r="W10" s="3246">
        <f t="shared" si="2"/>
        <v>1195.6099999999999</v>
      </c>
      <c r="X10" s="3242">
        <v>423.08</v>
      </c>
      <c r="Y10" s="3244">
        <v>0.18</v>
      </c>
      <c r="Z10" s="3246">
        <f t="shared" si="3"/>
        <v>5.6699999999999997E-3</v>
      </c>
    </row>
    <row r="11" spans="1:26">
      <c r="A11" s="3242">
        <v>10</v>
      </c>
      <c r="B11" s="3242">
        <v>14791.865</v>
      </c>
      <c r="C11" s="3242">
        <f t="shared" ref="C11:D22" si="4">B11</f>
        <v>14791.865</v>
      </c>
      <c r="D11" s="3242">
        <f t="shared" si="4"/>
        <v>14791.865</v>
      </c>
      <c r="E11" s="3242">
        <f>D11-H11</f>
        <v>14688.264999999999</v>
      </c>
      <c r="H11" s="3242">
        <v>103.6</v>
      </c>
      <c r="M11" s="3242">
        <v>31</v>
      </c>
      <c r="N11" s="3241" t="s">
        <v>3319</v>
      </c>
      <c r="P11" s="3241" t="s">
        <v>3336</v>
      </c>
      <c r="Q11" s="3242">
        <v>0</v>
      </c>
      <c r="R11" s="3242">
        <f t="shared" si="0"/>
        <v>0</v>
      </c>
      <c r="S11" s="3244">
        <v>0.03</v>
      </c>
      <c r="T11" s="3244">
        <f t="shared" si="1"/>
        <v>0.03</v>
      </c>
      <c r="W11" s="3246">
        <f t="shared" si="2"/>
        <v>1463.85</v>
      </c>
      <c r="X11" s="3242">
        <v>518</v>
      </c>
      <c r="Y11" s="3244">
        <v>0</v>
      </c>
      <c r="Z11" s="3246">
        <f t="shared" si="3"/>
        <v>0</v>
      </c>
    </row>
    <row r="12" spans="1:26">
      <c r="A12" s="3242">
        <v>11</v>
      </c>
      <c r="B12" s="3242">
        <v>16436.259999999998</v>
      </c>
      <c r="C12" s="3242">
        <f t="shared" si="4"/>
        <v>16436.259999999998</v>
      </c>
      <c r="D12" s="3242">
        <f t="shared" si="4"/>
        <v>16436.259999999998</v>
      </c>
      <c r="E12" s="3242">
        <f>D12-H12-I12</f>
        <v>15312.859999999997</v>
      </c>
      <c r="H12" s="3242">
        <v>234.45</v>
      </c>
      <c r="I12" s="3242">
        <f>610.34+200.36+60.43+7.49+10.33</f>
        <v>888.95</v>
      </c>
      <c r="M12" s="3242">
        <v>31</v>
      </c>
      <c r="N12" s="3241" t="s">
        <v>3320</v>
      </c>
      <c r="P12" s="3242" t="s">
        <v>3335</v>
      </c>
      <c r="Q12" s="3242">
        <v>0</v>
      </c>
      <c r="R12" s="3242">
        <f t="shared" si="0"/>
        <v>0</v>
      </c>
      <c r="S12" s="3244">
        <v>0.03</v>
      </c>
      <c r="T12" s="3244">
        <f t="shared" si="1"/>
        <v>0.03</v>
      </c>
      <c r="W12" s="3246">
        <f t="shared" si="2"/>
        <v>3659.54</v>
      </c>
      <c r="X12" s="3242">
        <v>1294.97</v>
      </c>
      <c r="Y12" s="3244">
        <v>0</v>
      </c>
      <c r="Z12" s="3246">
        <f t="shared" si="3"/>
        <v>0</v>
      </c>
    </row>
    <row r="13" spans="1:26">
      <c r="A13" s="3241" t="s">
        <v>3300</v>
      </c>
      <c r="B13" s="3242">
        <v>476</v>
      </c>
      <c r="C13" s="3242">
        <f t="shared" si="4"/>
        <v>476</v>
      </c>
      <c r="D13" s="3242">
        <f t="shared" si="4"/>
        <v>476</v>
      </c>
      <c r="F13" s="3242">
        <v>476</v>
      </c>
      <c r="M13" s="3242">
        <v>2</v>
      </c>
      <c r="N13" s="3241" t="s">
        <v>3321</v>
      </c>
      <c r="P13" s="3241" t="s">
        <v>3337</v>
      </c>
      <c r="Q13" s="3242">
        <v>2</v>
      </c>
      <c r="R13" s="3242">
        <f t="shared" si="0"/>
        <v>0.55000000000000004</v>
      </c>
      <c r="S13" s="3244">
        <v>0.2</v>
      </c>
      <c r="T13" s="3244">
        <f t="shared" si="1"/>
        <v>0.75</v>
      </c>
      <c r="W13" s="3246">
        <f t="shared" si="2"/>
        <v>672.58</v>
      </c>
      <c r="X13" s="3242">
        <v>238</v>
      </c>
      <c r="Y13" s="3244">
        <v>0.42</v>
      </c>
      <c r="Z13" s="3246">
        <f t="shared" si="3"/>
        <v>7.45E-3</v>
      </c>
    </row>
    <row r="14" spans="1:26" s="3249" customFormat="1">
      <c r="A14" s="3249" t="s">
        <v>3341</v>
      </c>
      <c r="B14" s="3249">
        <v>1714.5</v>
      </c>
      <c r="C14" s="3249">
        <f t="shared" si="4"/>
        <v>1714.5</v>
      </c>
      <c r="D14" s="3249">
        <f t="shared" si="4"/>
        <v>1714.5</v>
      </c>
      <c r="F14" s="3249">
        <v>1714.5</v>
      </c>
      <c r="M14" s="3249">
        <v>2</v>
      </c>
      <c r="N14" s="3249" t="s">
        <v>3321</v>
      </c>
      <c r="P14" s="3249" t="s">
        <v>3338</v>
      </c>
      <c r="Q14" s="3249">
        <v>0</v>
      </c>
      <c r="R14" s="3249">
        <f t="shared" si="0"/>
        <v>0</v>
      </c>
      <c r="S14" s="3250">
        <v>0.2</v>
      </c>
      <c r="T14" s="3250">
        <f t="shared" si="1"/>
        <v>0.2</v>
      </c>
      <c r="W14" s="3246">
        <f t="shared" si="2"/>
        <v>2497.33</v>
      </c>
      <c r="X14" s="3249">
        <v>883.71</v>
      </c>
      <c r="Y14" s="3263">
        <v>0.6</v>
      </c>
      <c r="Z14" s="3246">
        <f t="shared" si="3"/>
        <v>3.9510000000000003E-2</v>
      </c>
    </row>
    <row r="15" spans="1:26" s="3249" customFormat="1">
      <c r="A15" s="3249" t="s">
        <v>3342</v>
      </c>
      <c r="B15" s="3249">
        <v>2193</v>
      </c>
      <c r="C15" s="3249">
        <f t="shared" si="4"/>
        <v>2193</v>
      </c>
      <c r="D15" s="3249">
        <f t="shared" si="4"/>
        <v>2193</v>
      </c>
      <c r="F15" s="3249">
        <v>2193</v>
      </c>
      <c r="M15" s="3249">
        <v>2</v>
      </c>
      <c r="N15" s="3249" t="s">
        <v>3321</v>
      </c>
      <c r="Q15" s="3249">
        <v>0</v>
      </c>
      <c r="R15" s="3249">
        <f t="shared" si="0"/>
        <v>0</v>
      </c>
      <c r="S15" s="3244">
        <v>0</v>
      </c>
      <c r="T15" s="3250">
        <f t="shared" si="1"/>
        <v>0</v>
      </c>
      <c r="W15" s="3246">
        <f t="shared" si="2"/>
        <v>3181.92</v>
      </c>
      <c r="X15" s="3249">
        <v>1125.96</v>
      </c>
      <c r="Y15" s="3249">
        <v>0</v>
      </c>
      <c r="Z15" s="3246">
        <f t="shared" si="3"/>
        <v>0</v>
      </c>
    </row>
    <row r="16" spans="1:26" s="3249" customFormat="1">
      <c r="A16" s="3249" t="s">
        <v>3301</v>
      </c>
      <c r="B16" s="3249">
        <v>2193</v>
      </c>
      <c r="C16" s="3249">
        <f t="shared" si="4"/>
        <v>2193</v>
      </c>
      <c r="D16" s="3249">
        <f t="shared" si="4"/>
        <v>2193</v>
      </c>
      <c r="F16" s="3249">
        <v>2193</v>
      </c>
      <c r="M16" s="3249">
        <v>2</v>
      </c>
      <c r="N16" s="3249" t="s">
        <v>3321</v>
      </c>
      <c r="Q16" s="3249">
        <v>0</v>
      </c>
      <c r="R16" s="3249">
        <f t="shared" si="0"/>
        <v>0</v>
      </c>
      <c r="S16" s="3244">
        <v>0</v>
      </c>
      <c r="T16" s="3250">
        <f t="shared" si="1"/>
        <v>0</v>
      </c>
      <c r="W16" s="3246">
        <f t="shared" si="2"/>
        <v>3098.67</v>
      </c>
      <c r="X16" s="3249">
        <v>1096.5</v>
      </c>
      <c r="Y16" s="3249">
        <v>0</v>
      </c>
      <c r="Z16" s="3246">
        <f t="shared" si="3"/>
        <v>0</v>
      </c>
    </row>
    <row r="17" spans="1:26">
      <c r="A17" s="3241" t="s">
        <v>3302</v>
      </c>
      <c r="B17" s="3242">
        <v>600.70000000000005</v>
      </c>
      <c r="C17" s="3242">
        <f t="shared" si="4"/>
        <v>600.70000000000005</v>
      </c>
      <c r="D17" s="3242">
        <f t="shared" si="4"/>
        <v>600.70000000000005</v>
      </c>
      <c r="I17" s="3242">
        <f>200.26+400.44</f>
        <v>600.70000000000005</v>
      </c>
      <c r="M17" s="3242">
        <v>1</v>
      </c>
      <c r="N17" s="3241" t="s">
        <v>3322</v>
      </c>
      <c r="Q17" s="3242">
        <v>0</v>
      </c>
      <c r="R17" s="3242">
        <f t="shared" si="0"/>
        <v>0</v>
      </c>
      <c r="S17" s="3244">
        <v>0</v>
      </c>
      <c r="T17" s="3250">
        <f t="shared" si="1"/>
        <v>0</v>
      </c>
      <c r="W17" s="3246">
        <f t="shared" si="2"/>
        <v>1707.39</v>
      </c>
      <c r="X17" s="3242">
        <v>604.17999999999995</v>
      </c>
      <c r="Y17" s="3249">
        <v>0</v>
      </c>
      <c r="Z17" s="3246">
        <f t="shared" si="3"/>
        <v>0</v>
      </c>
    </row>
    <row r="18" spans="1:26">
      <c r="A18" s="3241" t="s">
        <v>3303</v>
      </c>
      <c r="B18" s="3242">
        <v>1311.99</v>
      </c>
      <c r="C18" s="3242">
        <f t="shared" si="4"/>
        <v>1311.99</v>
      </c>
      <c r="D18" s="3242">
        <f t="shared" si="4"/>
        <v>1311.99</v>
      </c>
      <c r="I18" s="3242">
        <f>500.4+200.19+300.72+50.28+60.13+200.27</f>
        <v>1311.99</v>
      </c>
      <c r="M18" s="3242">
        <v>1</v>
      </c>
      <c r="N18" s="3241" t="s">
        <v>3322</v>
      </c>
      <c r="Q18" s="3242">
        <v>0</v>
      </c>
      <c r="R18" s="3242">
        <f t="shared" si="0"/>
        <v>0</v>
      </c>
      <c r="S18" s="3244">
        <v>0</v>
      </c>
      <c r="T18" s="3250">
        <f t="shared" si="1"/>
        <v>0</v>
      </c>
      <c r="W18" s="3246">
        <f t="shared" si="2"/>
        <v>3804.54</v>
      </c>
      <c r="X18" s="3242">
        <v>1346.28</v>
      </c>
      <c r="Y18" s="3249">
        <v>0</v>
      </c>
      <c r="Z18" s="3246">
        <f t="shared" si="3"/>
        <v>0</v>
      </c>
    </row>
    <row r="19" spans="1:26">
      <c r="A19" s="3241" t="s">
        <v>3304</v>
      </c>
      <c r="B19" s="3242">
        <v>285.81</v>
      </c>
      <c r="C19" s="3242">
        <f t="shared" si="4"/>
        <v>285.81</v>
      </c>
      <c r="D19" s="3242">
        <f t="shared" si="4"/>
        <v>285.81</v>
      </c>
      <c r="H19" s="3242">
        <v>285.81</v>
      </c>
      <c r="M19" s="3242">
        <v>2</v>
      </c>
      <c r="N19" s="3241" t="s">
        <v>3323</v>
      </c>
      <c r="Q19" s="3242">
        <v>0</v>
      </c>
      <c r="R19" s="3242">
        <f t="shared" si="0"/>
        <v>0</v>
      </c>
      <c r="S19" s="3244">
        <v>0</v>
      </c>
      <c r="T19" s="3250">
        <f t="shared" si="1"/>
        <v>0</v>
      </c>
      <c r="W19" s="3246">
        <f t="shared" si="2"/>
        <v>556.35</v>
      </c>
      <c r="X19" s="3242">
        <v>196.87</v>
      </c>
      <c r="Y19" s="3249">
        <v>0</v>
      </c>
      <c r="Z19" s="3246">
        <f t="shared" si="3"/>
        <v>0</v>
      </c>
    </row>
    <row r="20" spans="1:26">
      <c r="A20" s="3241" t="s">
        <v>3305</v>
      </c>
      <c r="B20" s="3242">
        <v>690.3</v>
      </c>
      <c r="C20" s="3242">
        <f t="shared" si="4"/>
        <v>690.3</v>
      </c>
      <c r="D20" s="3242">
        <f t="shared" si="4"/>
        <v>690.3</v>
      </c>
      <c r="I20" s="3242">
        <f>500.16+190.14</f>
        <v>690.3</v>
      </c>
      <c r="M20" s="3242">
        <v>2</v>
      </c>
      <c r="N20" s="3241" t="s">
        <v>3322</v>
      </c>
      <c r="Q20" s="3242">
        <v>0</v>
      </c>
      <c r="R20" s="3242">
        <f t="shared" si="0"/>
        <v>0</v>
      </c>
      <c r="S20" s="3244">
        <v>0</v>
      </c>
      <c r="T20" s="3250">
        <f t="shared" si="1"/>
        <v>0</v>
      </c>
      <c r="W20" s="3246">
        <f t="shared" si="2"/>
        <v>1013.96</v>
      </c>
      <c r="X20" s="3242">
        <v>358.8</v>
      </c>
      <c r="Y20" s="3249">
        <v>0</v>
      </c>
      <c r="Z20" s="3246">
        <f t="shared" si="3"/>
        <v>0</v>
      </c>
    </row>
    <row r="21" spans="1:26">
      <c r="A21" s="3241" t="s">
        <v>3306</v>
      </c>
      <c r="B21" s="3242">
        <v>240</v>
      </c>
      <c r="C21" s="3242">
        <f t="shared" si="4"/>
        <v>240</v>
      </c>
      <c r="D21" s="3242">
        <f t="shared" si="4"/>
        <v>240</v>
      </c>
      <c r="I21" s="3242">
        <v>240</v>
      </c>
      <c r="M21" s="3242">
        <v>1</v>
      </c>
      <c r="N21" s="3241" t="s">
        <v>3322</v>
      </c>
      <c r="Q21" s="3242">
        <v>0</v>
      </c>
      <c r="R21" s="3242">
        <f t="shared" si="0"/>
        <v>0</v>
      </c>
      <c r="S21" s="3244">
        <v>0</v>
      </c>
      <c r="T21" s="3250">
        <f t="shared" si="1"/>
        <v>0</v>
      </c>
      <c r="W21" s="3246">
        <f t="shared" si="2"/>
        <v>678.23</v>
      </c>
      <c r="X21" s="3242">
        <v>240</v>
      </c>
      <c r="Y21" s="3249">
        <v>0</v>
      </c>
      <c r="Z21" s="3246">
        <f t="shared" si="3"/>
        <v>0</v>
      </c>
    </row>
    <row r="22" spans="1:26">
      <c r="A22" s="3241" t="s">
        <v>3307</v>
      </c>
      <c r="B22" s="3242">
        <v>200</v>
      </c>
      <c r="C22" s="3242">
        <f t="shared" si="4"/>
        <v>200</v>
      </c>
      <c r="D22" s="3242">
        <f t="shared" si="4"/>
        <v>200</v>
      </c>
      <c r="I22" s="3242">
        <v>200</v>
      </c>
      <c r="M22" s="3242">
        <v>1</v>
      </c>
      <c r="N22" s="3241" t="s">
        <v>3322</v>
      </c>
      <c r="Q22" s="3242">
        <v>0</v>
      </c>
      <c r="R22" s="3242">
        <f t="shared" si="0"/>
        <v>0</v>
      </c>
      <c r="S22" s="3244">
        <v>0</v>
      </c>
      <c r="T22" s="3250">
        <f t="shared" si="1"/>
        <v>0</v>
      </c>
      <c r="W22" s="3246">
        <f t="shared" si="2"/>
        <v>565.19000000000005</v>
      </c>
      <c r="X22" s="3242">
        <v>200</v>
      </c>
      <c r="Y22" s="3249">
        <v>0</v>
      </c>
      <c r="Z22" s="3246">
        <f t="shared" si="3"/>
        <v>0</v>
      </c>
    </row>
    <row r="23" spans="1:26">
      <c r="A23" s="3241" t="s">
        <v>3308</v>
      </c>
      <c r="B23" s="3242">
        <v>137.46</v>
      </c>
      <c r="C23" s="3242">
        <v>12.98</v>
      </c>
      <c r="D23" s="3242">
        <v>137.46</v>
      </c>
      <c r="G23" s="3242">
        <v>124.48</v>
      </c>
      <c r="H23" s="3242">
        <v>12.98</v>
      </c>
      <c r="M23" s="3242">
        <v>1</v>
      </c>
      <c r="N23" s="3241" t="s">
        <v>3324</v>
      </c>
      <c r="Q23" s="3242">
        <v>0</v>
      </c>
      <c r="R23" s="3242">
        <f t="shared" si="0"/>
        <v>0</v>
      </c>
      <c r="S23" s="3244">
        <v>0</v>
      </c>
      <c r="T23" s="3250">
        <f t="shared" si="1"/>
        <v>0</v>
      </c>
      <c r="W23" s="3246">
        <f t="shared" si="2"/>
        <v>388.46</v>
      </c>
      <c r="X23" s="3242">
        <v>137.46</v>
      </c>
      <c r="Y23" s="3249">
        <v>0</v>
      </c>
      <c r="Z23" s="3246">
        <f t="shared" si="3"/>
        <v>0</v>
      </c>
    </row>
    <row r="24" spans="1:26">
      <c r="A24" s="3241" t="s">
        <v>3309</v>
      </c>
      <c r="B24" s="3242">
        <v>132.55000000000001</v>
      </c>
      <c r="C24" s="3242">
        <v>10.09</v>
      </c>
      <c r="D24" s="3242">
        <v>132.55000000000001</v>
      </c>
      <c r="G24" s="3242">
        <v>122.46</v>
      </c>
      <c r="H24" s="3242">
        <v>10.09</v>
      </c>
      <c r="M24" s="3242">
        <v>1</v>
      </c>
      <c r="N24" s="3241" t="s">
        <v>3324</v>
      </c>
      <c r="Q24" s="3242">
        <v>0</v>
      </c>
      <c r="R24" s="3242">
        <f t="shared" si="0"/>
        <v>0</v>
      </c>
      <c r="S24" s="3244">
        <v>0</v>
      </c>
      <c r="T24" s="3250">
        <f t="shared" si="1"/>
        <v>0</v>
      </c>
      <c r="W24" s="3246">
        <f t="shared" si="2"/>
        <v>374.58</v>
      </c>
      <c r="X24" s="3242">
        <v>132.55000000000001</v>
      </c>
      <c r="Y24" s="3249">
        <v>0</v>
      </c>
      <c r="Z24" s="3246">
        <f t="shared" si="3"/>
        <v>0</v>
      </c>
    </row>
    <row r="25" spans="1:26">
      <c r="A25" s="3241" t="s">
        <v>3310</v>
      </c>
      <c r="B25" s="3242">
        <v>37923.82</v>
      </c>
      <c r="C25" s="3242">
        <v>0</v>
      </c>
      <c r="D25" s="3242">
        <v>0</v>
      </c>
      <c r="J25" s="3242">
        <v>37923.82</v>
      </c>
      <c r="K25" s="3242">
        <f>J25-L25</f>
        <v>37838.57</v>
      </c>
      <c r="L25" s="3242">
        <v>85.25</v>
      </c>
      <c r="M25" s="3242">
        <v>1</v>
      </c>
      <c r="N25" s="3241" t="s">
        <v>3325</v>
      </c>
      <c r="Q25" s="3242">
        <v>0</v>
      </c>
      <c r="R25" s="3242">
        <f t="shared" si="0"/>
        <v>0</v>
      </c>
      <c r="S25" s="3244">
        <v>0</v>
      </c>
      <c r="T25" s="3250">
        <f t="shared" si="1"/>
        <v>0</v>
      </c>
      <c r="Z25" s="3241"/>
    </row>
    <row r="26" spans="1:26">
      <c r="B26" s="3242">
        <f>SUM(B3:B25)</f>
        <v>182146.64999999997</v>
      </c>
      <c r="C26" s="3242">
        <f t="shared" ref="C26:L26" si="5">SUM(C3:C25)</f>
        <v>142259.6</v>
      </c>
      <c r="D26" s="3242">
        <f t="shared" si="5"/>
        <v>144222.82999999996</v>
      </c>
      <c r="E26" s="3242">
        <f t="shared" si="5"/>
        <v>129611.87999999999</v>
      </c>
      <c r="F26" s="3242">
        <f t="shared" si="5"/>
        <v>8068.85</v>
      </c>
      <c r="G26" s="3242">
        <f t="shared" si="5"/>
        <v>1963.2300000000002</v>
      </c>
      <c r="H26" s="3242">
        <f t="shared" si="5"/>
        <v>646.92999999999995</v>
      </c>
      <c r="I26" s="3242">
        <f t="shared" si="5"/>
        <v>3931.9400000000005</v>
      </c>
      <c r="J26" s="3242">
        <f t="shared" si="5"/>
        <v>37923.82</v>
      </c>
      <c r="K26" s="3242">
        <f t="shared" si="5"/>
        <v>37838.57</v>
      </c>
      <c r="L26" s="3242">
        <f t="shared" si="5"/>
        <v>85.25</v>
      </c>
      <c r="W26" s="3242">
        <f>SUM(W3:W25)</f>
        <v>37923.810000000005</v>
      </c>
      <c r="X26" s="3242">
        <f>SUM(X3:X25)</f>
        <v>13419.779999999999</v>
      </c>
      <c r="Z26" s="3242">
        <f>SUM(Z3:Z25)</f>
        <v>0.21787000000000001</v>
      </c>
    </row>
    <row r="27" spans="1:26">
      <c r="X27" s="3242">
        <f>K26/X26</f>
        <v>2.8196117969147036</v>
      </c>
    </row>
    <row r="28" spans="1:26">
      <c r="L28" s="3241" t="s">
        <v>3366</v>
      </c>
    </row>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5" t="str">
        <f>IF(项目基本情况!B9="房地产市场价值","估价结果一览表","结果表-2")</f>
        <v>估价结果一览表</v>
      </c>
      <c r="B1" s="3275"/>
      <c r="C1" s="3275"/>
      <c r="D1" s="3275"/>
      <c r="E1" s="3275"/>
      <c r="F1" s="3275"/>
      <c r="G1" s="3275"/>
      <c r="H1" s="3275"/>
      <c r="I1" s="3275"/>
    </row>
    <row r="2" spans="1:9" ht="30" customHeight="1" thickTop="1">
      <c r="A2" s="3276" t="s">
        <v>1546</v>
      </c>
      <c r="B2" s="3276" t="s">
        <v>1547</v>
      </c>
      <c r="C2" s="3276" t="s">
        <v>1548</v>
      </c>
      <c r="D2" s="3276" t="str">
        <f>结果表!D116</f>
        <v>出让国有建设用地使用权价值</v>
      </c>
      <c r="E2" s="3276"/>
      <c r="F2" s="3276" t="str">
        <f>结果表!F116</f>
        <v>在建建筑物价值</v>
      </c>
      <c r="G2" s="3276"/>
      <c r="H2" s="3276" t="str">
        <f>IF(项目基本情况!B9="房地产市场价值","房地产市场价值","房地产价值")</f>
        <v>房地产市场价值</v>
      </c>
      <c r="I2" s="3276"/>
    </row>
    <row r="3" spans="1:9" ht="15">
      <c r="A3" s="3277"/>
      <c r="B3" s="3277"/>
      <c r="C3" s="3277"/>
      <c r="D3" s="963" t="s">
        <v>1543</v>
      </c>
      <c r="E3" s="963" t="s">
        <v>1549</v>
      </c>
      <c r="F3" s="963" t="s">
        <v>1543</v>
      </c>
      <c r="G3" s="963" t="s">
        <v>1544</v>
      </c>
      <c r="H3" s="963" t="s">
        <v>1543</v>
      </c>
      <c r="I3" s="963" t="s">
        <v>1544</v>
      </c>
    </row>
    <row r="4" spans="1:9" ht="30">
      <c r="A4" s="1660" t="str">
        <f>项目基本情况!S2</f>
        <v>福建省福州市长乐区鹤上镇京岭路北侧、道庆路西侧房地产</v>
      </c>
      <c r="B4" s="963">
        <f>项目基本情况!C17</f>
        <v>39892.17</v>
      </c>
      <c r="C4" s="963">
        <f>项目基本情况!C18</f>
        <v>13546.29</v>
      </c>
      <c r="D4" s="963" t="e">
        <f ca="1">结果表!D118</f>
        <v>#REF!</v>
      </c>
      <c r="E4" s="963" t="e">
        <f ca="1">结果表!E118</f>
        <v>#REF!</v>
      </c>
      <c r="F4" s="963" t="e">
        <f ca="1">结果表!F118</f>
        <v>#REF!</v>
      </c>
      <c r="G4" s="963" t="e">
        <f ca="1">结果表!G118</f>
        <v>#REF!</v>
      </c>
      <c r="H4" s="963">
        <f ca="1">结果表!H118</f>
        <v>3870</v>
      </c>
      <c r="I4" s="963">
        <f ca="1">结果表!I118</f>
        <v>970</v>
      </c>
    </row>
    <row r="5" spans="1:9" ht="30" customHeight="1">
      <c r="A5" s="3277" t="s">
        <v>1545</v>
      </c>
      <c r="B5" s="3277"/>
      <c r="C5" s="3277"/>
      <c r="D5" s="3278" t="e">
        <f ca="1">结果表!D119</f>
        <v>#REF!</v>
      </c>
      <c r="E5" s="3278"/>
      <c r="F5" s="3278" t="e">
        <f ca="1">结果表!F119</f>
        <v>#REF!</v>
      </c>
      <c r="G5" s="3278"/>
      <c r="H5" s="3278" t="str">
        <f ca="1">结果表!H119</f>
        <v>叁仟捌佰柒拾万元整</v>
      </c>
      <c r="I5" s="3278"/>
    </row>
    <row r="6" spans="1:9" ht="15.75">
      <c r="A6" s="3279" t="str">
        <f>结果表!A120</f>
        <v/>
      </c>
      <c r="B6" s="3279"/>
      <c r="C6" s="3279"/>
      <c r="D6" s="3279">
        <f>结果表!D120</f>
        <v>0</v>
      </c>
      <c r="E6" s="3279"/>
      <c r="F6" s="3279"/>
      <c r="G6" s="3279"/>
      <c r="H6" s="3279"/>
      <c r="I6" s="3279"/>
    </row>
    <row r="7" spans="1:9" ht="15">
      <c r="A7" s="3277" t="s">
        <v>1545</v>
      </c>
      <c r="B7" s="3277"/>
      <c r="C7" s="3277"/>
      <c r="D7" s="3280" t="str">
        <f>结果表!D121</f>
        <v>零元整</v>
      </c>
      <c r="E7" s="3281"/>
      <c r="F7" s="3281"/>
      <c r="G7" s="3281"/>
      <c r="H7" s="3281"/>
      <c r="I7" s="3282"/>
    </row>
    <row r="8" spans="1:9" ht="15.75">
      <c r="A8" s="3279" t="str">
        <f>结果表!A122</f>
        <v/>
      </c>
      <c r="B8" s="3279"/>
      <c r="C8" s="3279"/>
      <c r="D8" s="3279">
        <f ca="1">结果表!D122</f>
        <v>3870</v>
      </c>
      <c r="E8" s="3279"/>
      <c r="F8" s="3279"/>
      <c r="G8" s="3279"/>
      <c r="H8" s="3279"/>
      <c r="I8" s="3279"/>
    </row>
    <row r="9" spans="1:9" ht="15">
      <c r="A9" s="3277" t="s">
        <v>1545</v>
      </c>
      <c r="B9" s="3277"/>
      <c r="C9" s="3277"/>
      <c r="D9" s="3278" t="str">
        <f ca="1">结果表!D123</f>
        <v>叁仟捌佰柒拾万元整</v>
      </c>
      <c r="E9" s="3278"/>
      <c r="F9" s="3278"/>
      <c r="G9" s="3278"/>
      <c r="H9" s="3278"/>
      <c r="I9" s="3278"/>
    </row>
    <row r="10" spans="1:9" ht="15.75">
      <c r="A10" s="3279" t="str">
        <f>结果表!A124</f>
        <v/>
      </c>
      <c r="B10" s="3279"/>
      <c r="C10" s="3279"/>
      <c r="D10" s="3279" t="str">
        <f>结果表!D124</f>
        <v>——</v>
      </c>
      <c r="E10" s="3279"/>
      <c r="F10" s="3279"/>
      <c r="G10" s="3279"/>
      <c r="H10" s="3279"/>
      <c r="I10" s="3279"/>
    </row>
    <row r="11" spans="1:9" ht="15">
      <c r="A11" s="3277" t="s">
        <v>1545</v>
      </c>
      <c r="B11" s="3277"/>
      <c r="C11" s="3277"/>
      <c r="D11" s="3278" t="e">
        <f>结果表!D125</f>
        <v>#VALUE!</v>
      </c>
      <c r="E11" s="3278"/>
      <c r="F11" s="3278"/>
      <c r="G11" s="3278"/>
      <c r="H11" s="3278"/>
      <c r="I11" s="3278"/>
    </row>
    <row r="12" spans="1:9" ht="15.75">
      <c r="A12" s="3279" t="str">
        <f>结果表!A126</f>
        <v/>
      </c>
      <c r="B12" s="3279"/>
      <c r="C12" s="3279"/>
      <c r="D12" s="3279" t="str">
        <f>结果表!D126</f>
        <v>——</v>
      </c>
      <c r="E12" s="3279"/>
      <c r="F12" s="3279"/>
      <c r="G12" s="3279"/>
      <c r="H12" s="3279"/>
      <c r="I12" s="3279"/>
    </row>
    <row r="13" spans="1:9" ht="15.75" thickBot="1">
      <c r="A13" s="3283" t="s">
        <v>1545</v>
      </c>
      <c r="B13" s="3283"/>
      <c r="C13" s="3283"/>
      <c r="D13" s="3284" t="e">
        <f>结果表!D127</f>
        <v>#VALUE!</v>
      </c>
      <c r="E13" s="3284"/>
      <c r="F13" s="3284"/>
      <c r="G13" s="3284"/>
      <c r="H13" s="3284"/>
      <c r="I13" s="3284"/>
    </row>
    <row r="14" spans="1:9" ht="15" thickTop="1">
      <c r="A14" s="3285" t="s">
        <v>1550</v>
      </c>
      <c r="B14" s="3285"/>
      <c r="C14" s="3285"/>
      <c r="D14" s="3285"/>
      <c r="E14" s="3285"/>
      <c r="F14" s="3285"/>
      <c r="G14" s="3285"/>
      <c r="H14" s="3285"/>
      <c r="I14" s="328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6" t="s">
        <v>1567</v>
      </c>
      <c r="B1" s="3286"/>
      <c r="C1" s="3286"/>
      <c r="D1" s="3286"/>
    </row>
    <row r="2" spans="1:4" ht="18">
      <c r="A2" s="3287" t="s">
        <v>1551</v>
      </c>
      <c r="B2" s="3287"/>
      <c r="C2" s="3287"/>
      <c r="D2" s="3287"/>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87" t="s">
        <v>1557</v>
      </c>
      <c r="B6" s="3287"/>
      <c r="C6" s="3287"/>
      <c r="D6" s="328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8" t="s">
        <v>1560</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0"/>
      <c r="C12" s="3290"/>
      <c r="D12" s="3290"/>
    </row>
    <row r="13" spans="1:4" ht="30" customHeight="1">
      <c r="A13" s="3289" t="str">
        <f>IF(项目基本情况!B8="抵押","3.抵押双方在办理抵押登记手续时，应使用本公司出具的正式《房地产评估报告》，特提醒报告使用者注意。","——")</f>
        <v>——</v>
      </c>
      <c r="B13" s="3290"/>
      <c r="C13" s="3290"/>
      <c r="D13" s="3290"/>
    </row>
    <row r="14" spans="1:4" ht="15.75" customHeight="1">
      <c r="A14" s="3289" t="str">
        <f>IF(项目基本情况!B8="抵押","4.本次评估估价师所知悉的法定优先受偿款情况说明如下：","——")</f>
        <v>——</v>
      </c>
      <c r="B14" s="3290"/>
      <c r="C14" s="3290"/>
      <c r="D14" s="3290"/>
    </row>
    <row r="15" spans="1:4" ht="42" customHeight="1">
      <c r="A15" s="3289" t="str">
        <f>IF(项目基本情况!B8="抵押","（1）"&amp;CONCATENATE(项目基本情况!L20,项目基本情况!L21,项目基本情况!L22),"——")</f>
        <v>——</v>
      </c>
      <c r="B15" s="3289"/>
      <c r="C15" s="3289"/>
      <c r="D15" s="3289"/>
    </row>
    <row r="16" spans="1:4" ht="30" customHeight="1">
      <c r="A16" s="3292" t="s">
        <v>1561</v>
      </c>
      <c r="B16" s="3292"/>
      <c r="C16" s="3292"/>
      <c r="D16" s="3292"/>
    </row>
    <row r="17" spans="1:4" ht="144" customHeight="1">
      <c r="A17" s="3292" t="s">
        <v>1562</v>
      </c>
      <c r="B17" s="3292"/>
      <c r="C17" s="3292"/>
      <c r="D17" s="3292"/>
    </row>
    <row r="18" spans="1:4" ht="15.75" customHeight="1">
      <c r="A18" s="3289" t="str">
        <f>IF(项目基本情况!B8="抵押",结果表!K120,"——")</f>
        <v>——</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3"/>
      <c r="C21" s="3293"/>
      <c r="D21" s="3293"/>
    </row>
    <row r="22" spans="1:4" ht="18.75" customHeight="1">
      <c r="A22" s="3294" t="s">
        <v>1563</v>
      </c>
      <c r="B22" s="3294"/>
      <c r="C22" s="3294"/>
      <c r="D22" s="329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91">
        <v>42551</v>
      </c>
      <c r="D31" s="32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00" t="s">
        <v>1574</v>
      </c>
      <c r="B15" s="3295" t="s">
        <v>136</v>
      </c>
      <c r="C15" s="3296"/>
    </row>
    <row r="16" spans="1:7" ht="13.5">
      <c r="A16" s="3301"/>
      <c r="B16" s="3295" t="s">
        <v>69</v>
      </c>
      <c r="C16" s="3296"/>
    </row>
    <row r="17" spans="1:3" ht="13.5">
      <c r="A17" s="3301"/>
      <c r="B17" s="3298" t="s">
        <v>1575</v>
      </c>
      <c r="C17" s="1687" t="s">
        <v>1574</v>
      </c>
    </row>
    <row r="18" spans="1:3" ht="13.5">
      <c r="A18" s="3301"/>
      <c r="B18" s="3298"/>
      <c r="C18" s="1687" t="s">
        <v>1576</v>
      </c>
    </row>
    <row r="19" spans="1:3" ht="13.5">
      <c r="A19" s="3301"/>
      <c r="B19" s="3298"/>
      <c r="C19" s="1687" t="s">
        <v>1577</v>
      </c>
    </row>
    <row r="20" spans="1:3" ht="13.5">
      <c r="A20" s="3302"/>
      <c r="B20" s="3297" t="s">
        <v>1578</v>
      </c>
      <c r="C20" s="3296"/>
    </row>
    <row r="21" spans="1:3" ht="13.5">
      <c r="A21" s="1688" t="s">
        <v>1579</v>
      </c>
      <c r="B21" s="1689"/>
      <c r="C21" s="1690"/>
    </row>
    <row r="22" spans="1:3" ht="13.5">
      <c r="A22" s="3299" t="s">
        <v>1580</v>
      </c>
      <c r="B22" s="3297" t="s">
        <v>1581</v>
      </c>
      <c r="C22" s="3296"/>
    </row>
    <row r="23" spans="1:3" ht="13.5">
      <c r="A23" s="3299"/>
      <c r="B23" s="3297" t="s">
        <v>1582</v>
      </c>
      <c r="C23" s="3296"/>
    </row>
    <row r="24" spans="1:3" ht="13.5">
      <c r="A24" s="3299"/>
      <c r="B24" s="3297" t="s">
        <v>1583</v>
      </c>
      <c r="C24" s="3296"/>
    </row>
    <row r="25" spans="1:3" ht="13.5">
      <c r="A25" s="3299"/>
      <c r="B25" s="3298" t="s">
        <v>1584</v>
      </c>
      <c r="C25" s="1687" t="s">
        <v>1585</v>
      </c>
    </row>
    <row r="26" spans="1:3" ht="13.5">
      <c r="A26" s="3299"/>
      <c r="B26" s="3298"/>
      <c r="C26" s="1687" t="s">
        <v>1586</v>
      </c>
    </row>
    <row r="27" spans="1:3" ht="13.5">
      <c r="A27" s="3299"/>
      <c r="B27" s="3298"/>
      <c r="C27" s="1687" t="s">
        <v>1587</v>
      </c>
    </row>
    <row r="28" spans="1:3" ht="13.5">
      <c r="A28" s="3299"/>
      <c r="B28" s="3298"/>
      <c r="C28" s="1687" t="s">
        <v>1588</v>
      </c>
    </row>
    <row r="29" spans="1:3" ht="13.5">
      <c r="A29" s="3299"/>
      <c r="B29" s="3298"/>
      <c r="C29" s="1687" t="s">
        <v>1589</v>
      </c>
    </row>
    <row r="30" spans="1:3" ht="13.5">
      <c r="A30" s="3299"/>
      <c r="B30" s="3298"/>
      <c r="C30" s="1687" t="s">
        <v>1590</v>
      </c>
    </row>
    <row r="31" spans="1:3" ht="13.5">
      <c r="A31" s="3299"/>
      <c r="B31" s="3298"/>
      <c r="C31" s="1687" t="s">
        <v>1591</v>
      </c>
    </row>
    <row r="32" spans="1:3" ht="13.5">
      <c r="A32" s="3299"/>
      <c r="B32" s="3298"/>
      <c r="C32" s="1687" t="s">
        <v>1592</v>
      </c>
    </row>
    <row r="33" spans="1:3" ht="13.5">
      <c r="A33" s="3299"/>
      <c r="B33" s="329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2823</v>
      </c>
      <c r="B2" s="2531">
        <f ca="1">TODAY()</f>
        <v>44628</v>
      </c>
      <c r="C2" s="2532" t="s">
        <v>2824</v>
      </c>
      <c r="D2" s="2532"/>
      <c r="E2" s="2532"/>
      <c r="F2" s="2528"/>
      <c r="G2" s="2528"/>
      <c r="H2" s="2528"/>
    </row>
    <row r="3" spans="1:8" ht="24" customHeight="1">
      <c r="A3" s="2533" t="s">
        <v>2825</v>
      </c>
      <c r="B3" s="2534" t="s">
        <v>2826</v>
      </c>
      <c r="C3" s="2534" t="s">
        <v>2827</v>
      </c>
      <c r="D3" s="2535" t="s">
        <v>2828</v>
      </c>
      <c r="E3" s="2536" t="s">
        <v>2829</v>
      </c>
      <c r="F3" s="1444" t="s">
        <v>2830</v>
      </c>
      <c r="G3" s="2534" t="s">
        <v>2827</v>
      </c>
      <c r="H3" s="2535" t="s">
        <v>2831</v>
      </c>
    </row>
    <row r="4" spans="1:8" ht="24" customHeight="1">
      <c r="A4" s="1444" t="s">
        <v>2832</v>
      </c>
      <c r="B4" s="1444">
        <f ca="1">IF(C4&lt;B2,"已过期",1119970066)</f>
        <v>1119970066</v>
      </c>
      <c r="C4" s="2537">
        <v>44876</v>
      </c>
      <c r="D4" s="2538" t="str">
        <f ca="1">A4&amp;"（注册号："&amp;B4&amp;"）"</f>
        <v>梁津（注册号：1119970066）</v>
      </c>
      <c r="E4" s="2539" t="s">
        <v>2832</v>
      </c>
      <c r="F4" s="1444">
        <f ca="1">IF(G4&lt;B2,"已过期",96010014)</f>
        <v>96010014</v>
      </c>
      <c r="G4" s="2540">
        <v>47118</v>
      </c>
      <c r="H4" s="2541" t="str">
        <f ca="1">E4&amp;"（注册号："&amp;F4&amp;"）"</f>
        <v>梁津（注册号：96010014）</v>
      </c>
    </row>
    <row r="5" spans="1:8" ht="24" customHeight="1">
      <c r="A5" s="1444" t="s">
        <v>2833</v>
      </c>
      <c r="B5" s="1444">
        <f ca="1">IF(C5&lt;B2,"已过期",1119970111)</f>
        <v>1119970111</v>
      </c>
      <c r="C5" s="2537">
        <v>44876</v>
      </c>
      <c r="D5" s="2538" t="str">
        <f t="shared" ref="D5:D15" ca="1" si="0">A5&amp;"（注册号："&amp;B5&amp;"）"</f>
        <v>叶凌（注册号：1119970111）</v>
      </c>
      <c r="E5" s="2539" t="s">
        <v>2833</v>
      </c>
      <c r="F5" s="1444">
        <f ca="1">IF(G5&lt;B2,"已过期",94010078)</f>
        <v>94010078</v>
      </c>
      <c r="G5" s="2540">
        <v>46387</v>
      </c>
      <c r="H5" s="2541" t="str">
        <f t="shared" ref="H5:H16" ca="1" si="1">E5&amp;"（注册号："&amp;F5&amp;"）"</f>
        <v>叶凌（注册号：94010078）</v>
      </c>
    </row>
    <row r="6" spans="1:8" ht="24" customHeight="1">
      <c r="A6" s="1444" t="s">
        <v>2834</v>
      </c>
      <c r="B6" s="1444" t="str">
        <f ca="1">IF(C6&lt;B2,"已过期",1120050019)</f>
        <v>已过期</v>
      </c>
      <c r="C6" s="2537">
        <v>44395</v>
      </c>
      <c r="D6" s="2538" t="str">
        <f t="shared" ca="1" si="0"/>
        <v>王鹏（注册号：已过期）</v>
      </c>
      <c r="E6" s="2539" t="s">
        <v>2834</v>
      </c>
      <c r="F6" s="1444">
        <f ca="1">IF(G6&lt;B2,"已过期",2002110030)</f>
        <v>2002110030</v>
      </c>
      <c r="G6" s="2540">
        <v>46387</v>
      </c>
      <c r="H6" s="2541" t="str">
        <f t="shared" ca="1" si="1"/>
        <v>王鹏（注册号：2002110030）</v>
      </c>
    </row>
    <row r="7" spans="1:8" ht="24" customHeight="1">
      <c r="A7" s="1444" t="s">
        <v>2835</v>
      </c>
      <c r="B7" s="1444">
        <f ca="1">IF(C7&lt;B2,"已过期",1120000080)</f>
        <v>1120000080</v>
      </c>
      <c r="C7" s="2537">
        <v>44876</v>
      </c>
      <c r="D7" s="2538" t="str">
        <f t="shared" ca="1" si="0"/>
        <v>欧红伟（注册号：1120000080）</v>
      </c>
      <c r="E7" s="2539" t="s">
        <v>2835</v>
      </c>
      <c r="F7" s="1444">
        <f ca="1">IF(G7&lt;B2,"已过期",2000110082)</f>
        <v>2000110082</v>
      </c>
      <c r="G7" s="2540">
        <v>46387</v>
      </c>
      <c r="H7" s="2541" t="str">
        <f t="shared" ca="1" si="1"/>
        <v>欧红伟（注册号：2000110082）</v>
      </c>
    </row>
    <row r="8" spans="1:8" ht="24" customHeight="1">
      <c r="A8" s="1444" t="s">
        <v>2836</v>
      </c>
      <c r="B8" s="1444">
        <f ca="1">IF(C8&lt;B2,"已过期",1419970001)</f>
        <v>1419970001</v>
      </c>
      <c r="C8" s="2537">
        <v>44899</v>
      </c>
      <c r="D8" s="2538" t="str">
        <f t="shared" ca="1" si="0"/>
        <v>吴薇（注册号：1419970001）</v>
      </c>
      <c r="E8" s="2539" t="s">
        <v>2836</v>
      </c>
      <c r="F8" s="1444">
        <f ca="1">IF(G8&lt;B2,"已过期",2002110125)</f>
        <v>2002110125</v>
      </c>
      <c r="G8" s="2540">
        <v>47118</v>
      </c>
      <c r="H8" s="2541" t="str">
        <f t="shared" ca="1" si="1"/>
        <v>吴薇（注册号：2002110125）</v>
      </c>
    </row>
    <row r="9" spans="1:8" ht="24" customHeight="1">
      <c r="A9" s="1444" t="s">
        <v>2837</v>
      </c>
      <c r="B9" s="1444" t="str">
        <f ca="1">IF(C9&lt;B2,"已过期",1120060040)</f>
        <v>已过期</v>
      </c>
      <c r="C9" s="2542">
        <v>44554</v>
      </c>
      <c r="D9" s="2538" t="str">
        <f t="shared" ca="1" si="0"/>
        <v>陈颖（注册号：已过期）</v>
      </c>
      <c r="E9" s="2539" t="s">
        <v>2837</v>
      </c>
      <c r="F9" s="1444">
        <f ca="1">IF(G9&lt;B2,"已过期",2004110096)</f>
        <v>2004110096</v>
      </c>
      <c r="G9" s="2540">
        <v>47118</v>
      </c>
      <c r="H9" s="2541" t="str">
        <f t="shared" ca="1" si="1"/>
        <v>陈颖（注册号：2004110096）</v>
      </c>
    </row>
    <row r="10" spans="1:8" ht="24" customHeight="1">
      <c r="A10" s="1444" t="s">
        <v>2838</v>
      </c>
      <c r="B10" s="1444">
        <f ca="1">IF(C10&lt;B2,"已过期",1120100036)</f>
        <v>1120100036</v>
      </c>
      <c r="C10" s="2542">
        <v>44675</v>
      </c>
      <c r="D10" s="2538" t="str">
        <f t="shared" ca="1" si="0"/>
        <v>崔锴（注册号：1120100036）</v>
      </c>
      <c r="E10" s="2539" t="s">
        <v>2838</v>
      </c>
      <c r="F10" s="1444">
        <f ca="1">IF(G10&lt;B2,"已过期",2010110070)</f>
        <v>2010110070</v>
      </c>
      <c r="G10" s="2540">
        <v>47907</v>
      </c>
      <c r="H10" s="2541" t="str">
        <f t="shared" ca="1" si="1"/>
        <v>崔锴（注册号：2010110070）</v>
      </c>
    </row>
    <row r="11" spans="1:8" ht="24" customHeight="1">
      <c r="A11" s="1444" t="s">
        <v>2839</v>
      </c>
      <c r="B11" s="1444">
        <f ca="1">IF(C11&lt;B2,"已过期",1120070131)</f>
        <v>1120070131</v>
      </c>
      <c r="C11" s="2537">
        <v>44849</v>
      </c>
      <c r="D11" s="2538" t="str">
        <f t="shared" ca="1" si="0"/>
        <v>郑燚（注册号：1120070131）</v>
      </c>
      <c r="E11" s="2539" t="s">
        <v>2839</v>
      </c>
      <c r="F11" s="1444">
        <f ca="1">IF(G11&lt;B2,"已过期",2014110011)</f>
        <v>2014110011</v>
      </c>
      <c r="G11" s="2540">
        <v>49302</v>
      </c>
      <c r="H11" s="2541" t="str">
        <f t="shared" ca="1" si="1"/>
        <v>郑燚（注册号：2014110011）</v>
      </c>
    </row>
    <row r="12" spans="1:8" ht="24" customHeight="1">
      <c r="A12" s="1444" t="s">
        <v>2840</v>
      </c>
      <c r="B12" s="1444">
        <f ca="1">IF(C12&lt;B2,"已过期",1120040230)</f>
        <v>1120040230</v>
      </c>
      <c r="C12" s="2542">
        <v>44864</v>
      </c>
      <c r="D12" s="2538" t="str">
        <f t="shared" ca="1" si="0"/>
        <v>苏海（注册号：1120040230）</v>
      </c>
      <c r="E12" s="2539" t="s">
        <v>2840</v>
      </c>
      <c r="F12" s="1444">
        <f ca="1">IF(G12&lt;B2,"已过期",98030020)</f>
        <v>98030020</v>
      </c>
      <c r="G12" s="2540">
        <v>47118</v>
      </c>
      <c r="H12" s="2541" t="str">
        <f t="shared" ca="1" si="1"/>
        <v>苏海（注册号：98030020）</v>
      </c>
    </row>
    <row r="13" spans="1:8" ht="24" customHeight="1">
      <c r="A13" s="1444" t="s">
        <v>2841</v>
      </c>
      <c r="B13" s="1444" t="str">
        <f ca="1">IF(C13&lt;B2,"已过期",1120020033)</f>
        <v>已过期</v>
      </c>
      <c r="C13" s="2537">
        <v>44339</v>
      </c>
      <c r="D13" s="2538" t="str">
        <f t="shared" ca="1" si="0"/>
        <v>刘敬东（注册号：已过期）</v>
      </c>
      <c r="E13" s="2539" t="s">
        <v>2841</v>
      </c>
      <c r="F13" s="1444">
        <f ca="1">IF(G13&lt;B2,"已过期",2000110137)</f>
        <v>2000110137</v>
      </c>
      <c r="G13" s="2540">
        <v>46387</v>
      </c>
      <c r="H13" s="2541" t="str">
        <f t="shared" ca="1" si="1"/>
        <v>刘敬东（注册号：2000110137）</v>
      </c>
    </row>
    <row r="14" spans="1:8" ht="24" customHeight="1">
      <c r="A14" s="1444" t="s">
        <v>2842</v>
      </c>
      <c r="B14" s="1444">
        <f ca="1">IF(C14&lt;B2,"已过期",1119980106)</f>
        <v>1119980106</v>
      </c>
      <c r="C14" s="2542">
        <v>44969</v>
      </c>
      <c r="D14" s="2538" t="str">
        <f t="shared" ca="1" si="0"/>
        <v>刘俊财（注册号：1119980106）</v>
      </c>
      <c r="E14" s="2539" t="s">
        <v>2842</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2843</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303" t="s">
        <v>2844</v>
      </c>
      <c r="B17" s="3303"/>
      <c r="C17" s="3303"/>
      <c r="D17" s="3303"/>
      <c r="E17" s="3303"/>
      <c r="F17" s="3303"/>
      <c r="G17" s="3303"/>
      <c r="H17" s="3303"/>
    </row>
    <row r="18" spans="1:8" ht="24" customHeight="1">
      <c r="A18" s="3304" t="s">
        <v>2845</v>
      </c>
      <c r="B18" s="3304"/>
      <c r="C18" s="3304"/>
      <c r="D18" s="2535"/>
      <c r="E18" s="3305" t="s">
        <v>2846</v>
      </c>
      <c r="F18" s="3304"/>
      <c r="G18" s="3304"/>
    </row>
    <row r="19" spans="1:8" s="2546" customFormat="1" ht="24" customHeight="1">
      <c r="A19" s="2545" t="s">
        <v>2847</v>
      </c>
      <c r="B19" s="2534" t="s">
        <v>2848</v>
      </c>
      <c r="C19" s="2534" t="s">
        <v>2827</v>
      </c>
      <c r="D19" s="2535"/>
      <c r="E19" s="2539" t="s">
        <v>2847</v>
      </c>
      <c r="F19" s="2534" t="s">
        <v>2848</v>
      </c>
      <c r="G19" s="2534" t="s">
        <v>2827</v>
      </c>
    </row>
    <row r="20" spans="1:8" s="2546" customFormat="1" ht="24" customHeight="1">
      <c r="A20" s="2547" t="s">
        <v>2849</v>
      </c>
      <c r="B20" s="2547" t="s">
        <v>2850</v>
      </c>
      <c r="C20" s="2540">
        <v>44820</v>
      </c>
      <c r="D20" s="2548"/>
      <c r="E20" s="2549" t="s">
        <v>2851</v>
      </c>
      <c r="F20" s="2547" t="s">
        <v>2852</v>
      </c>
      <c r="G20" s="2550">
        <v>44377</v>
      </c>
    </row>
    <row r="21" spans="1:8" s="2546" customFormat="1" ht="24" customHeight="1">
      <c r="A21" s="2547"/>
      <c r="B21" s="2547"/>
      <c r="C21" s="2551"/>
      <c r="D21" s="2552"/>
      <c r="E21" s="2549" t="s">
        <v>2853</v>
      </c>
      <c r="F21" s="2553" t="s">
        <v>2854</v>
      </c>
      <c r="G21" s="2554">
        <v>44012</v>
      </c>
    </row>
    <row r="22" spans="1:8" ht="24" customHeight="1">
      <c r="C22" s="2555"/>
      <c r="D22" s="2555"/>
      <c r="E22" s="2556"/>
      <c r="F22" s="2557"/>
      <c r="G22" s="2558" t="s">
        <v>2855</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建安估算</vt:lpstr>
      <vt:lpstr>建安参考</vt:lpstr>
      <vt:lpstr>结果表</vt:lpstr>
      <vt:lpstr>土地比较法-住宅、综合</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指标</vt:lpstr>
      <vt:lpstr>资料</vt:lpstr>
      <vt:lpstr>规证</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2022-03-08T06:49:14Z</dcterms:modified>
</cp:coreProperties>
</file>