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工作-康正\询价-丽泽\"/>
    </mc:Choice>
  </mc:AlternateContent>
  <bookViews>
    <workbookView xWindow="60" yWindow="45" windowWidth="14535" windowHeight="1242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案例" sheetId="81"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面积指标"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F52" i="67" l="1"/>
  <c r="F70" i="67"/>
  <c r="F49" i="67"/>
  <c r="Z6" i="1"/>
  <c r="D105" i="34"/>
  <c r="E105" i="34"/>
  <c r="F105" i="34"/>
  <c r="G105" i="34"/>
  <c r="C105" i="34"/>
  <c r="D104" i="34"/>
  <c r="E104" i="34"/>
  <c r="F104" i="34"/>
  <c r="G104" i="34"/>
  <c r="H104" i="34"/>
  <c r="C104" i="34"/>
  <c r="C14" i="74"/>
  <c r="B14" i="74"/>
  <c r="C44" i="31"/>
  <c r="C45" i="31"/>
  <c r="C46" i="31"/>
  <c r="C47" i="31"/>
  <c r="C48" i="31"/>
  <c r="C49" i="31"/>
  <c r="C50" i="31"/>
  <c r="C51" i="31"/>
  <c r="B44" i="31"/>
  <c r="A44" i="31"/>
  <c r="H4" i="31"/>
  <c r="G4" i="31"/>
  <c r="F4" i="31"/>
  <c r="C4" i="31"/>
  <c r="D4" i="31"/>
  <c r="B51" i="31"/>
  <c r="B26" i="31"/>
  <c r="B27" i="31"/>
  <c r="B28" i="31"/>
  <c r="B29" i="31"/>
  <c r="B30" i="31"/>
  <c r="B31" i="31"/>
  <c r="B32" i="31"/>
  <c r="B33" i="31"/>
  <c r="B34" i="31"/>
  <c r="B35" i="31"/>
  <c r="B36" i="31"/>
  <c r="B37" i="31"/>
  <c r="B38" i="31"/>
  <c r="B39" i="31"/>
  <c r="B40" i="31"/>
  <c r="B41" i="31"/>
  <c r="B42" i="31"/>
  <c r="B43" i="31"/>
  <c r="B45" i="31"/>
  <c r="B46" i="31"/>
  <c r="B47" i="31"/>
  <c r="B48" i="31"/>
  <c r="B49" i="31"/>
  <c r="B50" i="31"/>
  <c r="A26" i="31"/>
  <c r="A27" i="31"/>
  <c r="A28" i="31"/>
  <c r="A29" i="31"/>
  <c r="A30" i="31"/>
  <c r="A31" i="31"/>
  <c r="A32" i="31"/>
  <c r="A33" i="31"/>
  <c r="A34" i="31"/>
  <c r="A35" i="31"/>
  <c r="A36" i="31"/>
  <c r="A37" i="31"/>
  <c r="A38" i="31"/>
  <c r="A39" i="31"/>
  <c r="A40" i="31"/>
  <c r="A41" i="31"/>
  <c r="A42" i="31"/>
  <c r="A43" i="31"/>
  <c r="A45" i="31"/>
  <c r="A46" i="31"/>
  <c r="A47" i="31"/>
  <c r="A48" i="31"/>
  <c r="A49" i="31"/>
  <c r="A50" i="31"/>
  <c r="A51" i="31"/>
  <c r="B25" i="31"/>
  <c r="A25" i="31"/>
  <c r="B24" i="31"/>
  <c r="D14" i="9"/>
  <c r="C37" i="34"/>
  <c r="C34" i="34"/>
  <c r="I7" i="34"/>
  <c r="G7" i="34"/>
  <c r="E7" i="34"/>
  <c r="J49" i="67"/>
  <c r="B57" i="1"/>
  <c r="B35" i="1"/>
  <c r="B21" i="1"/>
  <c r="AF6" i="1"/>
  <c r="V28" i="1"/>
  <c r="Y6" i="1"/>
  <c r="U6" i="1"/>
  <c r="N6" i="1"/>
  <c r="N19" i="1"/>
  <c r="F19" i="6"/>
  <c r="I13" i="3"/>
  <c r="V27" i="1" l="1"/>
  <c r="W27" i="1"/>
  <c r="X27" i="1"/>
  <c r="X26" i="1"/>
  <c r="X25" i="1"/>
  <c r="X24" i="1"/>
  <c r="X23" i="1"/>
  <c r="V26" i="1"/>
  <c r="V25" i="1"/>
  <c r="V24" i="1"/>
  <c r="V23" i="1"/>
  <c r="V22" i="1"/>
  <c r="E30" i="80"/>
  <c r="C60" i="78" l="1"/>
  <c r="D60" i="78" s="1"/>
  <c r="D53" i="78"/>
  <c r="D52" i="78"/>
  <c r="B51" i="78"/>
  <c r="B56" i="78" s="1"/>
  <c r="D51" i="78" l="1"/>
  <c r="C51" i="78" s="1"/>
  <c r="C56" i="78" s="1"/>
  <c r="C58" i="78" s="1"/>
  <c r="B55" i="78"/>
  <c r="D55"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AA28" i="79"/>
  <c r="AD28" i="79" s="1"/>
  <c r="AD41" i="79"/>
  <c r="U44" i="79"/>
  <c r="AD32" i="79"/>
  <c r="AD31" i="79"/>
  <c r="Z3" i="79"/>
  <c r="S42" i="79"/>
  <c r="T34" i="79"/>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c r="C23" i="71" s="1"/>
  <c r="Q25" i="71"/>
  <c r="F24" i="71"/>
  <c r="F23" i="71" s="1"/>
  <c r="F22" i="71" s="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c r="B82" i="71" s="1"/>
  <c r="D81" i="71"/>
  <c r="Q80" i="71"/>
  <c r="P80" i="71"/>
  <c r="O80" i="71"/>
  <c r="N80" i="71"/>
  <c r="F80" i="71"/>
  <c r="V80" i="7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E75" i="71" s="1"/>
  <c r="E74"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c r="Q71" i="71"/>
  <c r="P71" i="71"/>
  <c r="O71" i="71"/>
  <c r="N71" i="71"/>
  <c r="B71" i="71"/>
  <c r="B70" i="71" s="1"/>
  <c r="Q70" i="71"/>
  <c r="P70" i="71"/>
  <c r="O70" i="71"/>
  <c r="N70" i="71"/>
  <c r="Q69" i="71"/>
  <c r="P69" i="71"/>
  <c r="O69" i="71"/>
  <c r="N69" i="71"/>
  <c r="D69" i="71"/>
  <c r="F68" i="71"/>
  <c r="F67" i="71" s="1"/>
  <c r="V68" i="71"/>
  <c r="E68" i="71"/>
  <c r="P68" i="71" s="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N57" i="71"/>
  <c r="B58" i="71"/>
  <c r="B59" i="7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C47" i="71" s="1"/>
  <c r="D47" i="71" s="1"/>
  <c r="N46" i="71"/>
  <c r="F46" i="71"/>
  <c r="F47" i="71" s="1"/>
  <c r="F48" i="71" s="1"/>
  <c r="V48" i="71" s="1"/>
  <c r="Q45" i="71"/>
  <c r="P45" i="71"/>
  <c r="E46" i="71" s="1"/>
  <c r="E47" i="71" s="1"/>
  <c r="E48" i="71"/>
  <c r="U48" i="71" s="1"/>
  <c r="O45" i="71"/>
  <c r="C46" i="71"/>
  <c r="D46" i="71" s="1"/>
  <c r="N45" i="71"/>
  <c r="B46" i="71" s="1"/>
  <c r="D45" i="71"/>
  <c r="Q44" i="71"/>
  <c r="P44" i="71"/>
  <c r="O44" i="71"/>
  <c r="N44" i="71"/>
  <c r="Q43" i="71"/>
  <c r="P43" i="71"/>
  <c r="O43" i="71"/>
  <c r="N43" i="71"/>
  <c r="Q42" i="71"/>
  <c r="P42" i="71"/>
  <c r="O42" i="71"/>
  <c r="N42" i="71"/>
  <c r="Q41" i="71"/>
  <c r="F42"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AB38" i="71" s="1"/>
  <c r="P38" i="71"/>
  <c r="O38" i="71"/>
  <c r="Y38" i="71" s="1"/>
  <c r="Z38" i="71" s="1"/>
  <c r="N38" i="71"/>
  <c r="Q37" i="71"/>
  <c r="P37" i="71"/>
  <c r="O37" i="71"/>
  <c r="Y35" i="71" s="1"/>
  <c r="N37" i="71"/>
  <c r="B38" i="71" s="1"/>
  <c r="D37" i="71"/>
  <c r="Q36" i="71"/>
  <c r="P36" i="71"/>
  <c r="O36" i="71"/>
  <c r="N36" i="71"/>
  <c r="X35" i="71" s="1"/>
  <c r="Q35" i="71"/>
  <c r="AB35" i="71"/>
  <c r="P35" i="71"/>
  <c r="O35" i="71"/>
  <c r="Z35" i="71"/>
  <c r="N35" i="71"/>
  <c r="Q34" i="71"/>
  <c r="AB34" i="71"/>
  <c r="P34" i="71"/>
  <c r="O34" i="71"/>
  <c r="N34" i="71"/>
  <c r="Q33" i="71"/>
  <c r="P33" i="7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C30" i="71" s="1"/>
  <c r="N29" i="71"/>
  <c r="X25" i="71" s="1"/>
  <c r="D29" i="71"/>
  <c r="O28" i="71"/>
  <c r="N28" i="71"/>
  <c r="E30" i="71"/>
  <c r="E31" i="71" s="1"/>
  <c r="E32" i="71" s="1"/>
  <c r="U32" i="71" s="1"/>
  <c r="B39" i="71"/>
  <c r="B40" i="71" s="1"/>
  <c r="S40" i="71" s="1"/>
  <c r="N68" i="71"/>
  <c r="E34" i="71"/>
  <c r="C34" i="71"/>
  <c r="D34" i="71" s="1"/>
  <c r="X34" i="71"/>
  <c r="C38" i="71"/>
  <c r="D38" i="71" s="1"/>
  <c r="F51" i="71"/>
  <c r="F52" i="71" s="1"/>
  <c r="V52" i="71" s="1"/>
  <c r="B28" i="71"/>
  <c r="B27" i="71" s="1"/>
  <c r="B26" i="71"/>
  <c r="D50" i="71"/>
  <c r="P28" i="71"/>
  <c r="E28" i="71" s="1"/>
  <c r="E60" i="71"/>
  <c r="U60" i="71" s="1"/>
  <c r="U68" i="71"/>
  <c r="E67" i="71"/>
  <c r="E66" i="71" s="1"/>
  <c r="Q28" i="71"/>
  <c r="D54" i="71"/>
  <c r="D58" i="71"/>
  <c r="C63" i="71"/>
  <c r="C64" i="71" s="1"/>
  <c r="D62" i="71"/>
  <c r="T68" i="71"/>
  <c r="D68" i="71"/>
  <c r="C67" i="71"/>
  <c r="D67" i="71" s="1"/>
  <c r="Q68" i="71"/>
  <c r="E71" i="71"/>
  <c r="E70" i="71"/>
  <c r="D72" i="71"/>
  <c r="D76" i="71"/>
  <c r="D80" i="71"/>
  <c r="C87" i="71"/>
  <c r="C86" i="71" s="1"/>
  <c r="D86" i="71" s="1"/>
  <c r="S28" i="71"/>
  <c r="F28" i="71"/>
  <c r="F27" i="71"/>
  <c r="F26" i="71"/>
  <c r="D63" i="71"/>
  <c r="D87"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S21" i="34" s="1"/>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68" i="43"/>
  <c r="H25" i="40"/>
  <c r="AB25" i="40" s="1"/>
  <c r="J25" i="40"/>
  <c r="H29" i="39"/>
  <c r="AB29" i="39" s="1"/>
  <c r="J29" i="39"/>
  <c r="J18" i="36"/>
  <c r="AC18" i="36" s="1"/>
  <c r="H18" i="35"/>
  <c r="AB18" i="35" s="1"/>
  <c r="J18" i="35"/>
  <c r="AC18" i="35" s="1"/>
  <c r="H21" i="37"/>
  <c r="AB21" i="37" s="1"/>
  <c r="F21" i="37"/>
  <c r="AA21" i="37" s="1"/>
  <c r="H21" i="34"/>
  <c r="AB21" i="34" s="1"/>
  <c r="H21" i="33"/>
  <c r="U21" i="33" s="1"/>
  <c r="F21" i="33"/>
  <c r="S21" i="33" s="1"/>
  <c r="H1" i="69"/>
  <c r="AC25" i="40"/>
  <c r="W25" i="40"/>
  <c r="U25" i="40"/>
  <c r="W18" i="36"/>
  <c r="U21" i="37"/>
  <c r="U21" i="34"/>
  <c r="AB21" i="33"/>
  <c r="AA21" i="33"/>
  <c r="J21" i="37"/>
  <c r="W21" i="37" s="1"/>
  <c r="J21" i="34"/>
  <c r="W21" i="34" s="1"/>
  <c r="J21" i="33"/>
  <c r="H21" i="21"/>
  <c r="U21" i="21" s="1"/>
  <c r="F38" i="69"/>
  <c r="E37" i="69"/>
  <c r="F36" i="69"/>
  <c r="F35" i="69"/>
  <c r="F21" i="69"/>
  <c r="F40" i="69" s="1"/>
  <c r="F20" i="69"/>
  <c r="F39" i="69" s="1"/>
  <c r="E10" i="69"/>
  <c r="E9" i="69"/>
  <c r="C7" i="69"/>
  <c r="J21" i="21"/>
  <c r="W21" i="21" s="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A98" i="3" s="1"/>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L93" i="3" s="1"/>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A92" i="3" s="1"/>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L86" i="3" s="1"/>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L69" i="3" s="1"/>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A40" i="3" s="1"/>
  <c r="BD40" i="3"/>
  <c r="BC40" i="3"/>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A33" i="3" s="1"/>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A30" i="3" s="1"/>
  <c r="BD30" i="3"/>
  <c r="BC30" i="3"/>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A207" i="3" s="1"/>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A133" i="3" s="1"/>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L289" i="3" s="1"/>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L278" i="3" s="1"/>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A275" i="3" s="1"/>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L262" i="3" s="1"/>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A260" i="3" s="1"/>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L242" i="3" s="1"/>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L237" i="3" s="1"/>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A235" i="3" s="1"/>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A233" i="3" s="1"/>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A231" i="3" s="1"/>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A228" i="3" s="1"/>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L211" i="3" s="1"/>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L316" i="3" s="1"/>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A487" i="3" s="1"/>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L469" i="3" s="1"/>
  <c r="BP469" i="3"/>
  <c r="BO469" i="3"/>
  <c r="BN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L465" i="3" s="1"/>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A463" i="3" s="1"/>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A458" i="3" s="1"/>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L455" i="3" s="1"/>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L451" i="3" s="1"/>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A448" i="3" s="1"/>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A444" i="3" s="1"/>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A437" i="3" s="1"/>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L430" i="3" s="1"/>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A424" i="3" s="1"/>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A420" i="3" s="1"/>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A419" i="3" s="1"/>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A413" i="3" s="1"/>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L409" i="3" s="1"/>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A407" i="3" s="1"/>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53" i="31"/>
  <c r="R54" i="31"/>
  <c r="S54" i="31" s="1"/>
  <c r="R55" i="31"/>
  <c r="S55" i="31" s="1"/>
  <c r="R56" i="31"/>
  <c r="R57" i="31"/>
  <c r="S57" i="31" s="1"/>
  <c r="R58" i="31"/>
  <c r="R59" i="31"/>
  <c r="S59" i="31" s="1"/>
  <c r="R60" i="31"/>
  <c r="S60" i="31" s="1"/>
  <c r="R61" i="31"/>
  <c r="R62" i="31"/>
  <c r="S62" i="31" s="1"/>
  <c r="R63" i="31"/>
  <c r="R64" i="31"/>
  <c r="R65" i="31"/>
  <c r="S65" i="31" s="1"/>
  <c r="R66" i="31"/>
  <c r="R67" i="31"/>
  <c r="S67" i="31" s="1"/>
  <c r="R68" i="31"/>
  <c r="S68" i="31" s="1"/>
  <c r="R69" i="31"/>
  <c r="R70" i="31"/>
  <c r="S70" i="31" s="1"/>
  <c r="R71" i="31"/>
  <c r="R72" i="31"/>
  <c r="R73" i="31"/>
  <c r="S73" i="31" s="1"/>
  <c r="R74" i="31"/>
  <c r="R75" i="31"/>
  <c r="S75" i="31" s="1"/>
  <c r="R76" i="31"/>
  <c r="S76" i="31" s="1"/>
  <c r="R77" i="31"/>
  <c r="R78" i="31"/>
  <c r="S78" i="31" s="1"/>
  <c r="R79" i="31"/>
  <c r="R80" i="31"/>
  <c r="R81" i="31"/>
  <c r="S81" i="31" s="1"/>
  <c r="R82" i="31"/>
  <c r="R83" i="31"/>
  <c r="S83" i="31" s="1"/>
  <c r="R84" i="31"/>
  <c r="S84" i="31" s="1"/>
  <c r="R85" i="31"/>
  <c r="R86" i="31"/>
  <c r="S86" i="31" s="1"/>
  <c r="R87" i="31"/>
  <c r="R88" i="31"/>
  <c r="R89" i="31"/>
  <c r="S89" i="31" s="1"/>
  <c r="R90" i="31"/>
  <c r="R91" i="31"/>
  <c r="S91" i="31" s="1"/>
  <c r="R92" i="31"/>
  <c r="S92" i="31" s="1"/>
  <c r="R93" i="31"/>
  <c r="R94" i="31"/>
  <c r="R95" i="31"/>
  <c r="S95" i="31" s="1"/>
  <c r="R96" i="31"/>
  <c r="R97" i="31"/>
  <c r="S97" i="31" s="1"/>
  <c r="R98" i="31"/>
  <c r="R99" i="31"/>
  <c r="S99" i="31" s="1"/>
  <c r="R100" i="31"/>
  <c r="S100" i="31" s="1"/>
  <c r="R101" i="31"/>
  <c r="R102" i="31"/>
  <c r="R103" i="31"/>
  <c r="R104" i="31"/>
  <c r="R105" i="31"/>
  <c r="S105" i="31" s="1"/>
  <c r="R106" i="31"/>
  <c r="R107" i="31"/>
  <c r="S107" i="31" s="1"/>
  <c r="R108" i="31"/>
  <c r="S108" i="31" s="1"/>
  <c r="R109" i="31"/>
  <c r="R110" i="31"/>
  <c r="R111" i="31"/>
  <c r="S111" i="31" s="1"/>
  <c r="R112" i="31"/>
  <c r="R113" i="31"/>
  <c r="S113" i="31" s="1"/>
  <c r="R114" i="31"/>
  <c r="R115" i="31"/>
  <c r="S115" i="31" s="1"/>
  <c r="R116" i="31"/>
  <c r="S116" i="31" s="1"/>
  <c r="R117" i="31"/>
  <c r="R118" i="31"/>
  <c r="R119" i="31"/>
  <c r="S119" i="31" s="1"/>
  <c r="R120" i="31"/>
  <c r="R121" i="31"/>
  <c r="S121" i="31" s="1"/>
  <c r="R122" i="31"/>
  <c r="R123" i="31"/>
  <c r="S123" i="31" s="1"/>
  <c r="R124" i="31"/>
  <c r="S124" i="31" s="1"/>
  <c r="R125" i="31"/>
  <c r="R126" i="31"/>
  <c r="R127" i="31"/>
  <c r="S127" i="31" s="1"/>
  <c r="R128" i="31"/>
  <c r="R129" i="31"/>
  <c r="S129" i="31" s="1"/>
  <c r="R130" i="31"/>
  <c r="R131" i="31"/>
  <c r="S131" i="31" s="1"/>
  <c r="R132" i="31"/>
  <c r="S132" i="31" s="1"/>
  <c r="R133" i="31"/>
  <c r="R134" i="31"/>
  <c r="R135" i="31"/>
  <c r="S135" i="31" s="1"/>
  <c r="R136" i="31"/>
  <c r="R137" i="31"/>
  <c r="S137" i="31" s="1"/>
  <c r="R138" i="31"/>
  <c r="R139" i="31"/>
  <c r="S139" i="31" s="1"/>
  <c r="R140" i="31"/>
  <c r="S140" i="31" s="1"/>
  <c r="R141" i="31"/>
  <c r="R142" i="31"/>
  <c r="R143" i="31"/>
  <c r="S143" i="31" s="1"/>
  <c r="R144" i="31"/>
  <c r="R145" i="31"/>
  <c r="S145" i="31" s="1"/>
  <c r="R146" i="31"/>
  <c r="R147" i="31"/>
  <c r="S147" i="31" s="1"/>
  <c r="R148" i="31"/>
  <c r="S148" i="31" s="1"/>
  <c r="R149" i="31"/>
  <c r="R150" i="31"/>
  <c r="R151" i="31"/>
  <c r="S151" i="31" s="1"/>
  <c r="R152" i="31"/>
  <c r="R153" i="31"/>
  <c r="S153" i="31" s="1"/>
  <c r="R154" i="31"/>
  <c r="R155" i="31"/>
  <c r="S155" i="31" s="1"/>
  <c r="R156" i="31"/>
  <c r="S156" i="31" s="1"/>
  <c r="R157" i="31"/>
  <c r="R158" i="31"/>
  <c r="R159" i="31"/>
  <c r="S159" i="31" s="1"/>
  <c r="R160" i="31"/>
  <c r="R161" i="31"/>
  <c r="S161" i="31" s="1"/>
  <c r="R162" i="31"/>
  <c r="R163" i="31"/>
  <c r="S163" i="31" s="1"/>
  <c r="R164" i="31"/>
  <c r="S164" i="31" s="1"/>
  <c r="R165" i="31"/>
  <c r="R166" i="31"/>
  <c r="R167" i="31"/>
  <c r="S167" i="31" s="1"/>
  <c r="R168" i="31"/>
  <c r="R169" i="31"/>
  <c r="S169" i="31" s="1"/>
  <c r="R170" i="31"/>
  <c r="R171" i="31"/>
  <c r="S171" i="31" s="1"/>
  <c r="R172" i="31"/>
  <c r="S172" i="31" s="1"/>
  <c r="R173" i="31"/>
  <c r="R174" i="31"/>
  <c r="R175" i="31"/>
  <c r="S175" i="31" s="1"/>
  <c r="R176" i="31"/>
  <c r="R177" i="31"/>
  <c r="S177" i="31" s="1"/>
  <c r="R178" i="31"/>
  <c r="R179" i="31"/>
  <c r="S179" i="31" s="1"/>
  <c r="R180" i="31"/>
  <c r="S180" i="31" s="1"/>
  <c r="R181" i="31"/>
  <c r="R182" i="31"/>
  <c r="R183" i="31"/>
  <c r="S183" i="31" s="1"/>
  <c r="R184" i="31"/>
  <c r="R185" i="31"/>
  <c r="S185" i="31" s="1"/>
  <c r="R186" i="31"/>
  <c r="R187" i="31"/>
  <c r="S187" i="31" s="1"/>
  <c r="R188" i="31"/>
  <c r="S188" i="31" s="1"/>
  <c r="R189" i="31"/>
  <c r="R190" i="31"/>
  <c r="R191" i="31"/>
  <c r="S191" i="31" s="1"/>
  <c r="R192" i="31"/>
  <c r="R193" i="31"/>
  <c r="S193" i="31" s="1"/>
  <c r="R194" i="31"/>
  <c r="R195" i="31"/>
  <c r="S195" i="31" s="1"/>
  <c r="R196" i="31"/>
  <c r="S196" i="31" s="1"/>
  <c r="R197" i="31"/>
  <c r="R198" i="31"/>
  <c r="R199" i="31"/>
  <c r="S199" i="31" s="1"/>
  <c r="R200" i="31"/>
  <c r="R201" i="31"/>
  <c r="S201" i="31" s="1"/>
  <c r="R202" i="31"/>
  <c r="R203" i="31"/>
  <c r="S203" i="31" s="1"/>
  <c r="R204" i="31"/>
  <c r="S204" i="31" s="1"/>
  <c r="R205" i="31"/>
  <c r="R206" i="31"/>
  <c r="R207" i="31"/>
  <c r="S207" i="31" s="1"/>
  <c r="R208" i="31"/>
  <c r="R209" i="31"/>
  <c r="S209" i="31" s="1"/>
  <c r="R210" i="31"/>
  <c r="R211" i="31"/>
  <c r="S211" i="31" s="1"/>
  <c r="R212" i="31"/>
  <c r="S212" i="31" s="1"/>
  <c r="R213" i="31"/>
  <c r="R214" i="31"/>
  <c r="R215" i="31"/>
  <c r="S215" i="31" s="1"/>
  <c r="R216" i="31"/>
  <c r="R217" i="31"/>
  <c r="S217" i="31" s="1"/>
  <c r="R218" i="31"/>
  <c r="R219" i="31"/>
  <c r="S219" i="31" s="1"/>
  <c r="R220" i="31"/>
  <c r="S220" i="31" s="1"/>
  <c r="R221" i="31"/>
  <c r="R222" i="31"/>
  <c r="R223" i="31"/>
  <c r="S223" i="31" s="1"/>
  <c r="R224" i="31"/>
  <c r="R225" i="31"/>
  <c r="S225" i="31" s="1"/>
  <c r="R226" i="31"/>
  <c r="R227" i="31"/>
  <c r="S227" i="31" s="1"/>
  <c r="R228" i="31"/>
  <c r="S228" i="31" s="1"/>
  <c r="R229" i="31"/>
  <c r="R230" i="31"/>
  <c r="R231" i="31"/>
  <c r="R232" i="31"/>
  <c r="R233" i="31"/>
  <c r="S233" i="31" s="1"/>
  <c r="R234" i="31"/>
  <c r="R235" i="31"/>
  <c r="S235" i="31" s="1"/>
  <c r="R236" i="31"/>
  <c r="S236" i="31" s="1"/>
  <c r="R237" i="31"/>
  <c r="R238" i="31"/>
  <c r="R239" i="31"/>
  <c r="R240" i="31"/>
  <c r="R241" i="31"/>
  <c r="S241" i="31" s="1"/>
  <c r="R242" i="31"/>
  <c r="R243" i="31"/>
  <c r="S243" i="31" s="1"/>
  <c r="R244" i="31"/>
  <c r="S244" i="31" s="1"/>
  <c r="R245" i="31"/>
  <c r="R246" i="31"/>
  <c r="R247" i="31"/>
  <c r="S247" i="31" s="1"/>
  <c r="R248" i="31"/>
  <c r="R249" i="31"/>
  <c r="S249" i="31" s="1"/>
  <c r="R250" i="31"/>
  <c r="R251" i="31"/>
  <c r="S251" i="31" s="1"/>
  <c r="R252" i="31"/>
  <c r="S252" i="31" s="1"/>
  <c r="R253" i="31"/>
  <c r="R254" i="31"/>
  <c r="R255" i="31"/>
  <c r="S255" i="31" s="1"/>
  <c r="R256" i="31"/>
  <c r="R257" i="31"/>
  <c r="S257" i="31" s="1"/>
  <c r="R258" i="31"/>
  <c r="R259" i="31"/>
  <c r="S259" i="31" s="1"/>
  <c r="R260" i="31"/>
  <c r="S260" i="31" s="1"/>
  <c r="R261" i="31"/>
  <c r="S261" i="31" s="1"/>
  <c r="R262" i="31"/>
  <c r="R263" i="31"/>
  <c r="S263" i="31" s="1"/>
  <c r="R264" i="31"/>
  <c r="R265" i="31"/>
  <c r="S265" i="31" s="1"/>
  <c r="R266" i="31"/>
  <c r="R267" i="31"/>
  <c r="S267" i="31" s="1"/>
  <c r="R268" i="31"/>
  <c r="S268" i="31" s="1"/>
  <c r="R269" i="31"/>
  <c r="S269" i="31" s="1"/>
  <c r="R270" i="31"/>
  <c r="R271" i="31"/>
  <c r="S271" i="31" s="1"/>
  <c r="R272" i="31"/>
  <c r="R273" i="31"/>
  <c r="S273" i="31" s="1"/>
  <c r="R274" i="31"/>
  <c r="R275" i="31"/>
  <c r="S275" i="31" s="1"/>
  <c r="R276" i="31"/>
  <c r="S276" i="31" s="1"/>
  <c r="R277" i="31"/>
  <c r="S277" i="31" s="1"/>
  <c r="R278" i="31"/>
  <c r="R279" i="31"/>
  <c r="S279" i="31" s="1"/>
  <c r="R280" i="31"/>
  <c r="R281" i="31"/>
  <c r="S281" i="31" s="1"/>
  <c r="R282" i="31"/>
  <c r="R283" i="31"/>
  <c r="S283" i="31" s="1"/>
  <c r="R284" i="31"/>
  <c r="S284" i="31" s="1"/>
  <c r="R285" i="31"/>
  <c r="S285" i="31" s="1"/>
  <c r="R286" i="31"/>
  <c r="R287" i="31"/>
  <c r="S287" i="31" s="1"/>
  <c r="R288" i="31"/>
  <c r="R289" i="31"/>
  <c r="S289" i="31" s="1"/>
  <c r="R290" i="3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S425" i="31" s="1"/>
  <c r="R426" i="31"/>
  <c r="R427" i="31"/>
  <c r="S427" i="31" s="1"/>
  <c r="R428" i="31"/>
  <c r="S428" i="31" s="1"/>
  <c r="R429" i="31"/>
  <c r="R430" i="31"/>
  <c r="R431" i="31"/>
  <c r="S431" i="31" s="1"/>
  <c r="R432" i="31"/>
  <c r="R433" i="31"/>
  <c r="S433" i="31" s="1"/>
  <c r="R434" i="31"/>
  <c r="R435" i="31"/>
  <c r="S435" i="31" s="1"/>
  <c r="R436" i="31"/>
  <c r="S436" i="31" s="1"/>
  <c r="R437" i="31"/>
  <c r="R438" i="31"/>
  <c r="R439" i="31"/>
  <c r="S439" i="31" s="1"/>
  <c r="R440" i="31"/>
  <c r="R441" i="31"/>
  <c r="S441" i="31" s="1"/>
  <c r="R442" i="31"/>
  <c r="R443" i="31"/>
  <c r="S443" i="31" s="1"/>
  <c r="R444" i="31"/>
  <c r="S444" i="31" s="1"/>
  <c r="R445" i="31"/>
  <c r="R446" i="31"/>
  <c r="R447" i="31"/>
  <c r="S447" i="31" s="1"/>
  <c r="R448" i="31"/>
  <c r="R449" i="31"/>
  <c r="S449" i="31" s="1"/>
  <c r="R450" i="31"/>
  <c r="R451" i="31"/>
  <c r="S451" i="31" s="1"/>
  <c r="R452" i="31"/>
  <c r="S452" i="31" s="1"/>
  <c r="R453" i="31"/>
  <c r="R454" i="31"/>
  <c r="R455" i="31"/>
  <c r="S455" i="31" s="1"/>
  <c r="R456" i="31"/>
  <c r="R457" i="31"/>
  <c r="S457" i="31" s="1"/>
  <c r="R458" i="31"/>
  <c r="R459" i="31"/>
  <c r="S459" i="31" s="1"/>
  <c r="R460" i="31"/>
  <c r="S460" i="31" s="1"/>
  <c r="R461" i="31"/>
  <c r="R462" i="31"/>
  <c r="R463" i="31"/>
  <c r="S463" i="31" s="1"/>
  <c r="R464" i="31"/>
  <c r="R465" i="31"/>
  <c r="S465" i="31" s="1"/>
  <c r="R466" i="31"/>
  <c r="R467" i="31"/>
  <c r="S467" i="31" s="1"/>
  <c r="R468" i="31"/>
  <c r="S468" i="31" s="1"/>
  <c r="R469" i="31"/>
  <c r="R470" i="31"/>
  <c r="R471" i="31"/>
  <c r="S471" i="31" s="1"/>
  <c r="R472" i="31"/>
  <c r="R473" i="31"/>
  <c r="S473" i="31" s="1"/>
  <c r="R474" i="31"/>
  <c r="R475" i="31"/>
  <c r="S475" i="31" s="1"/>
  <c r="R476" i="31"/>
  <c r="S476" i="31" s="1"/>
  <c r="R477" i="31"/>
  <c r="R478" i="31"/>
  <c r="R479" i="31"/>
  <c r="S479" i="31" s="1"/>
  <c r="R480" i="31"/>
  <c r="R481" i="31"/>
  <c r="S481" i="31" s="1"/>
  <c r="R482" i="31"/>
  <c r="R483" i="31"/>
  <c r="S483" i="31" s="1"/>
  <c r="R484" i="31"/>
  <c r="S484" i="31" s="1"/>
  <c r="R485" i="31"/>
  <c r="R486" i="31"/>
  <c r="R487" i="31"/>
  <c r="S487" i="31" s="1"/>
  <c r="R488" i="31"/>
  <c r="R489" i="31"/>
  <c r="S489" i="31" s="1"/>
  <c r="R490" i="31"/>
  <c r="R491" i="31"/>
  <c r="S491" i="31" s="1"/>
  <c r="R492" i="31"/>
  <c r="S492" i="31" s="1"/>
  <c r="R493" i="31"/>
  <c r="R494" i="31"/>
  <c r="R495" i="31"/>
  <c r="S495" i="31" s="1"/>
  <c r="R496" i="31"/>
  <c r="R497" i="31"/>
  <c r="S497" i="31" s="1"/>
  <c r="R498" i="31"/>
  <c r="R499" i="31"/>
  <c r="S499" i="31" s="1"/>
  <c r="R500" i="31"/>
  <c r="S500" i="31" s="1"/>
  <c r="R501" i="31"/>
  <c r="R502" i="31"/>
  <c r="R503" i="31"/>
  <c r="S503" i="31" s="1"/>
  <c r="R504" i="31"/>
  <c r="R505" i="31"/>
  <c r="R506" i="31"/>
  <c r="R507" i="31"/>
  <c r="S507" i="31" s="1"/>
  <c r="R508" i="31"/>
  <c r="S508" i="31" s="1"/>
  <c r="R509" i="31"/>
  <c r="R510" i="31"/>
  <c r="R511" i="31"/>
  <c r="S511" i="31" s="1"/>
  <c r="R512" i="31"/>
  <c r="R513" i="31"/>
  <c r="S513" i="31" s="1"/>
  <c r="R514" i="31"/>
  <c r="R515" i="31"/>
  <c r="S515" i="31" s="1"/>
  <c r="R516" i="31"/>
  <c r="S516" i="31" s="1"/>
  <c r="R517" i="31"/>
  <c r="R518" i="31"/>
  <c r="R519" i="31"/>
  <c r="S519" i="31" s="1"/>
  <c r="R520" i="3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58" i="31"/>
  <c r="S356" i="31"/>
  <c r="S354" i="31"/>
  <c r="S350" i="31"/>
  <c r="S346" i="31"/>
  <c r="S342" i="31"/>
  <c r="S338" i="31"/>
  <c r="S334" i="31"/>
  <c r="S330" i="31"/>
  <c r="S326" i="31"/>
  <c r="S322" i="31"/>
  <c r="S424" i="31"/>
  <c r="S318" i="31"/>
  <c r="S310" i="31"/>
  <c r="S306" i="31"/>
  <c r="S302" i="31"/>
  <c r="S294" i="31"/>
  <c r="S290" i="31"/>
  <c r="S288" i="31"/>
  <c r="S286" i="31"/>
  <c r="S282" i="31"/>
  <c r="S280" i="31"/>
  <c r="S278" i="31"/>
  <c r="S274" i="31"/>
  <c r="S272" i="31"/>
  <c r="S270" i="31"/>
  <c r="S266" i="31"/>
  <c r="S264" i="31"/>
  <c r="S262" i="31"/>
  <c r="S258" i="31"/>
  <c r="S256" i="31"/>
  <c r="S254" i="31"/>
  <c r="S253" i="31"/>
  <c r="S250" i="31"/>
  <c r="S248" i="31"/>
  <c r="S246" i="31"/>
  <c r="S245" i="31"/>
  <c r="S242" i="31"/>
  <c r="S240" i="31"/>
  <c r="S239" i="31"/>
  <c r="S238" i="31"/>
  <c r="S237" i="31"/>
  <c r="S234" i="31"/>
  <c r="S232" i="31"/>
  <c r="S231" i="31"/>
  <c r="S230" i="31"/>
  <c r="S229" i="31"/>
  <c r="S226" i="31"/>
  <c r="S224" i="31"/>
  <c r="S429" i="31"/>
  <c r="S426" i="31"/>
  <c r="S222" i="31"/>
  <c r="S221" i="31"/>
  <c r="S218" i="31"/>
  <c r="S216" i="31"/>
  <c r="S214" i="31"/>
  <c r="S213" i="31"/>
  <c r="S210" i="31"/>
  <c r="S208" i="31"/>
  <c r="S206" i="31"/>
  <c r="S205" i="31"/>
  <c r="S202" i="31"/>
  <c r="S200" i="31"/>
  <c r="S198" i="31"/>
  <c r="S197" i="31"/>
  <c r="S194" i="31"/>
  <c r="S192" i="31"/>
  <c r="S190" i="31"/>
  <c r="S189" i="31"/>
  <c r="S186" i="31"/>
  <c r="S184" i="31"/>
  <c r="S182" i="31"/>
  <c r="S181" i="31"/>
  <c r="S178" i="31"/>
  <c r="S176" i="31"/>
  <c r="S174" i="31"/>
  <c r="S173" i="31"/>
  <c r="S170" i="31"/>
  <c r="S168" i="31"/>
  <c r="S166" i="31"/>
  <c r="S165" i="31"/>
  <c r="S162" i="31"/>
  <c r="S160" i="31"/>
  <c r="S158" i="31"/>
  <c r="S157" i="31"/>
  <c r="S154" i="31"/>
  <c r="S152" i="31"/>
  <c r="S150" i="31"/>
  <c r="S149" i="31"/>
  <c r="S146" i="31"/>
  <c r="S144" i="31"/>
  <c r="S142" i="31"/>
  <c r="S141" i="31"/>
  <c r="S138" i="31"/>
  <c r="S136" i="31"/>
  <c r="S134" i="31"/>
  <c r="S133" i="31"/>
  <c r="S130" i="31"/>
  <c r="S128" i="31"/>
  <c r="S126" i="31"/>
  <c r="S125" i="31"/>
  <c r="S496" i="31"/>
  <c r="S494" i="31"/>
  <c r="S493" i="31"/>
  <c r="S490" i="31"/>
  <c r="S488" i="31"/>
  <c r="S486" i="31"/>
  <c r="S485" i="31"/>
  <c r="S482" i="31"/>
  <c r="S480" i="31"/>
  <c r="S478" i="31"/>
  <c r="S477" i="31"/>
  <c r="S474" i="31"/>
  <c r="S472" i="31"/>
  <c r="S470" i="31"/>
  <c r="S469" i="31"/>
  <c r="S442" i="31"/>
  <c r="S440" i="31"/>
  <c r="S438" i="31"/>
  <c r="S437" i="31"/>
  <c r="S434" i="31"/>
  <c r="S432" i="31"/>
  <c r="S430" i="31"/>
  <c r="S122" i="31"/>
  <c r="S120" i="31"/>
  <c r="S118" i="31"/>
  <c r="S117" i="31"/>
  <c r="S114" i="31"/>
  <c r="S112" i="31"/>
  <c r="S506" i="31"/>
  <c r="S504" i="31"/>
  <c r="S502" i="31"/>
  <c r="S498" i="31"/>
  <c r="S466" i="31"/>
  <c r="S464" i="31"/>
  <c r="S462" i="31"/>
  <c r="S461" i="31"/>
  <c r="S458" i="31"/>
  <c r="S456" i="31"/>
  <c r="S454" i="31"/>
  <c r="S453" i="31"/>
  <c r="S450" i="31"/>
  <c r="S53" i="31"/>
  <c r="S77" i="31"/>
  <c r="S74" i="31"/>
  <c r="S72" i="31"/>
  <c r="S71" i="31"/>
  <c r="S69" i="31"/>
  <c r="S66" i="31"/>
  <c r="S64" i="31"/>
  <c r="S63" i="31"/>
  <c r="S61" i="31"/>
  <c r="S58" i="31"/>
  <c r="S56" i="31"/>
  <c r="S96" i="31"/>
  <c r="S94" i="31"/>
  <c r="S93" i="31"/>
  <c r="S90" i="31"/>
  <c r="S88" i="31"/>
  <c r="S87" i="31"/>
  <c r="S85" i="31"/>
  <c r="S82" i="31"/>
  <c r="S80" i="31"/>
  <c r="S79" i="31"/>
  <c r="S98" i="31"/>
  <c r="S101" i="31"/>
  <c r="S102" i="31"/>
  <c r="S103" i="31"/>
  <c r="S104" i="31"/>
  <c r="S106" i="31"/>
  <c r="S109" i="31"/>
  <c r="S110" i="31"/>
  <c r="S445" i="31"/>
  <c r="S446" i="31"/>
  <c r="S448" i="31"/>
  <c r="S509" i="31"/>
  <c r="S510" i="31"/>
  <c r="S512"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I5" i="3" s="1"/>
  <c r="BJ493" i="3"/>
  <c r="BK493" i="3"/>
  <c r="BM493" i="3"/>
  <c r="BN493" i="3"/>
  <c r="BO493" i="3"/>
  <c r="BP493" i="3"/>
  <c r="BR493" i="3"/>
  <c r="BS493" i="3"/>
  <c r="BS5" i="3" s="1"/>
  <c r="BT493" i="3"/>
  <c r="H494" i="3"/>
  <c r="AC494" i="3"/>
  <c r="G494" i="3" s="1"/>
  <c r="BB494" i="3"/>
  <c r="BC494" i="3"/>
  <c r="BD494" i="3"/>
  <c r="BE494" i="3"/>
  <c r="BF494" i="3"/>
  <c r="BF5" i="3" s="1"/>
  <c r="BG494" i="3"/>
  <c r="BH494" i="3"/>
  <c r="BI494" i="3"/>
  <c r="BJ494" i="3"/>
  <c r="BK494" i="3"/>
  <c r="BM494" i="3"/>
  <c r="BN494" i="3"/>
  <c r="BO494" i="3"/>
  <c r="BO5" i="3" s="1"/>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BT5" i="3" s="1"/>
  <c r="H496" i="3"/>
  <c r="AC496" i="3"/>
  <c r="G496" i="3" s="1"/>
  <c r="BB496" i="3"/>
  <c r="BC496" i="3"/>
  <c r="BD496" i="3"/>
  <c r="BE496" i="3"/>
  <c r="BF496" i="3"/>
  <c r="BG496" i="3"/>
  <c r="BG5" i="3" s="1"/>
  <c r="BH496" i="3"/>
  <c r="BI496" i="3"/>
  <c r="BJ496" i="3"/>
  <c r="BK496" i="3"/>
  <c r="BM496" i="3"/>
  <c r="BN496" i="3"/>
  <c r="BO496" i="3"/>
  <c r="BP496" i="3"/>
  <c r="BL496" i="3" s="1"/>
  <c r="BQ496" i="3"/>
  <c r="BR496" i="3"/>
  <c r="BS496" i="3"/>
  <c r="BT496" i="3"/>
  <c r="H497" i="3"/>
  <c r="AC497" i="3"/>
  <c r="BB497" i="3"/>
  <c r="BC497" i="3"/>
  <c r="BC5" i="3" s="1"/>
  <c r="BD497" i="3"/>
  <c r="BE497" i="3"/>
  <c r="BF497" i="3"/>
  <c r="BG497" i="3"/>
  <c r="BH497" i="3"/>
  <c r="BI497" i="3"/>
  <c r="BJ497" i="3"/>
  <c r="BK497" i="3"/>
  <c r="BM497" i="3"/>
  <c r="BN497" i="3"/>
  <c r="BO497" i="3"/>
  <c r="BL497" i="3" s="1"/>
  <c r="BP497" i="3"/>
  <c r="BR497" i="3"/>
  <c r="BS497" i="3"/>
  <c r="BT497" i="3"/>
  <c r="H498" i="3"/>
  <c r="AC498" i="3"/>
  <c r="BB498" i="3"/>
  <c r="BC498" i="3"/>
  <c r="BD498" i="3"/>
  <c r="BE498" i="3"/>
  <c r="BF498" i="3"/>
  <c r="BG498" i="3"/>
  <c r="BH498" i="3"/>
  <c r="BH5" i="3" s="1"/>
  <c r="BI498" i="3"/>
  <c r="BJ498" i="3"/>
  <c r="BK498" i="3"/>
  <c r="BM498" i="3"/>
  <c r="BN498" i="3"/>
  <c r="BO498" i="3"/>
  <c r="BP498" i="3"/>
  <c r="BQ498" i="3"/>
  <c r="BL498" i="3" s="1"/>
  <c r="BR498" i="3"/>
  <c r="BS498" i="3"/>
  <c r="BT498" i="3"/>
  <c r="H499" i="3"/>
  <c r="AC499" i="3"/>
  <c r="BB499" i="3"/>
  <c r="BC499" i="3"/>
  <c r="BD499" i="3"/>
  <c r="BE499" i="3"/>
  <c r="BF499" i="3"/>
  <c r="BG499" i="3"/>
  <c r="BH499" i="3"/>
  <c r="BI499" i="3"/>
  <c r="BJ499" i="3"/>
  <c r="BK499" i="3"/>
  <c r="BM499" i="3"/>
  <c r="BL499" i="3" s="1"/>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R5" i="3" s="1"/>
  <c r="BS500" i="3"/>
  <c r="BT500" i="3"/>
  <c r="H501" i="3"/>
  <c r="AC501" i="3"/>
  <c r="BB501" i="3"/>
  <c r="BC501" i="3"/>
  <c r="BD501" i="3"/>
  <c r="BE501" i="3"/>
  <c r="BA501" i="3" s="1"/>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H505" i="3"/>
  <c r="BI505" i="3"/>
  <c r="BJ505" i="3"/>
  <c r="BK505" i="3"/>
  <c r="BM505" i="3"/>
  <c r="BN505" i="3"/>
  <c r="BO505" i="3"/>
  <c r="BP505" i="3"/>
  <c r="BL505" i="3" s="1"/>
  <c r="BR505" i="3"/>
  <c r="BS505" i="3"/>
  <c r="BT505" i="3"/>
  <c r="H506" i="3"/>
  <c r="AC506" i="3"/>
  <c r="BB506" i="3"/>
  <c r="BC506" i="3"/>
  <c r="BD506" i="3"/>
  <c r="BA506" i="3" s="1"/>
  <c r="AZ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L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Q512" i="3"/>
  <c r="BL512" i="3" s="1"/>
  <c r="BR512" i="3"/>
  <c r="BS512" i="3"/>
  <c r="BT512" i="3"/>
  <c r="H513" i="3"/>
  <c r="AC513" i="3"/>
  <c r="BB513" i="3"/>
  <c r="BC513" i="3"/>
  <c r="BD513" i="3"/>
  <c r="BA513" i="3" s="1"/>
  <c r="BE513" i="3"/>
  <c r="BF513" i="3"/>
  <c r="BG513" i="3"/>
  <c r="BH513" i="3"/>
  <c r="BI513" i="3"/>
  <c r="BJ513" i="3"/>
  <c r="BK513" i="3"/>
  <c r="BM513" i="3"/>
  <c r="BL513" i="3" s="1"/>
  <c r="BN513" i="3"/>
  <c r="BO513" i="3"/>
  <c r="BP513" i="3"/>
  <c r="BR513" i="3"/>
  <c r="BS513" i="3"/>
  <c r="BT513" i="3"/>
  <c r="H514" i="3"/>
  <c r="AC514" i="3"/>
  <c r="G514" i="3" s="1"/>
  <c r="BB514" i="3"/>
  <c r="BC514" i="3"/>
  <c r="BD514" i="3"/>
  <c r="BA514" i="3" s="1"/>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G517" i="3" s="1"/>
  <c r="BB517" i="3"/>
  <c r="BC517" i="3"/>
  <c r="BD517" i="3"/>
  <c r="BE517" i="3"/>
  <c r="BF517" i="3"/>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A522" i="3" s="1"/>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AC526" i="3"/>
  <c r="BB526" i="3"/>
  <c r="BC526" i="3"/>
  <c r="BD526" i="3"/>
  <c r="BE526" i="3"/>
  <c r="BF526" i="3"/>
  <c r="BG526" i="3"/>
  <c r="BH526" i="3"/>
  <c r="BA526" i="3" s="1"/>
  <c r="AZ526" i="3" s="1"/>
  <c r="BI526" i="3"/>
  <c r="BJ526" i="3"/>
  <c r="BK526" i="3"/>
  <c r="BM526" i="3"/>
  <c r="BN526" i="3"/>
  <c r="BO526" i="3"/>
  <c r="BP526" i="3"/>
  <c r="BQ526" i="3"/>
  <c r="BL526" i="3" s="1"/>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G528" i="3" s="1"/>
  <c r="BB528" i="3"/>
  <c r="BC528" i="3"/>
  <c r="BD528" i="3"/>
  <c r="BA528" i="3" s="1"/>
  <c r="AZ528" i="3" s="1"/>
  <c r="BE528" i="3"/>
  <c r="BF528" i="3"/>
  <c r="BG528" i="3"/>
  <c r="BH528" i="3"/>
  <c r="BI528" i="3"/>
  <c r="BJ528" i="3"/>
  <c r="BK528" i="3"/>
  <c r="BM528" i="3"/>
  <c r="BN528" i="3"/>
  <c r="BO528" i="3"/>
  <c r="BP528" i="3"/>
  <c r="BQ528" i="3"/>
  <c r="BR528" i="3"/>
  <c r="BS528" i="3"/>
  <c r="BT528" i="3"/>
  <c r="H529" i="3"/>
  <c r="G529" i="3" s="1"/>
  <c r="AC529" i="3"/>
  <c r="BB529" i="3"/>
  <c r="BC529" i="3"/>
  <c r="BD529" i="3"/>
  <c r="BE529" i="3"/>
  <c r="BA529" i="3" s="1"/>
  <c r="BF529" i="3"/>
  <c r="BG529" i="3"/>
  <c r="BH529" i="3"/>
  <c r="BI529" i="3"/>
  <c r="BJ529" i="3"/>
  <c r="BK529" i="3"/>
  <c r="BM529" i="3"/>
  <c r="BN529" i="3"/>
  <c r="BL529" i="3" s="1"/>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A531" i="3" s="1"/>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A536" i="3" s="1"/>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L537" i="3" s="1"/>
  <c r="BN537" i="3"/>
  <c r="BO537" i="3"/>
  <c r="BP537" i="3"/>
  <c r="BR537" i="3"/>
  <c r="BS537" i="3"/>
  <c r="BT537" i="3"/>
  <c r="H538" i="3"/>
  <c r="AC538" i="3"/>
  <c r="BB538" i="3"/>
  <c r="BC538" i="3"/>
  <c r="BD538" i="3"/>
  <c r="BE538" i="3"/>
  <c r="BF538" i="3"/>
  <c r="BA538" i="3" s="1"/>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L542" i="3" s="1"/>
  <c r="BR542" i="3"/>
  <c r="BS542" i="3"/>
  <c r="BT542" i="3"/>
  <c r="H543" i="3"/>
  <c r="AC543" i="3"/>
  <c r="BB543" i="3"/>
  <c r="BC543" i="3"/>
  <c r="BD543" i="3"/>
  <c r="BA543" i="3" s="1"/>
  <c r="BE543" i="3"/>
  <c r="BF543" i="3"/>
  <c r="BG543" i="3"/>
  <c r="BH543" i="3"/>
  <c r="BI543" i="3"/>
  <c r="BJ543" i="3"/>
  <c r="BK543" i="3"/>
  <c r="BM543" i="3"/>
  <c r="BN543" i="3"/>
  <c r="BO543" i="3"/>
  <c r="BP543" i="3"/>
  <c r="BR543" i="3"/>
  <c r="BS543" i="3"/>
  <c r="BT543" i="3"/>
  <c r="H544" i="3"/>
  <c r="AC544" i="3"/>
  <c r="G544" i="3" s="1"/>
  <c r="BB544" i="3"/>
  <c r="BC544" i="3"/>
  <c r="BD544" i="3"/>
  <c r="BA544" i="3" s="1"/>
  <c r="BE544" i="3"/>
  <c r="BF544" i="3"/>
  <c r="BG544" i="3"/>
  <c r="BH544" i="3"/>
  <c r="BI544" i="3"/>
  <c r="BJ544" i="3"/>
  <c r="BK544" i="3"/>
  <c r="BM544" i="3"/>
  <c r="BN544" i="3"/>
  <c r="BO544" i="3"/>
  <c r="BP544" i="3"/>
  <c r="BQ544" i="3"/>
  <c r="BR544" i="3"/>
  <c r="BS544" i="3"/>
  <c r="BT544" i="3"/>
  <c r="H545" i="3"/>
  <c r="G545" i="3" s="1"/>
  <c r="AC545" i="3"/>
  <c r="BB545" i="3"/>
  <c r="BC545" i="3"/>
  <c r="BD545" i="3"/>
  <c r="BE545" i="3"/>
  <c r="BA545" i="3" s="1"/>
  <c r="BF545" i="3"/>
  <c r="BG545" i="3"/>
  <c r="BH545" i="3"/>
  <c r="BI545" i="3"/>
  <c r="BJ545" i="3"/>
  <c r="BK545" i="3"/>
  <c r="BM545" i="3"/>
  <c r="BN545" i="3"/>
  <c r="BL545" i="3" s="1"/>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A547" i="3" s="1"/>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L549" i="3" s="1"/>
  <c r="AZ549" i="3" s="1"/>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A556" i="3" s="1"/>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A558" i="3" s="1"/>
  <c r="AZ558" i="3" s="1"/>
  <c r="BD558" i="3"/>
  <c r="BE558" i="3"/>
  <c r="BF558" i="3"/>
  <c r="BG558" i="3"/>
  <c r="BH558" i="3"/>
  <c r="BI558" i="3"/>
  <c r="BJ558" i="3"/>
  <c r="BK558" i="3"/>
  <c r="BM558" i="3"/>
  <c r="BN558" i="3"/>
  <c r="BO558" i="3"/>
  <c r="BP558" i="3"/>
  <c r="BQ558" i="3"/>
  <c r="BL558" i="3" s="1"/>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A561" i="3" s="1"/>
  <c r="BF561" i="3"/>
  <c r="BG561" i="3"/>
  <c r="BH561" i="3"/>
  <c r="BI561" i="3"/>
  <c r="BJ561" i="3"/>
  <c r="BK561" i="3"/>
  <c r="BM561" i="3"/>
  <c r="BN561" i="3"/>
  <c r="BL561" i="3" s="1"/>
  <c r="AZ561" i="3" s="1"/>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A563" i="3" s="1"/>
  <c r="BG563" i="3"/>
  <c r="BH563" i="3"/>
  <c r="BI563" i="3"/>
  <c r="BJ563" i="3"/>
  <c r="BK563" i="3"/>
  <c r="BM563" i="3"/>
  <c r="BN563" i="3"/>
  <c r="BO563" i="3"/>
  <c r="BP563" i="3"/>
  <c r="BR563" i="3"/>
  <c r="BS563" i="3"/>
  <c r="BT563" i="3"/>
  <c r="H564" i="3"/>
  <c r="AC564" i="3"/>
  <c r="G564" i="3" s="1"/>
  <c r="BB564" i="3"/>
  <c r="BC564" i="3"/>
  <c r="BA564" i="3" s="1"/>
  <c r="BD564" i="3"/>
  <c r="BE564" i="3"/>
  <c r="BF564" i="3"/>
  <c r="BG564" i="3"/>
  <c r="BH564" i="3"/>
  <c r="BI564" i="3"/>
  <c r="BJ564" i="3"/>
  <c r="BK564" i="3"/>
  <c r="BM564" i="3"/>
  <c r="BN564" i="3"/>
  <c r="BO564" i="3"/>
  <c r="BP564" i="3"/>
  <c r="BQ564" i="3"/>
  <c r="BR564" i="3"/>
  <c r="BS564" i="3"/>
  <c r="BT564" i="3"/>
  <c r="H565" i="3"/>
  <c r="G565" i="3" s="1"/>
  <c r="AC565" i="3"/>
  <c r="BB565" i="3"/>
  <c r="BA565" i="3" s="1"/>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L566" i="3" s="1"/>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D568" i="3"/>
  <c r="BA568" i="3" s="1"/>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A570" i="3" s="1"/>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L571" i="3" s="1"/>
  <c r="BT571" i="3"/>
  <c r="H572" i="3"/>
  <c r="AC572" i="3"/>
  <c r="BB572" i="3"/>
  <c r="BC572" i="3"/>
  <c r="BD572" i="3"/>
  <c r="BE572" i="3"/>
  <c r="BF572" i="3"/>
  <c r="BA572" i="3" s="1"/>
  <c r="AZ572" i="3" s="1"/>
  <c r="BG572" i="3"/>
  <c r="BH572" i="3"/>
  <c r="BI572" i="3"/>
  <c r="BJ572" i="3"/>
  <c r="BK572" i="3"/>
  <c r="BM572" i="3"/>
  <c r="BN572" i="3"/>
  <c r="BO572" i="3"/>
  <c r="BL572" i="3" s="1"/>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A574" i="3" s="1"/>
  <c r="AZ574" i="3" s="1"/>
  <c r="BH574" i="3"/>
  <c r="BI574" i="3"/>
  <c r="BJ574" i="3"/>
  <c r="BK574" i="3"/>
  <c r="BM574" i="3"/>
  <c r="BN574" i="3"/>
  <c r="BO574" i="3"/>
  <c r="BP574" i="3"/>
  <c r="BL574" i="3" s="1"/>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A576" i="3" s="1"/>
  <c r="BI576" i="3"/>
  <c r="BJ576" i="3"/>
  <c r="BK576" i="3"/>
  <c r="BM576" i="3"/>
  <c r="BN576" i="3"/>
  <c r="BO576" i="3"/>
  <c r="BP576" i="3"/>
  <c r="BQ576" i="3"/>
  <c r="BL576" i="3" s="1"/>
  <c r="BR576" i="3"/>
  <c r="BS576" i="3"/>
  <c r="BT576" i="3"/>
  <c r="H577" i="3"/>
  <c r="AC577" i="3"/>
  <c r="G577" i="3" s="1"/>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A579" i="3" s="1"/>
  <c r="BF579" i="3"/>
  <c r="BG579" i="3"/>
  <c r="BH579" i="3"/>
  <c r="BI579" i="3"/>
  <c r="BJ579" i="3"/>
  <c r="BK579" i="3"/>
  <c r="BM579" i="3"/>
  <c r="BN579" i="3"/>
  <c r="BL579" i="3" s="1"/>
  <c r="BO579" i="3"/>
  <c r="BP579" i="3"/>
  <c r="BR579" i="3"/>
  <c r="BS579" i="3"/>
  <c r="BT579" i="3"/>
  <c r="H580" i="3"/>
  <c r="AC580" i="3"/>
  <c r="BB580" i="3"/>
  <c r="BA580" i="3" s="1"/>
  <c r="AZ580" i="3" s="1"/>
  <c r="BC580" i="3"/>
  <c r="BD580" i="3"/>
  <c r="BE580" i="3"/>
  <c r="BF580" i="3"/>
  <c r="BG580" i="3"/>
  <c r="BH580" i="3"/>
  <c r="BI580" i="3"/>
  <c r="BJ580" i="3"/>
  <c r="BK580" i="3"/>
  <c r="BM580" i="3"/>
  <c r="BN580" i="3"/>
  <c r="BO580" i="3"/>
  <c r="BP580" i="3"/>
  <c r="BQ580" i="3"/>
  <c r="BR580" i="3"/>
  <c r="BS580" i="3"/>
  <c r="BL580" i="3" s="1"/>
  <c r="BT580" i="3"/>
  <c r="H581" i="3"/>
  <c r="AC581" i="3"/>
  <c r="BB581" i="3"/>
  <c r="BC581" i="3"/>
  <c r="BD581" i="3"/>
  <c r="BE581" i="3"/>
  <c r="BF581" i="3"/>
  <c r="BA581" i="3" s="1"/>
  <c r="BG581" i="3"/>
  <c r="BH581" i="3"/>
  <c r="BI581" i="3"/>
  <c r="BJ581" i="3"/>
  <c r="BK581" i="3"/>
  <c r="BM581" i="3"/>
  <c r="BN581" i="3"/>
  <c r="BO581" i="3"/>
  <c r="BL581" i="3" s="1"/>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AZ584" i="3" s="1"/>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H36" i="39" s="1"/>
  <c r="J30" i="36"/>
  <c r="H30" i="36"/>
  <c r="U30" i="36" s="1"/>
  <c r="F30" i="36"/>
  <c r="AA30" i="36" s="1"/>
  <c r="C26" i="35"/>
  <c r="C79" i="35" s="1"/>
  <c r="J31" i="35"/>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AA42" i="34" s="1"/>
  <c r="J38" i="34"/>
  <c r="W38" i="34" s="1"/>
  <c r="D114" i="34"/>
  <c r="F38" i="34"/>
  <c r="S38" i="34"/>
  <c r="D112" i="34"/>
  <c r="E112" i="34" s="1"/>
  <c r="F112" i="34" s="1"/>
  <c r="G112" i="34" s="1"/>
  <c r="H112" i="34" s="1"/>
  <c r="I112" i="34" s="1"/>
  <c r="J112" i="34" s="1"/>
  <c r="K112" i="34" s="1"/>
  <c r="L112" i="34" s="1"/>
  <c r="M112" i="34" s="1"/>
  <c r="F40" i="33"/>
  <c r="AA40" i="33" s="1"/>
  <c r="J41" i="33"/>
  <c r="AC41" i="33" s="1"/>
  <c r="D113" i="33"/>
  <c r="E113" i="33" s="1"/>
  <c r="F37" i="33"/>
  <c r="D111" i="33"/>
  <c r="E111" i="33"/>
  <c r="F111" i="33"/>
  <c r="G111" i="33" s="1"/>
  <c r="H111" i="33" s="1"/>
  <c r="I111" i="33" s="1"/>
  <c r="J111" i="33" s="1"/>
  <c r="K111" i="33" s="1"/>
  <c r="L111" i="33" s="1"/>
  <c r="M111" i="33" s="1"/>
  <c r="S517" i="31"/>
  <c r="S518" i="31"/>
  <c r="S520" i="31"/>
  <c r="S522" i="31"/>
  <c r="F41" i="21"/>
  <c r="S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H38" i="40" s="1"/>
  <c r="AB38" i="40" s="1"/>
  <c r="F38" i="40"/>
  <c r="AA38" i="40" s="1"/>
  <c r="D115" i="40"/>
  <c r="E115" i="40" s="1"/>
  <c r="F115" i="40" s="1"/>
  <c r="G115" i="40" s="1"/>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F31" i="40" s="1"/>
  <c r="AA31" i="40" s="1"/>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B79" i="40"/>
  <c r="B77" i="40"/>
  <c r="H12" i="40" s="1"/>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E96" i="39" s="1"/>
  <c r="F96" i="39" s="1"/>
  <c r="G96" i="39" s="1"/>
  <c r="J23" i="39"/>
  <c r="AC23" i="39" s="1"/>
  <c r="D94" i="39"/>
  <c r="E94" i="39" s="1"/>
  <c r="F94" i="39"/>
  <c r="D92" i="39"/>
  <c r="E92" i="39" s="1"/>
  <c r="F92" i="39" s="1"/>
  <c r="G92" i="39" s="1"/>
  <c r="D90" i="39"/>
  <c r="E90" i="39"/>
  <c r="F90" i="39" s="1"/>
  <c r="G90" i="39" s="1"/>
  <c r="D88" i="39"/>
  <c r="E88" i="39"/>
  <c r="F88" i="39" s="1"/>
  <c r="G88" i="39" s="1"/>
  <c r="B85" i="39"/>
  <c r="J14" i="39" s="1"/>
  <c r="AC14" i="39" s="1"/>
  <c r="B83" i="39"/>
  <c r="H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Q30" i="37"/>
  <c r="Z30" i="37"/>
  <c r="J30" i="37"/>
  <c r="AC30" i="37" s="1"/>
  <c r="H30" i="37"/>
  <c r="AB30" i="37" s="1"/>
  <c r="F30" i="37"/>
  <c r="AA30" i="37" s="1"/>
  <c r="Q29" i="37"/>
  <c r="Z29" i="37"/>
  <c r="H29" i="37"/>
  <c r="AB29" i="37" s="1"/>
  <c r="Q28" i="37"/>
  <c r="Z28" i="37"/>
  <c r="Q27" i="37"/>
  <c r="Z27" i="37" s="1"/>
  <c r="Q26" i="37"/>
  <c r="Z26" i="37" s="1"/>
  <c r="Q25" i="37"/>
  <c r="Z25" i="37"/>
  <c r="J25" i="37"/>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U29" i="36" s="1"/>
  <c r="D81" i="36"/>
  <c r="E81" i="36" s="1"/>
  <c r="F81" i="36" s="1"/>
  <c r="G81" i="36" s="1"/>
  <c r="H81" i="36" s="1"/>
  <c r="I81" i="36" s="1"/>
  <c r="J81" i="36" s="1"/>
  <c r="K81" i="36" s="1"/>
  <c r="L81" i="36" s="1"/>
  <c r="M81" i="36" s="1"/>
  <c r="F79" i="36"/>
  <c r="E79" i="36"/>
  <c r="D79" i="36"/>
  <c r="C79" i="36"/>
  <c r="B93" i="36"/>
  <c r="J33" i="36" s="1"/>
  <c r="AC33" i="36" s="1"/>
  <c r="H3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D70" i="36"/>
  <c r="H22" i="36"/>
  <c r="AB22" i="36" s="1"/>
  <c r="D68" i="36"/>
  <c r="E68" i="36" s="1"/>
  <c r="F68" i="36" s="1"/>
  <c r="G68" i="36"/>
  <c r="D64" i="36"/>
  <c r="E64" i="36" s="1"/>
  <c r="F64" i="36" s="1"/>
  <c r="G64" i="36"/>
  <c r="J16" i="36"/>
  <c r="W16" i="36" s="1"/>
  <c r="D62" i="36"/>
  <c r="E62" i="36" s="1"/>
  <c r="F62" i="36"/>
  <c r="G62" i="36" s="1"/>
  <c r="B59" i="36"/>
  <c r="B57" i="36"/>
  <c r="B55" i="36"/>
  <c r="C51" i="36"/>
  <c r="H9" i="36" s="1"/>
  <c r="AB9" i="36" s="1"/>
  <c r="P37" i="36"/>
  <c r="P36" i="36"/>
  <c r="V35" i="36"/>
  <c r="T35" i="36"/>
  <c r="R35" i="36"/>
  <c r="P35" i="36"/>
  <c r="Q34" i="36"/>
  <c r="Z34" i="36" s="1"/>
  <c r="Q33" i="36"/>
  <c r="Z33" i="36" s="1"/>
  <c r="Q32" i="36"/>
  <c r="Z32" i="36"/>
  <c r="Q31" i="36"/>
  <c r="Z31" i="36" s="1"/>
  <c r="Q30" i="36"/>
  <c r="Z30" i="36"/>
  <c r="Q29" i="36"/>
  <c r="Z29" i="36" s="1"/>
  <c r="Q28" i="36"/>
  <c r="Z28" i="36" s="1"/>
  <c r="J28" i="36"/>
  <c r="Q27" i="36"/>
  <c r="Z27" i="36"/>
  <c r="Q26" i="36"/>
  <c r="Z26" i="36" s="1"/>
  <c r="H26" i="36"/>
  <c r="AB26" i="36" s="1"/>
  <c r="Q25" i="36"/>
  <c r="Z25" i="36" s="1"/>
  <c r="Q24" i="36"/>
  <c r="Z24" i="36"/>
  <c r="Q23" i="36"/>
  <c r="Z23" i="36"/>
  <c r="J23" i="36"/>
  <c r="AC23" i="36" s="1"/>
  <c r="Q22" i="36"/>
  <c r="Z22" i="36" s="1"/>
  <c r="J22" i="36"/>
  <c r="AC22" i="36" s="1"/>
  <c r="Q20" i="36"/>
  <c r="Z20" i="36" s="1"/>
  <c r="Q16" i="36"/>
  <c r="Z16" i="36" s="1"/>
  <c r="Q14" i="36"/>
  <c r="Z14" i="36" s="1"/>
  <c r="Q13" i="36"/>
  <c r="Z13" i="36"/>
  <c r="Q12" i="36"/>
  <c r="Z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B101" i="35"/>
  <c r="H36" i="35" s="1"/>
  <c r="AB36" i="35" s="1"/>
  <c r="B99" i="35"/>
  <c r="B97" i="35"/>
  <c r="H34" i="35" s="1"/>
  <c r="B77" i="35"/>
  <c r="B75" i="35"/>
  <c r="B73" i="35"/>
  <c r="H23" i="35"/>
  <c r="U23" i="35" s="1"/>
  <c r="B57" i="35"/>
  <c r="B61" i="35"/>
  <c r="J13" i="35" s="1"/>
  <c r="B59" i="35"/>
  <c r="B131" i="34"/>
  <c r="B129" i="34"/>
  <c r="H46" i="34" s="1"/>
  <c r="B127" i="34"/>
  <c r="H45" i="34" s="1"/>
  <c r="B99" i="34"/>
  <c r="F32" i="34" s="1"/>
  <c r="B97" i="34"/>
  <c r="F31" i="34" s="1"/>
  <c r="S31" i="34" s="1"/>
  <c r="B95" i="34"/>
  <c r="B93" i="34"/>
  <c r="B75" i="34"/>
  <c r="B73" i="34"/>
  <c r="H13" i="34" s="1"/>
  <c r="U13" i="34" s="1"/>
  <c r="B71" i="34"/>
  <c r="B130" i="33"/>
  <c r="B128" i="33"/>
  <c r="H45" i="33" s="1"/>
  <c r="B126" i="33"/>
  <c r="B98" i="33"/>
  <c r="B96" i="33"/>
  <c r="F30" i="33" s="1"/>
  <c r="B94" i="33"/>
  <c r="B74" i="33"/>
  <c r="B72" i="33"/>
  <c r="F13" i="33" s="1"/>
  <c r="B70" i="33"/>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P39" i="35"/>
  <c r="P38" i="35"/>
  <c r="V37" i="35"/>
  <c r="T37" i="35"/>
  <c r="R37" i="35"/>
  <c r="P37" i="35"/>
  <c r="Q36" i="35"/>
  <c r="Z36" i="35"/>
  <c r="Q35" i="35"/>
  <c r="Z35" i="35" s="1"/>
  <c r="Q34" i="35"/>
  <c r="Z34" i="35" s="1"/>
  <c r="Q33" i="35"/>
  <c r="Z33" i="35"/>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c r="Q42" i="34"/>
  <c r="Z42" i="34"/>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c r="C19" i="34"/>
  <c r="Q17" i="34"/>
  <c r="Z17" i="34" s="1"/>
  <c r="C17" i="34"/>
  <c r="Q15" i="34"/>
  <c r="Z15" i="34" s="1"/>
  <c r="Q14" i="34"/>
  <c r="Z14" i="34"/>
  <c r="Q13" i="34"/>
  <c r="Z13" i="34"/>
  <c r="Q12" i="34"/>
  <c r="Z12" i="34" s="1"/>
  <c r="H12" i="34"/>
  <c r="AB12" i="34" s="1"/>
  <c r="Q11" i="34"/>
  <c r="Z11" i="34" s="1"/>
  <c r="Q10" i="34"/>
  <c r="Z10" i="34"/>
  <c r="F10" i="34"/>
  <c r="AA10" i="34" s="1"/>
  <c r="Q9" i="34"/>
  <c r="Z9" i="34"/>
  <c r="J9" i="34"/>
  <c r="AC9" i="34" s="1"/>
  <c r="H9" i="34"/>
  <c r="J8" i="34"/>
  <c r="AC8" i="34" s="1"/>
  <c r="H8" i="34"/>
  <c r="U8" i="34" s="1"/>
  <c r="F8" i="34"/>
  <c r="S8" i="34" s="1"/>
  <c r="D121" i="33"/>
  <c r="E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c r="J40" i="33"/>
  <c r="AC40" i="33" s="1"/>
  <c r="H40" i="33"/>
  <c r="U40" i="33" s="1"/>
  <c r="Q39" i="33"/>
  <c r="Z39" i="33" s="1"/>
  <c r="J39" i="33"/>
  <c r="Q38" i="33"/>
  <c r="Z38" i="33"/>
  <c r="J38" i="33"/>
  <c r="AC38" i="33" s="1"/>
  <c r="H38" i="33"/>
  <c r="AB38" i="33" s="1"/>
  <c r="F38" i="33"/>
  <c r="Q37" i="33"/>
  <c r="Z37" i="33"/>
  <c r="Q36" i="33"/>
  <c r="Z36" i="33" s="1"/>
  <c r="Q35" i="33"/>
  <c r="Z35" i="33" s="1"/>
  <c r="H35" i="33"/>
  <c r="AB35" i="33"/>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79"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F44" i="21" s="1"/>
  <c r="AA44" i="21" s="1"/>
  <c r="B98" i="21"/>
  <c r="J31" i="21" s="1"/>
  <c r="AC31" i="21" s="1"/>
  <c r="H31" i="21"/>
  <c r="B96" i="21"/>
  <c r="B94" i="21"/>
  <c r="J29" i="21"/>
  <c r="AC29" i="21" s="1"/>
  <c r="B92" i="21"/>
  <c r="H28" i="21" s="1"/>
  <c r="AB28" i="21" s="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c r="J34" i="21"/>
  <c r="W34" i="21"/>
  <c r="H36" i="21"/>
  <c r="U36" i="21"/>
  <c r="F35" i="21"/>
  <c r="AA35" i="21" s="1"/>
  <c r="J10" i="21"/>
  <c r="AC10" i="21" s="1"/>
  <c r="H26" i="21"/>
  <c r="AB26" i="21" s="1"/>
  <c r="AB19" i="21"/>
  <c r="J19" i="21"/>
  <c r="W19" i="21" s="1"/>
  <c r="J26" i="21"/>
  <c r="W26" i="21" s="1"/>
  <c r="F26" i="21"/>
  <c r="S26" i="21" s="1"/>
  <c r="AA41" i="21"/>
  <c r="J45" i="39"/>
  <c r="W45" i="39" s="1"/>
  <c r="J44" i="39"/>
  <c r="F36" i="39"/>
  <c r="S36" i="39" s="1"/>
  <c r="AB36" i="39"/>
  <c r="J35" i="39"/>
  <c r="AC35" i="39" s="1"/>
  <c r="F35" i="39"/>
  <c r="J36" i="39"/>
  <c r="AC36" i="39" s="1"/>
  <c r="U9" i="39"/>
  <c r="W40" i="39"/>
  <c r="U30" i="37"/>
  <c r="E103" i="37"/>
  <c r="F103" i="37" s="1"/>
  <c r="G103" i="37" s="1"/>
  <c r="H103" i="37" s="1"/>
  <c r="I103" i="37" s="1"/>
  <c r="J103" i="37" s="1"/>
  <c r="K103" i="37" s="1"/>
  <c r="L103" i="37" s="1"/>
  <c r="M103" i="37" s="1"/>
  <c r="F39" i="37"/>
  <c r="S39" i="37" s="1"/>
  <c r="F29" i="36"/>
  <c r="AA29" i="36" s="1"/>
  <c r="F16" i="36"/>
  <c r="AA16" i="36" s="1"/>
  <c r="U31" i="36"/>
  <c r="H22" i="35"/>
  <c r="AB22" i="35"/>
  <c r="AC27" i="35"/>
  <c r="W28" i="35"/>
  <c r="U31" i="35"/>
  <c r="S31" i="35"/>
  <c r="F36" i="34"/>
  <c r="S36" i="34" s="1"/>
  <c r="J35" i="34"/>
  <c r="W9" i="34"/>
  <c r="U34" i="34"/>
  <c r="H39" i="33"/>
  <c r="AB39" i="33" s="1"/>
  <c r="F26" i="33"/>
  <c r="AA26" i="33" s="1"/>
  <c r="U33" i="33"/>
  <c r="U35" i="33"/>
  <c r="S40" i="33"/>
  <c r="W33" i="33"/>
  <c r="F11" i="40"/>
  <c r="AA11" i="40" s="1"/>
  <c r="H11" i="40"/>
  <c r="AB11" i="40" s="1"/>
  <c r="W8" i="40"/>
  <c r="AA9" i="40"/>
  <c r="S34" i="40"/>
  <c r="U38" i="40"/>
  <c r="W31" i="40"/>
  <c r="U34" i="40"/>
  <c r="S38" i="40"/>
  <c r="F42" i="39"/>
  <c r="AA42" i="39" s="1"/>
  <c r="F41" i="39"/>
  <c r="S41" i="39" s="1"/>
  <c r="H40" i="39"/>
  <c r="AB40" i="39" s="1"/>
  <c r="H39" i="39"/>
  <c r="U39" i="39" s="1"/>
  <c r="S38" i="39"/>
  <c r="S34" i="39"/>
  <c r="H34" i="39"/>
  <c r="U34"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S40" i="39"/>
  <c r="C15" i="39"/>
  <c r="H32" i="33"/>
  <c r="U32" i="33" s="1"/>
  <c r="AB32" i="33"/>
  <c r="H11" i="21"/>
  <c r="U11" i="21" s="1"/>
  <c r="J11" i="21"/>
  <c r="W11" i="21" s="1"/>
  <c r="H37" i="40"/>
  <c r="U37" i="40"/>
  <c r="H36" i="40"/>
  <c r="AB36" i="40" s="1"/>
  <c r="F35" i="40"/>
  <c r="AA35" i="40"/>
  <c r="H23" i="40"/>
  <c r="AB23" i="40" s="1"/>
  <c r="H17" i="40"/>
  <c r="U17" i="40"/>
  <c r="J15" i="40"/>
  <c r="W15" i="40" s="1"/>
  <c r="J11" i="40"/>
  <c r="AC11" i="40" s="1"/>
  <c r="W11" i="40"/>
  <c r="AB8" i="39"/>
  <c r="W32" i="40"/>
  <c r="F37" i="39"/>
  <c r="AA37" i="39" s="1"/>
  <c r="J34" i="36"/>
  <c r="W34" i="36" s="1"/>
  <c r="J30" i="35"/>
  <c r="W30" i="35" s="1"/>
  <c r="H30" i="35"/>
  <c r="AB30" i="35" s="1"/>
  <c r="F22" i="35"/>
  <c r="AA22" i="35"/>
  <c r="H10" i="35"/>
  <c r="U10" i="35" s="1"/>
  <c r="F33" i="36"/>
  <c r="AA33" i="36" s="1"/>
  <c r="H16" i="36"/>
  <c r="AB16" i="36" s="1"/>
  <c r="F85" i="36"/>
  <c r="G85" i="36" s="1"/>
  <c r="H85" i="36" s="1"/>
  <c r="I85" i="36" s="1"/>
  <c r="J85" i="36" s="1"/>
  <c r="K85" i="36" s="1"/>
  <c r="L85" i="36" s="1"/>
  <c r="M85" i="36" s="1"/>
  <c r="J29" i="36"/>
  <c r="AC29" i="36" s="1"/>
  <c r="F24" i="36"/>
  <c r="AA24" i="36" s="1"/>
  <c r="F34" i="36"/>
  <c r="S34" i="36" s="1"/>
  <c r="F14" i="35"/>
  <c r="AA14" i="35"/>
  <c r="J32" i="35"/>
  <c r="AC32" i="35" s="1"/>
  <c r="J16" i="35"/>
  <c r="AC16" i="35" s="1"/>
  <c r="H16" i="35"/>
  <c r="U16" i="35" s="1"/>
  <c r="F16" i="35"/>
  <c r="S16" i="35"/>
  <c r="H14" i="35"/>
  <c r="AB14" i="35"/>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c r="E114" i="34"/>
  <c r="F114" i="34" s="1"/>
  <c r="G114" i="34" s="1"/>
  <c r="H114" i="34" s="1"/>
  <c r="I114" i="34" s="1"/>
  <c r="J114" i="34" s="1"/>
  <c r="K114" i="34" s="1"/>
  <c r="L114" i="34" s="1"/>
  <c r="M114" i="34" s="1"/>
  <c r="H36" i="34"/>
  <c r="U36" i="34" s="1"/>
  <c r="F37" i="34"/>
  <c r="AA37" i="34" s="1"/>
  <c r="S35" i="34"/>
  <c r="F25" i="34"/>
  <c r="S25" i="34" s="1"/>
  <c r="H23" i="34"/>
  <c r="U23" i="34"/>
  <c r="J23" i="34"/>
  <c r="F19" i="34"/>
  <c r="S19" i="34" s="1"/>
  <c r="H17" i="34"/>
  <c r="F15" i="34"/>
  <c r="AA15" i="34" s="1"/>
  <c r="J15" i="34"/>
  <c r="H15" i="34"/>
  <c r="AB15" i="34" s="1"/>
  <c r="W8" i="34"/>
  <c r="J28" i="34"/>
  <c r="W28" i="34"/>
  <c r="F41" i="33"/>
  <c r="F32" i="33"/>
  <c r="AA32" i="33"/>
  <c r="J19" i="33"/>
  <c r="AC19" i="33"/>
  <c r="J15" i="33"/>
  <c r="AC15" i="33"/>
  <c r="F11" i="33"/>
  <c r="AA11" i="33" s="1"/>
  <c r="S26" i="33"/>
  <c r="W40" i="33"/>
  <c r="F37" i="40"/>
  <c r="AA37" i="40" s="1"/>
  <c r="F36" i="40"/>
  <c r="AA36" i="40"/>
  <c r="H28" i="40"/>
  <c r="U28" i="40"/>
  <c r="F23" i="40"/>
  <c r="AA23" i="40"/>
  <c r="F17" i="40"/>
  <c r="J17" i="40"/>
  <c r="W17" i="40"/>
  <c r="F15" i="40"/>
  <c r="S15" i="40" s="1"/>
  <c r="H15" i="40"/>
  <c r="AB15" i="40"/>
  <c r="F29" i="35"/>
  <c r="S29" i="35" s="1"/>
  <c r="H29" i="35"/>
  <c r="AB29" i="35" s="1"/>
  <c r="H33" i="37"/>
  <c r="F33" i="37"/>
  <c r="AA33" i="37" s="1"/>
  <c r="S34" i="37"/>
  <c r="AA34" i="37"/>
  <c r="J43" i="34"/>
  <c r="AB42" i="34"/>
  <c r="J40" i="34"/>
  <c r="AC40" i="34" s="1"/>
  <c r="H38" i="34"/>
  <c r="AB38" i="34" s="1"/>
  <c r="J36" i="34"/>
  <c r="W36" i="34"/>
  <c r="H37" i="34"/>
  <c r="U37" i="34" s="1"/>
  <c r="H25" i="34"/>
  <c r="AB25" i="34" s="1"/>
  <c r="J25" i="34"/>
  <c r="AC25" i="34"/>
  <c r="AB23" i="34"/>
  <c r="F23" i="34"/>
  <c r="AA23" i="34" s="1"/>
  <c r="J19" i="34"/>
  <c r="AC19" i="34" s="1"/>
  <c r="F17" i="34"/>
  <c r="AA17" i="34" s="1"/>
  <c r="J17" i="34"/>
  <c r="F113" i="33"/>
  <c r="G113" i="33" s="1"/>
  <c r="H113" i="33" s="1"/>
  <c r="I113" i="33" s="1"/>
  <c r="J113" i="33" s="1"/>
  <c r="K113" i="33" s="1"/>
  <c r="L113" i="33" s="1"/>
  <c r="M113" i="33" s="1"/>
  <c r="H37" i="33"/>
  <c r="AB37" i="33" s="1"/>
  <c r="H15" i="33"/>
  <c r="AB15" i="33" s="1"/>
  <c r="H11" i="33"/>
  <c r="AB11" i="33" s="1"/>
  <c r="F28" i="40"/>
  <c r="AA28" i="40" s="1"/>
  <c r="S42" i="34"/>
  <c r="AA38" i="34"/>
  <c r="J37" i="34"/>
  <c r="AC37" i="34" s="1"/>
  <c r="J11" i="33"/>
  <c r="W11" i="33" s="1"/>
  <c r="J42" i="21"/>
  <c r="AC42" i="21" s="1"/>
  <c r="H42" i="21"/>
  <c r="U42" i="21" s="1"/>
  <c r="J44" i="34"/>
  <c r="W44" i="34" s="1"/>
  <c r="F44" i="34"/>
  <c r="AA44" i="34"/>
  <c r="J10" i="35"/>
  <c r="AC10" i="35" s="1"/>
  <c r="J14" i="21"/>
  <c r="W14" i="21" s="1"/>
  <c r="F14" i="21"/>
  <c r="S14" i="21" s="1"/>
  <c r="U14" i="21"/>
  <c r="F28" i="21"/>
  <c r="AA28" i="21" s="1"/>
  <c r="J28" i="21"/>
  <c r="H44" i="21"/>
  <c r="U44" i="21" s="1"/>
  <c r="H46" i="21"/>
  <c r="U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F31" i="21"/>
  <c r="S31" i="21" s="1"/>
  <c r="F45" i="21"/>
  <c r="AA45" i="21" s="1"/>
  <c r="F27" i="33"/>
  <c r="AA27" i="33" s="1"/>
  <c r="J13" i="33"/>
  <c r="H13" i="33"/>
  <c r="U13" i="33" s="1"/>
  <c r="S13" i="33"/>
  <c r="F29" i="33"/>
  <c r="S29" i="33" s="1"/>
  <c r="J31" i="33"/>
  <c r="W31" i="33" s="1"/>
  <c r="H31" i="33"/>
  <c r="F31" i="33"/>
  <c r="U45" i="33"/>
  <c r="J45" i="33"/>
  <c r="W45" i="33" s="1"/>
  <c r="F45" i="33"/>
  <c r="AA45" i="33"/>
  <c r="J14" i="34"/>
  <c r="W14" i="34" s="1"/>
  <c r="H30" i="34"/>
  <c r="F30" i="34"/>
  <c r="S30" i="34" s="1"/>
  <c r="J30" i="34"/>
  <c r="H32" i="34"/>
  <c r="AB32" i="34" s="1"/>
  <c r="J32" i="34"/>
  <c r="W32" i="34" s="1"/>
  <c r="U46" i="34"/>
  <c r="F46" i="34"/>
  <c r="J46" i="34"/>
  <c r="H11" i="35"/>
  <c r="AB11" i="35" s="1"/>
  <c r="J11" i="35"/>
  <c r="F11" i="35"/>
  <c r="S11" i="35" s="1"/>
  <c r="J26" i="36"/>
  <c r="W26" i="36"/>
  <c r="H28" i="36"/>
  <c r="U28" i="36" s="1"/>
  <c r="J32" i="36"/>
  <c r="W32" i="36" s="1"/>
  <c r="H13" i="36"/>
  <c r="AB13" i="36"/>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c r="H40" i="37"/>
  <c r="U40" i="37" s="1"/>
  <c r="J40" i="37"/>
  <c r="F40" i="37"/>
  <c r="AA40" i="37" s="1"/>
  <c r="H14" i="33"/>
  <c r="U14" i="33" s="1"/>
  <c r="F14" i="33"/>
  <c r="S14" i="33"/>
  <c r="J14" i="33"/>
  <c r="H30" i="33"/>
  <c r="AB30" i="33"/>
  <c r="J30" i="33"/>
  <c r="J46" i="33"/>
  <c r="AC46" i="33"/>
  <c r="F46" i="33"/>
  <c r="AA46" i="33" s="1"/>
  <c r="H46" i="33"/>
  <c r="J29" i="34"/>
  <c r="J31" i="34"/>
  <c r="H47" i="34"/>
  <c r="U47" i="34" s="1"/>
  <c r="F47" i="34"/>
  <c r="S47" i="34" s="1"/>
  <c r="J47" i="34"/>
  <c r="AC47" i="34" s="1"/>
  <c r="F13" i="35"/>
  <c r="AC13" i="35"/>
  <c r="H13" i="35"/>
  <c r="U13" i="35" s="1"/>
  <c r="J25" i="35"/>
  <c r="W25" i="35"/>
  <c r="F25" i="35"/>
  <c r="S25" i="35" s="1"/>
  <c r="H25" i="35"/>
  <c r="AB25" i="35"/>
  <c r="F35" i="35"/>
  <c r="AA35" i="35" s="1"/>
  <c r="J25" i="36"/>
  <c r="W25" i="36"/>
  <c r="H25" i="36"/>
  <c r="AB25" i="36" s="1"/>
  <c r="H13" i="37"/>
  <c r="AB13" i="37" s="1"/>
  <c r="F13" i="37"/>
  <c r="S13" i="37"/>
  <c r="J13" i="37"/>
  <c r="W13" i="37" s="1"/>
  <c r="F28" i="37"/>
  <c r="AA28" i="37" s="1"/>
  <c r="J38" i="37"/>
  <c r="AC38" i="37" s="1"/>
  <c r="F14" i="39"/>
  <c r="S14" i="39" s="1"/>
  <c r="H14" i="39"/>
  <c r="AB14" i="39" s="1"/>
  <c r="F12" i="40"/>
  <c r="S12" i="40"/>
  <c r="AB12" i="40"/>
  <c r="H30" i="40"/>
  <c r="AB30" i="40"/>
  <c r="F33" i="40"/>
  <c r="AA33" i="40"/>
  <c r="H33" i="40"/>
  <c r="U33" i="40"/>
  <c r="J35" i="40"/>
  <c r="AC35" i="40"/>
  <c r="J37" i="40"/>
  <c r="AC37" i="40"/>
  <c r="H13" i="40"/>
  <c r="U13" i="40"/>
  <c r="J13" i="40"/>
  <c r="W13" i="40"/>
  <c r="F13" i="40"/>
  <c r="AA13" i="40"/>
  <c r="F27" i="37"/>
  <c r="AA27" i="37"/>
  <c r="F13" i="39"/>
  <c r="AA13" i="39" s="1"/>
  <c r="J13" i="39"/>
  <c r="W13" i="39" s="1"/>
  <c r="J27" i="37"/>
  <c r="AC27" i="37" s="1"/>
  <c r="AA14" i="33"/>
  <c r="J36" i="37"/>
  <c r="AC36" i="37" s="1"/>
  <c r="J10" i="36"/>
  <c r="AC10" i="36" s="1"/>
  <c r="AB26" i="33"/>
  <c r="AB46" i="34"/>
  <c r="S45" i="33"/>
  <c r="AB45" i="33"/>
  <c r="S44" i="34"/>
  <c r="F17" i="21"/>
  <c r="AA17" i="21" s="1"/>
  <c r="H17" i="21"/>
  <c r="AB17" i="21" s="1"/>
  <c r="F15" i="21"/>
  <c r="S15" i="21" s="1"/>
  <c r="J41" i="39"/>
  <c r="W41" i="39" s="1"/>
  <c r="U36" i="39"/>
  <c r="G532" i="3"/>
  <c r="G523" i="3"/>
  <c r="G518" i="3"/>
  <c r="G510" i="3"/>
  <c r="G584" i="3"/>
  <c r="G580" i="3"/>
  <c r="G572" i="3"/>
  <c r="G568" i="3"/>
  <c r="G550" i="3"/>
  <c r="BL534" i="3"/>
  <c r="G533" i="3"/>
  <c r="BL528" i="3"/>
  <c r="G525" i="3"/>
  <c r="BA560" i="3"/>
  <c r="BA534" i="3"/>
  <c r="AZ534" i="3" s="1"/>
  <c r="BA500" i="3"/>
  <c r="BA549" i="3"/>
  <c r="BA505" i="3"/>
  <c r="G583" i="3"/>
  <c r="G581" i="3"/>
  <c r="G579" i="3"/>
  <c r="G575" i="3"/>
  <c r="G573" i="3"/>
  <c r="G567" i="3"/>
  <c r="AC557" i="3"/>
  <c r="G557" i="3" s="1"/>
  <c r="BQ557" i="3"/>
  <c r="BQ583" i="3"/>
  <c r="BQ581" i="3"/>
  <c r="BQ579" i="3"/>
  <c r="BQ577" i="3"/>
  <c r="BQ575" i="3"/>
  <c r="BL575" i="3" s="1"/>
  <c r="BQ573" i="3"/>
  <c r="BQ571" i="3"/>
  <c r="BQ569" i="3"/>
  <c r="BQ567" i="3"/>
  <c r="BL567" i="3"/>
  <c r="BQ565" i="3"/>
  <c r="BQ563" i="3"/>
  <c r="BQ561" i="3"/>
  <c r="BQ559" i="3"/>
  <c r="G559" i="3"/>
  <c r="G555" i="3"/>
  <c r="G543" i="3"/>
  <c r="G541" i="3"/>
  <c r="G539" i="3"/>
  <c r="BQ555" i="3"/>
  <c r="BQ553" i="3"/>
  <c r="BQ551" i="3"/>
  <c r="BQ549" i="3"/>
  <c r="BQ547" i="3"/>
  <c r="BQ545" i="3"/>
  <c r="BQ543" i="3"/>
  <c r="BQ541" i="3"/>
  <c r="BL541" i="3"/>
  <c r="BQ539" i="3"/>
  <c r="BQ537" i="3"/>
  <c r="BQ535" i="3"/>
  <c r="BQ533" i="3"/>
  <c r="BQ531" i="3"/>
  <c r="BQ529" i="3"/>
  <c r="BQ527" i="3"/>
  <c r="BQ525" i="3"/>
  <c r="BQ523" i="3"/>
  <c r="AC521" i="3"/>
  <c r="BQ521" i="3"/>
  <c r="G519" i="3"/>
  <c r="G513" i="3"/>
  <c r="G511" i="3"/>
  <c r="BQ519" i="3"/>
  <c r="BQ517" i="3"/>
  <c r="BQ515" i="3"/>
  <c r="BQ513" i="3"/>
  <c r="BQ511" i="3"/>
  <c r="AC509" i="3"/>
  <c r="BQ509" i="3"/>
  <c r="BL509" i="3"/>
  <c r="G505" i="3"/>
  <c r="G501" i="3"/>
  <c r="G499" i="3"/>
  <c r="G497" i="3"/>
  <c r="BQ507" i="3"/>
  <c r="BQ505" i="3"/>
  <c r="BQ503" i="3"/>
  <c r="BQ501" i="3"/>
  <c r="BQ499" i="3"/>
  <c r="BQ497" i="3"/>
  <c r="BQ495" i="3"/>
  <c r="BQ493"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H24" i="35"/>
  <c r="AB24" i="35"/>
  <c r="H23" i="37"/>
  <c r="AB23" i="37"/>
  <c r="J32" i="37"/>
  <c r="AC32" i="37" s="1"/>
  <c r="F36" i="37"/>
  <c r="AA36" i="37"/>
  <c r="F37" i="37"/>
  <c r="AA37" i="37" s="1"/>
  <c r="H31" i="40"/>
  <c r="U31" i="40" s="1"/>
  <c r="F32" i="40"/>
  <c r="S32" i="40"/>
  <c r="H32" i="40"/>
  <c r="AB32" i="40"/>
  <c r="J36" i="40"/>
  <c r="W36" i="40"/>
  <c r="H19" i="37"/>
  <c r="AB19" i="37" s="1"/>
  <c r="H42" i="33"/>
  <c r="AB42" i="33" s="1"/>
  <c r="J43" i="33"/>
  <c r="AC43" i="33"/>
  <c r="AC36" i="34"/>
  <c r="AA13" i="33"/>
  <c r="AC31" i="33"/>
  <c r="U11" i="33"/>
  <c r="U19"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AA25" i="21"/>
  <c r="H19" i="40"/>
  <c r="U19" i="40" s="1"/>
  <c r="F88" i="40"/>
  <c r="G88" i="40" s="1"/>
  <c r="F19" i="40"/>
  <c r="S19" i="40" s="1"/>
  <c r="AC13" i="40"/>
  <c r="AB33" i="40"/>
  <c r="W23" i="39"/>
  <c r="H37" i="39"/>
  <c r="AB37" i="39" s="1"/>
  <c r="AC37" i="39"/>
  <c r="W37" i="39"/>
  <c r="H25" i="39"/>
  <c r="U25" i="39" s="1"/>
  <c r="J25" i="39"/>
  <c r="W25" i="39" s="1"/>
  <c r="F25" i="39"/>
  <c r="AA25" i="39" s="1"/>
  <c r="F15" i="39"/>
  <c r="AA15" i="39" s="1"/>
  <c r="H15" i="39"/>
  <c r="U15" i="39" s="1"/>
  <c r="J15" i="39"/>
  <c r="W15" i="39" s="1"/>
  <c r="H41" i="39"/>
  <c r="AB41" i="39" s="1"/>
  <c r="W27" i="39"/>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G546" i="3"/>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AZ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AZ160" i="3" s="1"/>
  <c r="G161" i="3"/>
  <c r="BA163" i="3"/>
  <c r="AZ163" i="3"/>
  <c r="BL164" i="3"/>
  <c r="G165" i="3"/>
  <c r="BA167" i="3"/>
  <c r="BL168" i="3"/>
  <c r="AZ168" i="3" s="1"/>
  <c r="G169" i="3"/>
  <c r="BA171" i="3"/>
  <c r="BL172" i="3"/>
  <c r="G173" i="3"/>
  <c r="BA175" i="3"/>
  <c r="BL176" i="3"/>
  <c r="G177" i="3"/>
  <c r="BA179" i="3"/>
  <c r="BL180" i="3"/>
  <c r="G181" i="3"/>
  <c r="BA183" i="3"/>
  <c r="AZ183" i="3" s="1"/>
  <c r="BL184" i="3"/>
  <c r="G185" i="3"/>
  <c r="BA187" i="3"/>
  <c r="BL188" i="3"/>
  <c r="AZ188" i="3" s="1"/>
  <c r="G189" i="3"/>
  <c r="BA191" i="3"/>
  <c r="BL192" i="3"/>
  <c r="AZ192" i="3" s="1"/>
  <c r="G193" i="3"/>
  <c r="BA195" i="3"/>
  <c r="AZ195" i="3"/>
  <c r="BL196" i="3"/>
  <c r="G197" i="3"/>
  <c r="BA199" i="3"/>
  <c r="AZ199" i="3" s="1"/>
  <c r="BL200" i="3"/>
  <c r="G201" i="3"/>
  <c r="BA203" i="3"/>
  <c r="BL204" i="3"/>
  <c r="AZ67" i="3"/>
  <c r="AZ79" i="3"/>
  <c r="G534" i="3"/>
  <c r="G530" i="3"/>
  <c r="G516" i="3"/>
  <c r="G512" i="3"/>
  <c r="G506" i="3"/>
  <c r="G16" i="3"/>
  <c r="G15" i="3"/>
  <c r="BA304" i="3"/>
  <c r="BA305" i="3"/>
  <c r="AZ305" i="3" s="1"/>
  <c r="BL305" i="3"/>
  <c r="G306" i="3"/>
  <c r="G309" i="3"/>
  <c r="BL310" i="3"/>
  <c r="BA312" i="3"/>
  <c r="BA313" i="3"/>
  <c r="AZ313" i="3" s="1"/>
  <c r="BL313" i="3"/>
  <c r="G314" i="3"/>
  <c r="G317" i="3"/>
  <c r="BL318" i="3"/>
  <c r="BA320" i="3"/>
  <c r="BA321" i="3"/>
  <c r="BL321" i="3"/>
  <c r="G322" i="3"/>
  <c r="G325" i="3"/>
  <c r="BL326" i="3"/>
  <c r="AZ326" i="3" s="1"/>
  <c r="BA328" i="3"/>
  <c r="BA329" i="3"/>
  <c r="AZ329" i="3" s="1"/>
  <c r="BL329" i="3"/>
  <c r="G330" i="3"/>
  <c r="G333" i="3"/>
  <c r="BL334" i="3"/>
  <c r="BA336" i="3"/>
  <c r="AZ336" i="3" s="1"/>
  <c r="BA337" i="3"/>
  <c r="AZ337" i="3" s="1"/>
  <c r="BL337" i="3"/>
  <c r="G338" i="3"/>
  <c r="G341" i="3"/>
  <c r="BA342" i="3"/>
  <c r="BL342" i="3"/>
  <c r="BA344" i="3"/>
  <c r="BL344" i="3"/>
  <c r="AZ344" i="3"/>
  <c r="BA346" i="3"/>
  <c r="BA347" i="3"/>
  <c r="BL347" i="3"/>
  <c r="AZ347" i="3" s="1"/>
  <c r="G350" i="3"/>
  <c r="BA351" i="3"/>
  <c r="BL351" i="3"/>
  <c r="AZ351" i="3" s="1"/>
  <c r="G352" i="3"/>
  <c r="G354" i="3"/>
  <c r="BA355" i="3"/>
  <c r="AZ355" i="3" s="1"/>
  <c r="BA356" i="3"/>
  <c r="AZ356" i="3" s="1"/>
  <c r="BL356" i="3"/>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BA390" i="3"/>
  <c r="BL390" i="3"/>
  <c r="AZ390" i="3" s="1"/>
  <c r="G391" i="3"/>
  <c r="G394" i="3"/>
  <c r="AZ162" i="3"/>
  <c r="BA16" i="3"/>
  <c r="BL303" i="3"/>
  <c r="G304" i="3"/>
  <c r="BA306" i="3"/>
  <c r="BL307" i="3"/>
  <c r="G308" i="3"/>
  <c r="BA310" i="3"/>
  <c r="AZ310" i="3" s="1"/>
  <c r="BL311" i="3"/>
  <c r="AZ311" i="3" s="1"/>
  <c r="G312" i="3"/>
  <c r="BA314" i="3"/>
  <c r="BL315" i="3"/>
  <c r="G316" i="3"/>
  <c r="BA318" i="3"/>
  <c r="BL319" i="3"/>
  <c r="AZ319" i="3" s="1"/>
  <c r="G320" i="3"/>
  <c r="BA322" i="3"/>
  <c r="BL323" i="3"/>
  <c r="G324" i="3"/>
  <c r="BA326" i="3"/>
  <c r="BL327" i="3"/>
  <c r="AZ327" i="3"/>
  <c r="G328" i="3"/>
  <c r="BA330" i="3"/>
  <c r="BL331" i="3"/>
  <c r="G332" i="3"/>
  <c r="BA334" i="3"/>
  <c r="AZ334" i="3" s="1"/>
  <c r="BL335" i="3"/>
  <c r="G336" i="3"/>
  <c r="BA338" i="3"/>
  <c r="BL339" i="3"/>
  <c r="G340" i="3"/>
  <c r="BL343" i="3"/>
  <c r="G344" i="3"/>
  <c r="G348" i="3"/>
  <c r="G355" i="3"/>
  <c r="AZ222" i="3"/>
  <c r="G342" i="3"/>
  <c r="BL345" i="3"/>
  <c r="G346" i="3"/>
  <c r="BL349" i="3"/>
  <c r="BL352" i="3"/>
  <c r="G353" i="3"/>
  <c r="BA357" i="3"/>
  <c r="BL358" i="3"/>
  <c r="G359" i="3"/>
  <c r="BA361" i="3"/>
  <c r="AZ361" i="3" s="1"/>
  <c r="BL362" i="3"/>
  <c r="AZ362" i="3" s="1"/>
  <c r="G363" i="3"/>
  <c r="BA365" i="3"/>
  <c r="BL366" i="3"/>
  <c r="G367" i="3"/>
  <c r="BA369" i="3"/>
  <c r="AZ369" i="3" s="1"/>
  <c r="BL370" i="3"/>
  <c r="G371" i="3"/>
  <c r="BA373" i="3"/>
  <c r="AZ373" i="3" s="1"/>
  <c r="BL374" i="3"/>
  <c r="G375" i="3"/>
  <c r="BA377" i="3"/>
  <c r="BA379" i="3"/>
  <c r="AZ379" i="3" s="1"/>
  <c r="BL380" i="3"/>
  <c r="G381" i="3"/>
  <c r="BA383" i="3"/>
  <c r="BL384" i="3"/>
  <c r="AZ384" i="3" s="1"/>
  <c r="G385" i="3"/>
  <c r="BA387" i="3"/>
  <c r="BL388" i="3"/>
  <c r="G389" i="3"/>
  <c r="BA391" i="3"/>
  <c r="BL392" i="3"/>
  <c r="G393" i="3"/>
  <c r="AC5" i="3"/>
  <c r="G548" i="3"/>
  <c r="G538" i="3"/>
  <c r="G520" i="3"/>
  <c r="G502" i="3"/>
  <c r="BN5" i="3"/>
  <c r="G17" i="3"/>
  <c r="BA17" i="3"/>
  <c r="AZ17" i="3" s="1"/>
  <c r="BA15" i="3"/>
  <c r="AZ15" i="3" s="1"/>
  <c r="AZ380" i="3"/>
  <c r="G509" i="3"/>
  <c r="U36" i="40"/>
  <c r="F83" i="43"/>
  <c r="H85" i="43" s="1"/>
  <c r="F50" i="43"/>
  <c r="H54" i="43" s="1"/>
  <c r="F72" i="43"/>
  <c r="H75" i="43" s="1"/>
  <c r="U17" i="39"/>
  <c r="S14" i="35"/>
  <c r="U43" i="21"/>
  <c r="U35" i="21"/>
  <c r="AC35" i="21"/>
  <c r="AC11" i="39"/>
  <c r="W37" i="37"/>
  <c r="AC44" i="34"/>
  <c r="S15" i="37"/>
  <c r="U13" i="37"/>
  <c r="U12" i="40"/>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H32" i="37"/>
  <c r="AB32" i="37" s="1"/>
  <c r="F96" i="37"/>
  <c r="G96" i="37" s="1"/>
  <c r="H96" i="37" s="1"/>
  <c r="I96" i="37" s="1"/>
  <c r="J96" i="37" s="1"/>
  <c r="K96" i="37" s="1"/>
  <c r="L96" i="37" s="1"/>
  <c r="M96" i="37" s="1"/>
  <c r="H27" i="40"/>
  <c r="U27" i="40" s="1"/>
  <c r="J27" i="40"/>
  <c r="AC27" i="40"/>
  <c r="F27" i="40"/>
  <c r="J30" i="40"/>
  <c r="AC30" i="40" s="1"/>
  <c r="F30" i="40"/>
  <c r="S30" i="40" s="1"/>
  <c r="AA30" i="40"/>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c r="H27" i="36"/>
  <c r="U27" i="36" s="1"/>
  <c r="F27" i="36"/>
  <c r="AA27" i="36" s="1"/>
  <c r="H33" i="34"/>
  <c r="U33" i="34" s="1"/>
  <c r="F32" i="37"/>
  <c r="S32" i="37" s="1"/>
  <c r="AA32" i="37"/>
  <c r="F20" i="36"/>
  <c r="AA20" i="36" s="1"/>
  <c r="J33" i="34"/>
  <c r="AC33" i="34" s="1"/>
  <c r="H23" i="39"/>
  <c r="U23" i="39" s="1"/>
  <c r="D48" i="9"/>
  <c r="M52" i="9" s="1"/>
  <c r="K9" i="1"/>
  <c r="M9" i="1" s="1"/>
  <c r="D93" i="9"/>
  <c r="K6" i="1"/>
  <c r="AP6" i="1" s="1"/>
  <c r="AC26" i="33"/>
  <c r="W26" i="33"/>
  <c r="W27" i="34"/>
  <c r="AC27" i="34"/>
  <c r="AB34" i="36"/>
  <c r="U34" i="36"/>
  <c r="AB33" i="36"/>
  <c r="U33" i="36"/>
  <c r="AC12" i="39"/>
  <c r="W12" i="39"/>
  <c r="W12" i="33"/>
  <c r="AC12" i="33"/>
  <c r="BL14" i="3"/>
  <c r="U30" i="33"/>
  <c r="AA47" i="34"/>
  <c r="S19" i="39"/>
  <c r="F12" i="33"/>
  <c r="S12" i="33" s="1"/>
  <c r="H12" i="39"/>
  <c r="U12" i="39" s="1"/>
  <c r="F39" i="40"/>
  <c r="S39" i="40" s="1"/>
  <c r="BA14" i="3"/>
  <c r="AZ367" i="3"/>
  <c r="AZ224" i="3"/>
  <c r="B12" i="1"/>
  <c r="E12" i="1" s="1"/>
  <c r="B10" i="1"/>
  <c r="E10" i="1" s="1"/>
  <c r="K12" i="1"/>
  <c r="M12" i="1" s="1"/>
  <c r="S13" i="1"/>
  <c r="AR13" i="1" s="1"/>
  <c r="R13" i="1"/>
  <c r="C42" i="1"/>
  <c r="C24" i="12" s="1"/>
  <c r="AC34" i="33"/>
  <c r="B41" i="1"/>
  <c r="F48" i="9" s="1"/>
  <c r="O52" i="9" s="1"/>
  <c r="AB37" i="40"/>
  <c r="S35" i="40"/>
  <c r="U35" i="40"/>
  <c r="AC36" i="40"/>
  <c r="W38" i="40"/>
  <c r="AA32" i="40"/>
  <c r="S23" i="40"/>
  <c r="AC17" i="40"/>
  <c r="AC15" i="40"/>
  <c r="AB27" i="40"/>
  <c r="AA19" i="40"/>
  <c r="S28" i="40"/>
  <c r="U21" i="40"/>
  <c r="AB19" i="40"/>
  <c r="U37" i="39"/>
  <c r="S37" i="39"/>
  <c r="U35" i="39"/>
  <c r="F32" i="39"/>
  <c r="S32" i="39" s="1"/>
  <c r="F106" i="39"/>
  <c r="G106" i="39" s="1"/>
  <c r="H106" i="39" s="1"/>
  <c r="I106" i="39" s="1"/>
  <c r="J106" i="39" s="1"/>
  <c r="K106" i="39" s="1"/>
  <c r="L106" i="39" s="1"/>
  <c r="M106" i="39" s="1"/>
  <c r="AB27" i="39"/>
  <c r="U31" i="39"/>
  <c r="J21" i="39"/>
  <c r="W21" i="39" s="1"/>
  <c r="F21" i="39"/>
  <c r="AA21" i="39" s="1"/>
  <c r="G94" i="39"/>
  <c r="H21" i="39"/>
  <c r="AB21" i="39" s="1"/>
  <c r="W19" i="39"/>
  <c r="U19" i="39"/>
  <c r="S17" i="39"/>
  <c r="S15" i="39"/>
  <c r="AA12" i="39"/>
  <c r="S9" i="39"/>
  <c r="U14" i="39"/>
  <c r="AC13" i="39"/>
  <c r="U13" i="36"/>
  <c r="U26" i="36"/>
  <c r="S33" i="36"/>
  <c r="AA26" i="36"/>
  <c r="AA34" i="36"/>
  <c r="AC26" i="36"/>
  <c r="AA22" i="36"/>
  <c r="W14" i="36"/>
  <c r="AB14" i="36"/>
  <c r="U22" i="36"/>
  <c r="AA25" i="36"/>
  <c r="S24" i="36"/>
  <c r="AB20" i="36"/>
  <c r="U16" i="36"/>
  <c r="S14" i="36"/>
  <c r="AA25"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AC29" i="37"/>
  <c r="U29" i="37"/>
  <c r="AB31" i="37"/>
  <c r="W30" i="37"/>
  <c r="S36" i="37"/>
  <c r="U32" i="37"/>
  <c r="W38" i="37"/>
  <c r="AC35" i="37"/>
  <c r="S30" i="37"/>
  <c r="S37" i="37"/>
  <c r="J17" i="37"/>
  <c r="AC17" i="37" s="1"/>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25" i="34"/>
  <c r="U28" i="34"/>
  <c r="S17" i="34"/>
  <c r="U27" i="34"/>
  <c r="S23" i="34"/>
  <c r="U15" i="34"/>
  <c r="H10" i="34"/>
  <c r="AB10" i="34" s="1"/>
  <c r="F11" i="34"/>
  <c r="S11" i="34" s="1"/>
  <c r="F70" i="34"/>
  <c r="W42" i="33"/>
  <c r="AA35" i="33"/>
  <c r="S27" i="33"/>
  <c r="S32"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S46" i="33"/>
  <c r="W43" i="33"/>
  <c r="H27" i="33"/>
  <c r="AB27" i="33" s="1"/>
  <c r="F87" i="33"/>
  <c r="G87" i="33" s="1"/>
  <c r="H87" i="33" s="1"/>
  <c r="I87" i="33" s="1"/>
  <c r="J87" i="33" s="1"/>
  <c r="K87" i="33" s="1"/>
  <c r="L87" i="33" s="1"/>
  <c r="M87" i="33" s="1"/>
  <c r="H25" i="33"/>
  <c r="U25" i="33" s="1"/>
  <c r="F25" i="33"/>
  <c r="J23" i="33"/>
  <c r="AC23" i="33" s="1"/>
  <c r="H23" i="33"/>
  <c r="F81" i="33"/>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c r="F77" i="21"/>
  <c r="G77" i="21"/>
  <c r="F23" i="21"/>
  <c r="S23" i="21" s="1"/>
  <c r="E85" i="21"/>
  <c r="F85" i="21" s="1"/>
  <c r="G85" i="21" s="1"/>
  <c r="AA14" i="21"/>
  <c r="D120" i="9"/>
  <c r="D121" i="9" s="1"/>
  <c r="D7" i="52" s="1"/>
  <c r="F34" i="67"/>
  <c r="F62" i="67" s="1"/>
  <c r="M20" i="67"/>
  <c r="F34" i="15"/>
  <c r="F62" i="15" s="1"/>
  <c r="BA13" i="3"/>
  <c r="BL17" i="3"/>
  <c r="BL13" i="3"/>
  <c r="J56" i="9"/>
  <c r="J57" i="9" s="1"/>
  <c r="J59" i="9" s="1"/>
  <c r="J61" i="9" s="1"/>
  <c r="A24" i="51"/>
  <c r="B18" i="72"/>
  <c r="E5" i="6"/>
  <c r="E32" i="6"/>
  <c r="G1" i="68"/>
  <c r="K1" i="12"/>
  <c r="E19" i="69"/>
  <c r="E19" i="68"/>
  <c r="E19" i="11"/>
  <c r="G22" i="69"/>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S13" i="40"/>
  <c r="S33" i="40"/>
  <c r="AA15" i="40"/>
  <c r="U11" i="40"/>
  <c r="S31" i="40"/>
  <c r="AB13" i="40"/>
  <c r="U15" i="40"/>
  <c r="AB17" i="40"/>
  <c r="U8" i="40"/>
  <c r="S8" i="40"/>
  <c r="AA39" i="39"/>
  <c r="AC41" i="39"/>
  <c r="U42" i="39"/>
  <c r="U41" i="39"/>
  <c r="AC25" i="39"/>
  <c r="U13" i="39"/>
  <c r="AB13" i="39"/>
  <c r="AA14" i="39"/>
  <c r="AB11" i="39"/>
  <c r="U11" i="39"/>
  <c r="AA27" i="39"/>
  <c r="S27" i="39"/>
  <c r="W17" i="39"/>
  <c r="AC17" i="39"/>
  <c r="W31" i="39"/>
  <c r="AC31" i="39"/>
  <c r="S23" i="39"/>
  <c r="AB39" i="39"/>
  <c r="W34" i="39"/>
  <c r="U38" i="39"/>
  <c r="S8" i="39"/>
  <c r="AC25" i="36"/>
  <c r="W29" i="36"/>
  <c r="AC20" i="36"/>
  <c r="AB28" i="36"/>
  <c r="AA13" i="36"/>
  <c r="W9" i="36"/>
  <c r="W22" i="36"/>
  <c r="W23" i="36"/>
  <c r="AB20" i="35"/>
  <c r="AC25" i="35"/>
  <c r="U25" i="35"/>
  <c r="U24" i="35"/>
  <c r="S35" i="35"/>
  <c r="AA16" i="35"/>
  <c r="AA35" i="37"/>
  <c r="W36" i="37"/>
  <c r="S27" i="37"/>
  <c r="S28" i="37"/>
  <c r="W32" i="37"/>
  <c r="U36" i="37"/>
  <c r="S40" i="37"/>
  <c r="AB37" i="37"/>
  <c r="AC34" i="37"/>
  <c r="AB35" i="37"/>
  <c r="U19" i="37"/>
  <c r="AA29" i="37"/>
  <c r="U8" i="37"/>
  <c r="AB40" i="34"/>
  <c r="W19" i="34"/>
  <c r="AA30" i="34"/>
  <c r="AB47" i="34"/>
  <c r="AB36" i="34"/>
  <c r="W33" i="34"/>
  <c r="AC14" i="34"/>
  <c r="AC32" i="34"/>
  <c r="AC29" i="34"/>
  <c r="W29" i="34"/>
  <c r="W46" i="34"/>
  <c r="AC46" i="34"/>
  <c r="S32" i="34"/>
  <c r="AA32" i="34"/>
  <c r="U30" i="34"/>
  <c r="AB30" i="34"/>
  <c r="U38" i="34"/>
  <c r="W40" i="34"/>
  <c r="AA19" i="34"/>
  <c r="AA36" i="34"/>
  <c r="AB9" i="34"/>
  <c r="U9" i="34"/>
  <c r="S46" i="34"/>
  <c r="AA46" i="34"/>
  <c r="U32" i="34"/>
  <c r="AC43" i="34"/>
  <c r="W43" i="34"/>
  <c r="W23" i="34"/>
  <c r="AC23" i="34"/>
  <c r="AC35" i="34"/>
  <c r="W35" i="34"/>
  <c r="U12" i="34"/>
  <c r="W46" i="33"/>
  <c r="U39" i="33"/>
  <c r="U38" i="33"/>
  <c r="S33" i="33"/>
  <c r="AB3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B14" i="21"/>
  <c r="U40" i="21"/>
  <c r="AB31" i="21"/>
  <c r="U31" i="21"/>
  <c r="AC15" i="21"/>
  <c r="U13" i="21"/>
  <c r="AB13" i="21"/>
  <c r="S35" i="21"/>
  <c r="J37" i="21"/>
  <c r="W37" i="21" s="1"/>
  <c r="H15" i="21"/>
  <c r="U15" i="21"/>
  <c r="J17" i="21"/>
  <c r="AC17" i="21"/>
  <c r="AC19" i="21"/>
  <c r="W39" i="21"/>
  <c r="AC14" i="21"/>
  <c r="H45" i="21"/>
  <c r="U45" i="21" s="1"/>
  <c r="F29" i="21"/>
  <c r="AA29" i="21" s="1"/>
  <c r="F13" i="21"/>
  <c r="AA13" i="21" s="1"/>
  <c r="AC38" i="21"/>
  <c r="H32" i="21"/>
  <c r="U32" i="21" s="1"/>
  <c r="H9" i="21"/>
  <c r="U9" i="21" s="1"/>
  <c r="J9" i="21"/>
  <c r="J32" i="21"/>
  <c r="W32" i="21" s="1"/>
  <c r="F32" i="21"/>
  <c r="AA32" i="21" s="1"/>
  <c r="AA31" i="21"/>
  <c r="U17" i="21"/>
  <c r="W29" i="21"/>
  <c r="S19" i="21"/>
  <c r="S9" i="21"/>
  <c r="AA9" i="21"/>
  <c r="K141" i="21"/>
  <c r="K144" i="21"/>
  <c r="K143" i="21"/>
  <c r="U27" i="21"/>
  <c r="AB44" i="21"/>
  <c r="W13" i="21"/>
  <c r="W42" i="21"/>
  <c r="AC45" i="21"/>
  <c r="F10" i="21"/>
  <c r="AA10" i="21" s="1"/>
  <c r="K145" i="21"/>
  <c r="W17"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AA12" i="33"/>
  <c r="D68" i="9"/>
  <c r="F54" i="9"/>
  <c r="J32" i="39"/>
  <c r="AC32" i="39" s="1"/>
  <c r="H32" i="39"/>
  <c r="AB32" i="39" s="1"/>
  <c r="AA32" i="39"/>
  <c r="S17" i="37"/>
  <c r="J19" i="37"/>
  <c r="W19" i="37" s="1"/>
  <c r="AA19" i="37"/>
  <c r="J23" i="37"/>
  <c r="G79" i="37"/>
  <c r="J10" i="37"/>
  <c r="W10" i="37" s="1"/>
  <c r="G63" i="37"/>
  <c r="H63" i="37" s="1"/>
  <c r="I63" i="37" s="1"/>
  <c r="H11" i="37"/>
  <c r="AB11" i="37" s="1"/>
  <c r="G70" i="34"/>
  <c r="H11" i="34"/>
  <c r="U11" i="34" s="1"/>
  <c r="J10" i="34"/>
  <c r="AC10" i="34" s="1"/>
  <c r="AB41" i="33"/>
  <c r="U41" i="33"/>
  <c r="W35" i="33"/>
  <c r="J36" i="33"/>
  <c r="W36" i="33" s="1"/>
  <c r="H36" i="33"/>
  <c r="U36" i="33" s="1"/>
  <c r="AC32" i="33"/>
  <c r="W32" i="33"/>
  <c r="U27" i="33"/>
  <c r="J27" i="33"/>
  <c r="S25" i="33"/>
  <c r="AA25" i="33"/>
  <c r="J25" i="33"/>
  <c r="AC25" i="33" s="1"/>
  <c r="AB23" i="33"/>
  <c r="U23" i="33"/>
  <c r="F23" i="33"/>
  <c r="H19" i="33"/>
  <c r="AB19" i="33" s="1"/>
  <c r="G81" i="33"/>
  <c r="H17" i="33"/>
  <c r="U17" i="33" s="1"/>
  <c r="F17" i="33"/>
  <c r="S17" i="33" s="1"/>
  <c r="S37" i="21"/>
  <c r="AB15" i="21"/>
  <c r="J23" i="21"/>
  <c r="AC23" i="21" s="1"/>
  <c r="H23" i="21"/>
  <c r="S13" i="21"/>
  <c r="D6" i="52"/>
  <c r="AP7" i="1"/>
  <c r="W9" i="21"/>
  <c r="AC9" i="21"/>
  <c r="AB32" i="21"/>
  <c r="A18" i="62"/>
  <c r="B64" i="72" s="1"/>
  <c r="U32" i="39"/>
  <c r="W23" i="37"/>
  <c r="AC23" i="37"/>
  <c r="J63" i="37"/>
  <c r="K63" i="37" s="1"/>
  <c r="L63" i="37" s="1"/>
  <c r="M63" i="37" s="1"/>
  <c r="J11" i="37"/>
  <c r="AC11" i="37" s="1"/>
  <c r="H70" i="34"/>
  <c r="I70" i="34" s="1"/>
  <c r="J70" i="34" s="1"/>
  <c r="K70" i="34"/>
  <c r="L70" i="34" s="1"/>
  <c r="M70" i="34" s="1"/>
  <c r="J11" i="34"/>
  <c r="W11" i="34" s="1"/>
  <c r="AB36" i="33"/>
  <c r="W27" i="33"/>
  <c r="AC27" i="33"/>
  <c r="W25" i="33"/>
  <c r="U19" i="33"/>
  <c r="U23" i="21"/>
  <c r="AB23" i="21"/>
  <c r="W23" i="21"/>
  <c r="H109" i="9"/>
  <c r="M49" i="9" s="1"/>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2" i="15"/>
  <c r="F4" i="73"/>
  <c r="F3" i="73"/>
  <c r="M8" i="15"/>
  <c r="L48" i="15"/>
  <c r="E2" i="69"/>
  <c r="M28" i="67"/>
  <c r="F9" i="15"/>
  <c r="B10" i="76"/>
  <c r="F42" i="15"/>
  <c r="M24" i="15"/>
  <c r="E7" i="76"/>
  <c r="D34" i="9"/>
  <c r="F26" i="15"/>
  <c r="M28" i="15"/>
  <c r="F40" i="67"/>
  <c r="M29" i="15"/>
  <c r="F43" i="15"/>
  <c r="M23" i="15"/>
  <c r="M9" i="15"/>
  <c r="F40" i="15"/>
  <c r="F37" i="15"/>
  <c r="F20" i="31"/>
  <c r="F16" i="67"/>
  <c r="D35" i="9"/>
  <c r="M6" i="15"/>
  <c r="F13" i="15"/>
  <c r="M24" i="67"/>
  <c r="M8" i="67"/>
  <c r="B9" i="76"/>
  <c r="F7" i="73"/>
  <c r="M26" i="15"/>
  <c r="F26" i="67"/>
  <c r="J15" i="15"/>
  <c r="B7" i="76"/>
  <c r="E9" i="76"/>
  <c r="E2" i="68"/>
  <c r="E10" i="76"/>
  <c r="F7" i="15"/>
  <c r="C76" i="15"/>
  <c r="B13" i="76"/>
  <c r="AO13" i="1"/>
  <c r="D6" i="73"/>
  <c r="F36" i="15"/>
  <c r="L48" i="67"/>
  <c r="F5" i="73"/>
  <c r="E12" i="76"/>
  <c r="F16" i="15"/>
  <c r="M23" i="67"/>
  <c r="F38" i="15"/>
  <c r="F8" i="67"/>
  <c r="B11" i="76"/>
  <c r="B8" i="76"/>
  <c r="F6" i="15"/>
  <c r="E13" i="76"/>
  <c r="F8" i="15"/>
  <c r="B12" i="76"/>
  <c r="E11" i="76"/>
  <c r="E8" i="76"/>
  <c r="L47" i="15"/>
  <c r="F6" i="73"/>
  <c r="S37" i="34" l="1"/>
  <c r="U45" i="34"/>
  <c r="AB45" i="34"/>
  <c r="F45" i="34"/>
  <c r="J45" i="34"/>
  <c r="W47" i="34"/>
  <c r="F13" i="34"/>
  <c r="J13" i="34"/>
  <c r="B57" i="43"/>
  <c r="C40" i="68"/>
  <c r="C40" i="69"/>
  <c r="C21" i="68"/>
  <c r="G22" i="68"/>
  <c r="E1" i="73"/>
  <c r="G22" i="11"/>
  <c r="G26" i="12"/>
  <c r="H5" i="3"/>
  <c r="AZ556" i="3"/>
  <c r="AZ532" i="3"/>
  <c r="AZ529" i="3"/>
  <c r="AZ501" i="3"/>
  <c r="AB34" i="35"/>
  <c r="U34" i="35"/>
  <c r="AZ565" i="3"/>
  <c r="AZ514" i="3"/>
  <c r="AZ512" i="3"/>
  <c r="AZ570" i="3"/>
  <c r="BA548" i="3"/>
  <c r="BA525" i="3"/>
  <c r="AZ525" i="3" s="1"/>
  <c r="BA523" i="3"/>
  <c r="BM5" i="3"/>
  <c r="F29" i="6" s="1"/>
  <c r="AZ371" i="3"/>
  <c r="AZ541" i="3"/>
  <c r="BA493" i="3"/>
  <c r="W31" i="34"/>
  <c r="AC31" i="34"/>
  <c r="S41" i="33"/>
  <c r="AA41" i="33"/>
  <c r="AA27" i="35"/>
  <c r="S27" i="35"/>
  <c r="BA569" i="3"/>
  <c r="BL564" i="3"/>
  <c r="BL560" i="3"/>
  <c r="AZ560" i="3" s="1"/>
  <c r="BL555" i="3"/>
  <c r="BL544" i="3"/>
  <c r="AZ544" i="3" s="1"/>
  <c r="BA542" i="3"/>
  <c r="AZ542" i="3" s="1"/>
  <c r="BA540" i="3"/>
  <c r="BA535" i="3"/>
  <c r="BA533" i="3"/>
  <c r="BL532" i="3"/>
  <c r="BL521" i="3"/>
  <c r="AZ521" i="3" s="1"/>
  <c r="BA521" i="3"/>
  <c r="BL518" i="3"/>
  <c r="AB9" i="21"/>
  <c r="AA8" i="34"/>
  <c r="BB5" i="3"/>
  <c r="E8" i="6" s="1"/>
  <c r="F27" i="6" s="1"/>
  <c r="AZ388" i="3"/>
  <c r="AZ377" i="3"/>
  <c r="AZ342" i="3"/>
  <c r="G498" i="3"/>
  <c r="AZ376" i="3"/>
  <c r="AC45" i="33"/>
  <c r="BL577" i="3"/>
  <c r="AZ577" i="3" s="1"/>
  <c r="BA494" i="3"/>
  <c r="AZ494" i="3" s="1"/>
  <c r="AB30" i="36"/>
  <c r="F14" i="40"/>
  <c r="H14" i="40"/>
  <c r="J14" i="40"/>
  <c r="BE5" i="3"/>
  <c r="BA511" i="3"/>
  <c r="BA504" i="3"/>
  <c r="AZ504" i="3" s="1"/>
  <c r="BA502" i="3"/>
  <c r="W17" i="33"/>
  <c r="AB25" i="33"/>
  <c r="AA23" i="37"/>
  <c r="U21" i="39"/>
  <c r="AA40" i="34"/>
  <c r="S35" i="39"/>
  <c r="AA35" i="39"/>
  <c r="H44" i="33"/>
  <c r="J44" i="33"/>
  <c r="F44" i="33"/>
  <c r="BL562" i="3"/>
  <c r="BL546" i="3"/>
  <c r="AZ546" i="3" s="1"/>
  <c r="BA537" i="3"/>
  <c r="AZ537" i="3" s="1"/>
  <c r="BA524" i="3"/>
  <c r="AZ524" i="3" s="1"/>
  <c r="W30" i="40"/>
  <c r="AC39" i="34"/>
  <c r="S20" i="35"/>
  <c r="S16" i="36"/>
  <c r="AB45" i="21"/>
  <c r="AA23" i="21"/>
  <c r="AA19" i="33"/>
  <c r="AB46" i="21"/>
  <c r="AA31" i="34"/>
  <c r="S20" i="36"/>
  <c r="AB31" i="40"/>
  <c r="AA29" i="33"/>
  <c r="AZ14" i="3"/>
  <c r="S34" i="33"/>
  <c r="AA34" i="33"/>
  <c r="AZ387" i="3"/>
  <c r="AZ357" i="3"/>
  <c r="AZ322" i="3"/>
  <c r="AZ389" i="3"/>
  <c r="AZ320" i="3"/>
  <c r="AB25" i="39"/>
  <c r="BL565" i="3"/>
  <c r="BA498" i="3"/>
  <c r="AZ498" i="3" s="1"/>
  <c r="J44" i="21"/>
  <c r="AC28" i="36"/>
  <c r="W28" i="36"/>
  <c r="J43" i="39"/>
  <c r="F43" i="39"/>
  <c r="H43" i="39"/>
  <c r="AZ579" i="3"/>
  <c r="AZ576" i="3"/>
  <c r="BA575" i="3"/>
  <c r="AZ575" i="3" s="1"/>
  <c r="BA518" i="3"/>
  <c r="AZ518" i="3" s="1"/>
  <c r="BA516" i="3"/>
  <c r="AZ516" i="3" s="1"/>
  <c r="BJ5" i="3"/>
  <c r="AA26" i="21"/>
  <c r="AB33" i="34"/>
  <c r="AA31" i="37"/>
  <c r="W17" i="37"/>
  <c r="W27" i="37"/>
  <c r="AB12" i="39"/>
  <c r="S27" i="40"/>
  <c r="AA27" i="40"/>
  <c r="AB23" i="35"/>
  <c r="BP5" i="3"/>
  <c r="G29" i="6" s="1"/>
  <c r="AZ338" i="3"/>
  <c r="AZ346" i="3"/>
  <c r="AZ394" i="3"/>
  <c r="AA36" i="39"/>
  <c r="BL519" i="3"/>
  <c r="AZ519" i="3" s="1"/>
  <c r="BL547" i="3"/>
  <c r="AZ547" i="3" s="1"/>
  <c r="BL583" i="3"/>
  <c r="W17" i="34"/>
  <c r="AC17" i="34"/>
  <c r="AC31" i="37"/>
  <c r="W31" i="37"/>
  <c r="U41" i="21"/>
  <c r="AB41" i="21"/>
  <c r="AC30" i="36"/>
  <c r="W30" i="36"/>
  <c r="BA583" i="3"/>
  <c r="BA582" i="3"/>
  <c r="AZ564" i="3"/>
  <c r="AA29" i="35"/>
  <c r="AB34" i="37"/>
  <c r="W39" i="33"/>
  <c r="AC39" i="33"/>
  <c r="J29" i="33"/>
  <c r="AC29" i="33" s="1"/>
  <c r="H29" i="33"/>
  <c r="F14" i="34"/>
  <c r="H14" i="34"/>
  <c r="F12" i="35"/>
  <c r="H12" i="35"/>
  <c r="J35" i="35"/>
  <c r="H35" i="35"/>
  <c r="F32" i="36"/>
  <c r="H32" i="36"/>
  <c r="AC25" i="37"/>
  <c r="W25" i="37"/>
  <c r="F14" i="37"/>
  <c r="H14" i="37"/>
  <c r="AB14" i="37" s="1"/>
  <c r="J14" i="37"/>
  <c r="AB26" i="37"/>
  <c r="U26" i="37"/>
  <c r="F38" i="37"/>
  <c r="H38" i="37"/>
  <c r="H11" i="36"/>
  <c r="U11" i="36" s="1"/>
  <c r="J11" i="36"/>
  <c r="AC11" i="36" s="1"/>
  <c r="F11" i="36"/>
  <c r="BA555" i="3"/>
  <c r="BA530" i="3"/>
  <c r="AZ505" i="3"/>
  <c r="S39" i="33"/>
  <c r="W9" i="39"/>
  <c r="BL551" i="3"/>
  <c r="F30" i="21"/>
  <c r="H30" i="21"/>
  <c r="J30" i="21"/>
  <c r="AC38" i="34"/>
  <c r="AZ568" i="3"/>
  <c r="BA566" i="3"/>
  <c r="AZ566" i="3" s="1"/>
  <c r="BA562" i="3"/>
  <c r="AZ562" i="3" s="1"/>
  <c r="AZ536" i="3"/>
  <c r="AZ513" i="3"/>
  <c r="BK5" i="3"/>
  <c r="BA497" i="3"/>
  <c r="AZ497" i="3" s="1"/>
  <c r="AB25" i="21"/>
  <c r="U25" i="36"/>
  <c r="S13" i="39"/>
  <c r="AZ383" i="3"/>
  <c r="W32" i="39"/>
  <c r="S32" i="21"/>
  <c r="S21" i="39"/>
  <c r="AC37" i="33"/>
  <c r="U25" i="34"/>
  <c r="U19" i="34"/>
  <c r="AC15" i="37"/>
  <c r="AA17" i="33"/>
  <c r="AB28" i="33"/>
  <c r="S43" i="33"/>
  <c r="AZ391" i="3"/>
  <c r="AZ345" i="3"/>
  <c r="AZ372" i="3"/>
  <c r="AA41" i="39"/>
  <c r="BL527" i="3"/>
  <c r="AZ527" i="3" s="1"/>
  <c r="BL539" i="3"/>
  <c r="AZ539" i="3" s="1"/>
  <c r="BL553" i="3"/>
  <c r="BL573" i="3"/>
  <c r="AZ573" i="3" s="1"/>
  <c r="H31" i="34"/>
  <c r="AA17" i="40"/>
  <c r="S17" i="40"/>
  <c r="AC22" i="35"/>
  <c r="W22" i="35"/>
  <c r="AC40" i="37"/>
  <c r="W40" i="37"/>
  <c r="J9" i="33"/>
  <c r="H9" i="33"/>
  <c r="AZ563" i="3"/>
  <c r="S36" i="33"/>
  <c r="BA507" i="3"/>
  <c r="BL502" i="3"/>
  <c r="AZ502" i="3" s="1"/>
  <c r="BL500" i="3"/>
  <c r="AZ500" i="3" s="1"/>
  <c r="BA496" i="3"/>
  <c r="AZ496" i="3" s="1"/>
  <c r="BL495" i="3"/>
  <c r="BL493" i="3"/>
  <c r="BD5" i="3"/>
  <c r="AZ374" i="3"/>
  <c r="AZ360" i="3"/>
  <c r="BL557" i="3"/>
  <c r="AZ557" i="3" s="1"/>
  <c r="AB46" i="33"/>
  <c r="U46" i="33"/>
  <c r="U17" i="34"/>
  <c r="AB17" i="34"/>
  <c r="BA587" i="3"/>
  <c r="AZ587" i="3" s="1"/>
  <c r="J12" i="36"/>
  <c r="F12" i="36"/>
  <c r="H12" i="36"/>
  <c r="H44" i="39"/>
  <c r="F44" i="39"/>
  <c r="BA578" i="3"/>
  <c r="BA571" i="3"/>
  <c r="AZ571" i="3" s="1"/>
  <c r="BA553" i="3"/>
  <c r="AZ553" i="3" s="1"/>
  <c r="BL511" i="3"/>
  <c r="W11" i="35"/>
  <c r="AC11" i="35"/>
  <c r="W44" i="39"/>
  <c r="AC44" i="39"/>
  <c r="S38" i="33"/>
  <c r="AA38" i="33"/>
  <c r="AB40" i="33"/>
  <c r="H23" i="36"/>
  <c r="F23" i="36"/>
  <c r="J39" i="37"/>
  <c r="H39" i="37"/>
  <c r="AC12" i="40"/>
  <c r="W12" i="40"/>
  <c r="BL563" i="3"/>
  <c r="BA559" i="3"/>
  <c r="AZ559" i="3" s="1"/>
  <c r="BA554" i="3"/>
  <c r="AZ554" i="3" s="1"/>
  <c r="BA552" i="3"/>
  <c r="AZ552" i="3" s="1"/>
  <c r="BA550" i="3"/>
  <c r="AZ550" i="3" s="1"/>
  <c r="BL540" i="3"/>
  <c r="AZ540" i="3" s="1"/>
  <c r="BL538" i="3"/>
  <c r="AZ538" i="3" s="1"/>
  <c r="BL533" i="3"/>
  <c r="AZ533" i="3" s="1"/>
  <c r="BL522" i="3"/>
  <c r="AZ522" i="3" s="1"/>
  <c r="BA520" i="3"/>
  <c r="AZ520" i="3" s="1"/>
  <c r="BA517" i="3"/>
  <c r="BL510" i="3"/>
  <c r="AZ510" i="3" s="1"/>
  <c r="BA508" i="3"/>
  <c r="AZ508" i="3" s="1"/>
  <c r="BA503" i="3"/>
  <c r="AZ503" i="3" s="1"/>
  <c r="BA499" i="3"/>
  <c r="AZ499" i="3" s="1"/>
  <c r="BL494" i="3"/>
  <c r="BL503" i="3"/>
  <c r="BL531" i="3"/>
  <c r="AZ531" i="3" s="1"/>
  <c r="BL543" i="3"/>
  <c r="AZ543" i="3" s="1"/>
  <c r="F46" i="21"/>
  <c r="J46" i="21"/>
  <c r="J24" i="35"/>
  <c r="F24" i="35"/>
  <c r="BL578" i="3"/>
  <c r="AZ318" i="3"/>
  <c r="AZ304" i="3"/>
  <c r="AZ203" i="3"/>
  <c r="AZ306" i="3"/>
  <c r="BL559" i="3"/>
  <c r="W28" i="21"/>
  <c r="AC28" i="21"/>
  <c r="J28" i="37"/>
  <c r="H28" i="37"/>
  <c r="AB9" i="40"/>
  <c r="U9" i="40"/>
  <c r="J39" i="40"/>
  <c r="H39" i="40"/>
  <c r="BL582" i="3"/>
  <c r="F29" i="34"/>
  <c r="H29" i="34"/>
  <c r="H45" i="39"/>
  <c r="F45" i="39"/>
  <c r="AZ407" i="3"/>
  <c r="BL515" i="3"/>
  <c r="AZ515" i="3" s="1"/>
  <c r="BL523" i="3"/>
  <c r="AZ523" i="3" s="1"/>
  <c r="BL569" i="3"/>
  <c r="AZ569" i="3" s="1"/>
  <c r="J23" i="35"/>
  <c r="F23" i="35"/>
  <c r="J24" i="36"/>
  <c r="H24" i="36"/>
  <c r="BL535" i="3"/>
  <c r="AZ535" i="3" s="1"/>
  <c r="BA586" i="3"/>
  <c r="BL585" i="3"/>
  <c r="AZ585" i="3" s="1"/>
  <c r="B101" i="43"/>
  <c r="C25" i="39"/>
  <c r="AA28" i="34"/>
  <c r="S28" i="34"/>
  <c r="J36" i="35"/>
  <c r="AC36" i="35" s="1"/>
  <c r="J12" i="34"/>
  <c r="F12" i="34"/>
  <c r="S12" i="34" s="1"/>
  <c r="G554" i="3"/>
  <c r="BA551" i="3"/>
  <c r="AZ551" i="3" s="1"/>
  <c r="BL548" i="3"/>
  <c r="G531" i="3"/>
  <c r="BL530" i="3"/>
  <c r="AZ451" i="3"/>
  <c r="BA132" i="3"/>
  <c r="AZ132" i="3" s="1"/>
  <c r="AZ406" i="3"/>
  <c r="BA431" i="3"/>
  <c r="BL433" i="3"/>
  <c r="AZ448" i="3"/>
  <c r="AZ469" i="3"/>
  <c r="BA470" i="3"/>
  <c r="BL440" i="3"/>
  <c r="AZ419" i="3"/>
  <c r="AZ125" i="3"/>
  <c r="BL587" i="3"/>
  <c r="BL586" i="3"/>
  <c r="AZ400" i="3"/>
  <c r="BL402" i="3"/>
  <c r="AZ402" i="3" s="1"/>
  <c r="BL447" i="3"/>
  <c r="BA485" i="3"/>
  <c r="AZ487" i="3"/>
  <c r="BL308" i="3"/>
  <c r="AZ308" i="3" s="1"/>
  <c r="BA286" i="3"/>
  <c r="W31" i="35"/>
  <c r="AC31" i="35"/>
  <c r="BA410" i="3"/>
  <c r="AZ462" i="3"/>
  <c r="BA473" i="3"/>
  <c r="BL280" i="3"/>
  <c r="BA401" i="3"/>
  <c r="BA403" i="3"/>
  <c r="BA404" i="3"/>
  <c r="BA405" i="3"/>
  <c r="BA441" i="3"/>
  <c r="AZ476" i="3"/>
  <c r="BA307" i="3"/>
  <c r="AZ307" i="3" s="1"/>
  <c r="BA335" i="3"/>
  <c r="AZ335" i="3" s="1"/>
  <c r="BA354" i="3"/>
  <c r="BA366" i="3"/>
  <c r="AZ366" i="3" s="1"/>
  <c r="BL375" i="3"/>
  <c r="AZ375" i="3" s="1"/>
  <c r="AA38" i="71"/>
  <c r="AA39" i="71"/>
  <c r="G398" i="3"/>
  <c r="G399" i="3"/>
  <c r="BL400" i="3"/>
  <c r="BA439" i="3"/>
  <c r="AZ439" i="3" s="1"/>
  <c r="BA440" i="3"/>
  <c r="BA442" i="3"/>
  <c r="BA445" i="3"/>
  <c r="BA447" i="3"/>
  <c r="AZ447" i="3" s="1"/>
  <c r="BA449" i="3"/>
  <c r="AZ449" i="3" s="1"/>
  <c r="BA459" i="3"/>
  <c r="BA460" i="3"/>
  <c r="BA461" i="3"/>
  <c r="AZ461" i="3" s="1"/>
  <c r="BA466" i="3"/>
  <c r="BA467" i="3"/>
  <c r="BA468" i="3"/>
  <c r="BL480" i="3"/>
  <c r="AZ480" i="3" s="1"/>
  <c r="G482" i="3"/>
  <c r="BL483" i="3"/>
  <c r="BL328" i="3"/>
  <c r="AZ328" i="3" s="1"/>
  <c r="G329" i="3"/>
  <c r="BA353" i="3"/>
  <c r="BL365" i="3"/>
  <c r="AZ365" i="3" s="1"/>
  <c r="G366" i="3"/>
  <c r="BL368" i="3"/>
  <c r="BA374" i="3"/>
  <c r="BL385" i="3"/>
  <c r="BA392" i="3"/>
  <c r="AZ392" i="3" s="1"/>
  <c r="BA220" i="3"/>
  <c r="AZ220" i="3" s="1"/>
  <c r="BA245" i="3"/>
  <c r="BA246" i="3"/>
  <c r="BL265" i="3"/>
  <c r="AZ265" i="3" s="1"/>
  <c r="BA277" i="3"/>
  <c r="BA280" i="3"/>
  <c r="AZ280" i="3" s="1"/>
  <c r="BA291" i="3"/>
  <c r="BA114" i="3"/>
  <c r="BL138" i="3"/>
  <c r="BA142" i="3"/>
  <c r="BL154" i="3"/>
  <c r="BL175" i="3"/>
  <c r="AZ175" i="3" s="1"/>
  <c r="BL398" i="3"/>
  <c r="AZ398" i="3" s="1"/>
  <c r="BL403" i="3"/>
  <c r="BA408" i="3"/>
  <c r="BA409" i="3"/>
  <c r="AZ409" i="3" s="1"/>
  <c r="BA411" i="3"/>
  <c r="AZ411" i="3" s="1"/>
  <c r="BA417" i="3"/>
  <c r="BA428" i="3"/>
  <c r="BA429" i="3"/>
  <c r="BA430" i="3"/>
  <c r="AZ430" i="3" s="1"/>
  <c r="BA432" i="3"/>
  <c r="AZ432" i="3" s="1"/>
  <c r="BA434" i="3"/>
  <c r="BA436" i="3"/>
  <c r="BA438" i="3"/>
  <c r="BA446" i="3"/>
  <c r="BA450" i="3"/>
  <c r="BA453" i="3"/>
  <c r="AZ453" i="3" s="1"/>
  <c r="BA455" i="3"/>
  <c r="AZ455" i="3" s="1"/>
  <c r="BA457" i="3"/>
  <c r="AZ457" i="3" s="1"/>
  <c r="BL462" i="3"/>
  <c r="BA465" i="3"/>
  <c r="AZ465" i="3" s="1"/>
  <c r="BA471" i="3"/>
  <c r="AZ471" i="3" s="1"/>
  <c r="BL476" i="3"/>
  <c r="BL477" i="3"/>
  <c r="BL478" i="3"/>
  <c r="BL317" i="3"/>
  <c r="BA333" i="3"/>
  <c r="BL346" i="3"/>
  <c r="BL383" i="3"/>
  <c r="BA244" i="3"/>
  <c r="AZ244" i="3" s="1"/>
  <c r="BA278" i="3"/>
  <c r="AZ278" i="3" s="1"/>
  <c r="BL293" i="3"/>
  <c r="BL294" i="3"/>
  <c r="AZ294" i="3" s="1"/>
  <c r="BL297" i="3"/>
  <c r="BA134" i="3"/>
  <c r="BL181" i="3"/>
  <c r="BL401" i="3"/>
  <c r="BL404" i="3"/>
  <c r="BL405" i="3"/>
  <c r="BL407" i="3"/>
  <c r="BA412" i="3"/>
  <c r="AZ412" i="3" s="1"/>
  <c r="BA414" i="3"/>
  <c r="BA415" i="3"/>
  <c r="AZ415" i="3" s="1"/>
  <c r="BA416" i="3"/>
  <c r="AZ416" i="3" s="1"/>
  <c r="BA418" i="3"/>
  <c r="BA421" i="3"/>
  <c r="AZ421" i="3" s="1"/>
  <c r="BA423" i="3"/>
  <c r="AZ423" i="3" s="1"/>
  <c r="BA425" i="3"/>
  <c r="BA426" i="3"/>
  <c r="BA427" i="3"/>
  <c r="AZ427" i="3" s="1"/>
  <c r="BA433" i="3"/>
  <c r="AZ433" i="3" s="1"/>
  <c r="BA435" i="3"/>
  <c r="BL437" i="3"/>
  <c r="AZ437" i="3" s="1"/>
  <c r="G439" i="3"/>
  <c r="G440" i="3"/>
  <c r="BL441" i="3"/>
  <c r="BL442" i="3"/>
  <c r="BL444" i="3"/>
  <c r="AZ444" i="3" s="1"/>
  <c r="G446" i="3"/>
  <c r="G447" i="3"/>
  <c r="BL448" i="3"/>
  <c r="G450" i="3"/>
  <c r="G451" i="3"/>
  <c r="BA454" i="3"/>
  <c r="BL458" i="3"/>
  <c r="AZ458" i="3" s="1"/>
  <c r="BL459" i="3"/>
  <c r="G461" i="3"/>
  <c r="BL463" i="3"/>
  <c r="G465" i="3"/>
  <c r="BL466" i="3"/>
  <c r="G469" i="3"/>
  <c r="BA315" i="3"/>
  <c r="AZ315" i="3" s="1"/>
  <c r="BL381" i="3"/>
  <c r="AZ381" i="3" s="1"/>
  <c r="BA214" i="3"/>
  <c r="BA240" i="3"/>
  <c r="AZ240" i="3" s="1"/>
  <c r="BA241" i="3"/>
  <c r="BL245" i="3"/>
  <c r="BA257" i="3"/>
  <c r="AZ257" i="3" s="1"/>
  <c r="BA258" i="3"/>
  <c r="BA262" i="3"/>
  <c r="AZ262" i="3" s="1"/>
  <c r="BL291" i="3"/>
  <c r="BA120" i="3"/>
  <c r="AZ120" i="3" s="1"/>
  <c r="BL122" i="3"/>
  <c r="BL135" i="3"/>
  <c r="AZ135" i="3" s="1"/>
  <c r="BA149" i="3"/>
  <c r="AZ149" i="3" s="1"/>
  <c r="AZ177" i="3"/>
  <c r="BL16" i="3"/>
  <c r="AZ16" i="3" s="1"/>
  <c r="BL410" i="3"/>
  <c r="G412" i="3"/>
  <c r="G418" i="3"/>
  <c r="BA422" i="3"/>
  <c r="G429" i="3"/>
  <c r="BL431" i="3"/>
  <c r="G433" i="3"/>
  <c r="BL434" i="3"/>
  <c r="G436" i="3"/>
  <c r="BL438" i="3"/>
  <c r="BL439" i="3"/>
  <c r="BL445" i="3"/>
  <c r="AZ445" i="3" s="1"/>
  <c r="BL446" i="3"/>
  <c r="BL449" i="3"/>
  <c r="BL450" i="3"/>
  <c r="AZ450" i="3" s="1"/>
  <c r="BL452" i="3"/>
  <c r="G454" i="3"/>
  <c r="G457" i="3"/>
  <c r="BL460" i="3"/>
  <c r="BL461" i="3"/>
  <c r="BL464" i="3"/>
  <c r="BL467" i="3"/>
  <c r="BL468" i="3"/>
  <c r="AZ468" i="3" s="1"/>
  <c r="BL470" i="3"/>
  <c r="G472" i="3"/>
  <c r="G473" i="3"/>
  <c r="BL473" i="3"/>
  <c r="BL474" i="3"/>
  <c r="G475" i="3"/>
  <c r="BA486" i="3"/>
  <c r="BA331" i="3"/>
  <c r="AZ331" i="3" s="1"/>
  <c r="BA339" i="3"/>
  <c r="AZ339" i="3" s="1"/>
  <c r="G343" i="3"/>
  <c r="BA348" i="3"/>
  <c r="BA350" i="3"/>
  <c r="AZ350" i="3" s="1"/>
  <c r="BA239" i="3"/>
  <c r="BA242" i="3"/>
  <c r="AZ242" i="3" s="1"/>
  <c r="BA255" i="3"/>
  <c r="BA256" i="3"/>
  <c r="BL259" i="3"/>
  <c r="BA273" i="3"/>
  <c r="BL290" i="3"/>
  <c r="BL295" i="3"/>
  <c r="BA301" i="3"/>
  <c r="AZ301" i="3" s="1"/>
  <c r="BA148" i="3"/>
  <c r="AZ148" i="3" s="1"/>
  <c r="BA176" i="3"/>
  <c r="AZ176" i="3" s="1"/>
  <c r="BL408" i="3"/>
  <c r="BL411" i="3"/>
  <c r="BL413" i="3"/>
  <c r="AZ413" i="3" s="1"/>
  <c r="BL417" i="3"/>
  <c r="BL418" i="3"/>
  <c r="BL420" i="3"/>
  <c r="AZ420" i="3" s="1"/>
  <c r="BL424" i="3"/>
  <c r="BL428" i="3"/>
  <c r="BL429" i="3"/>
  <c r="BL432" i="3"/>
  <c r="BL435" i="3"/>
  <c r="BL436" i="3"/>
  <c r="BL453" i="3"/>
  <c r="BL454" i="3"/>
  <c r="BL457" i="3"/>
  <c r="BL471" i="3"/>
  <c r="BL475" i="3"/>
  <c r="BA483" i="3"/>
  <c r="BA489" i="3"/>
  <c r="BA491" i="3"/>
  <c r="AZ491" i="3" s="1"/>
  <c r="BL324" i="3"/>
  <c r="AZ324" i="3" s="1"/>
  <c r="BA349" i="3"/>
  <c r="AZ349" i="3" s="1"/>
  <c r="BL353" i="3"/>
  <c r="BA358" i="3"/>
  <c r="AZ358" i="3" s="1"/>
  <c r="BA368" i="3"/>
  <c r="AZ368" i="3" s="1"/>
  <c r="BA210" i="3"/>
  <c r="BL216" i="3"/>
  <c r="BA225" i="3"/>
  <c r="BA226" i="3"/>
  <c r="BA283" i="3"/>
  <c r="AZ283" i="3" s="1"/>
  <c r="BA284" i="3"/>
  <c r="AZ284" i="3" s="1"/>
  <c r="BL301" i="3"/>
  <c r="BL302" i="3"/>
  <c r="BA128" i="3"/>
  <c r="AZ128" i="3" s="1"/>
  <c r="BL149" i="3"/>
  <c r="W21" i="33"/>
  <c r="AC21" i="33"/>
  <c r="BL414" i="3"/>
  <c r="BL415" i="3"/>
  <c r="BL421" i="3"/>
  <c r="BL422" i="3"/>
  <c r="BL425" i="3"/>
  <c r="BL426" i="3"/>
  <c r="BL484" i="3"/>
  <c r="BA488" i="3"/>
  <c r="AZ488" i="3" s="1"/>
  <c r="G349" i="3"/>
  <c r="BA397" i="3"/>
  <c r="BA211" i="3"/>
  <c r="AZ211" i="3" s="1"/>
  <c r="BL215" i="3"/>
  <c r="BL227" i="3"/>
  <c r="BL230" i="3"/>
  <c r="BA237" i="3"/>
  <c r="AZ237" i="3" s="1"/>
  <c r="BA254" i="3"/>
  <c r="AZ254" i="3" s="1"/>
  <c r="BL255" i="3"/>
  <c r="AZ255" i="3" s="1"/>
  <c r="BA268" i="3"/>
  <c r="BA282" i="3"/>
  <c r="AZ282" i="3" s="1"/>
  <c r="BA117" i="3"/>
  <c r="BL158" i="3"/>
  <c r="BA43" i="3"/>
  <c r="G455" i="3"/>
  <c r="BL456" i="3"/>
  <c r="BA464" i="3"/>
  <c r="AZ464" i="3" s="1"/>
  <c r="BA482" i="3"/>
  <c r="BA484" i="3"/>
  <c r="BA303" i="3"/>
  <c r="AZ303" i="3" s="1"/>
  <c r="BL314" i="3"/>
  <c r="AZ314" i="3" s="1"/>
  <c r="G315" i="3"/>
  <c r="BA332" i="3"/>
  <c r="AZ332" i="3" s="1"/>
  <c r="G364" i="3"/>
  <c r="BA370" i="3"/>
  <c r="AZ370" i="3" s="1"/>
  <c r="BA386" i="3"/>
  <c r="AZ386" i="3" s="1"/>
  <c r="BL218" i="3"/>
  <c r="BL220" i="3"/>
  <c r="BL221" i="3"/>
  <c r="G222" i="3"/>
  <c r="BL223" i="3"/>
  <c r="G224" i="3"/>
  <c r="BA227" i="3"/>
  <c r="AZ227" i="3" s="1"/>
  <c r="BA229" i="3"/>
  <c r="BA247" i="3"/>
  <c r="AZ247" i="3" s="1"/>
  <c r="BA249" i="3"/>
  <c r="AZ249" i="3" s="1"/>
  <c r="BA251" i="3"/>
  <c r="BA253" i="3"/>
  <c r="BA290" i="3"/>
  <c r="G297" i="3"/>
  <c r="BL299" i="3"/>
  <c r="G300" i="3"/>
  <c r="BL113" i="3"/>
  <c r="BA118" i="3"/>
  <c r="AZ118" i="3" s="1"/>
  <c r="BA122" i="3"/>
  <c r="BL125" i="3"/>
  <c r="BL126" i="3"/>
  <c r="G130" i="3"/>
  <c r="BA144" i="3"/>
  <c r="AZ144" i="3" s="1"/>
  <c r="G152" i="3"/>
  <c r="BL155" i="3"/>
  <c r="AZ155" i="3" s="1"/>
  <c r="BA181" i="3"/>
  <c r="AZ181" i="3" s="1"/>
  <c r="BA182" i="3"/>
  <c r="BL185" i="3"/>
  <c r="G186" i="3"/>
  <c r="BA193" i="3"/>
  <c r="BA196" i="3"/>
  <c r="AZ196" i="3" s="1"/>
  <c r="BA39" i="3"/>
  <c r="AZ39" i="3" s="1"/>
  <c r="BA50" i="3"/>
  <c r="BL77" i="3"/>
  <c r="BL99" i="3"/>
  <c r="AA37" i="71"/>
  <c r="BA396" i="3"/>
  <c r="BA209" i="3"/>
  <c r="BL228" i="3"/>
  <c r="AZ228" i="3" s="1"/>
  <c r="BA230" i="3"/>
  <c r="AZ230" i="3" s="1"/>
  <c r="BA236" i="3"/>
  <c r="BA238" i="3"/>
  <c r="AZ238" i="3" s="1"/>
  <c r="BA243" i="3"/>
  <c r="BL248" i="3"/>
  <c r="AZ248" i="3" s="1"/>
  <c r="G250" i="3"/>
  <c r="BL250" i="3"/>
  <c r="AZ250" i="3" s="1"/>
  <c r="G252" i="3"/>
  <c r="G254" i="3"/>
  <c r="BA259" i="3"/>
  <c r="AZ259" i="3" s="1"/>
  <c r="BA263" i="3"/>
  <c r="AZ263" i="3" s="1"/>
  <c r="BA267" i="3"/>
  <c r="AZ267" i="3" s="1"/>
  <c r="BA269" i="3"/>
  <c r="AZ269" i="3" s="1"/>
  <c r="BA271" i="3"/>
  <c r="AZ271" i="3" s="1"/>
  <c r="BA274" i="3"/>
  <c r="BA276" i="3"/>
  <c r="BA279" i="3"/>
  <c r="BA281" i="3"/>
  <c r="G286" i="3"/>
  <c r="BL286" i="3"/>
  <c r="G289" i="3"/>
  <c r="G290" i="3"/>
  <c r="G291" i="3"/>
  <c r="BA116" i="3"/>
  <c r="AZ116" i="3" s="1"/>
  <c r="BL121" i="3"/>
  <c r="BL143" i="3"/>
  <c r="AZ143" i="3" s="1"/>
  <c r="G146" i="3"/>
  <c r="G147" i="3"/>
  <c r="BA157" i="3"/>
  <c r="BA164" i="3"/>
  <c r="AZ164" i="3" s="1"/>
  <c r="BA166" i="3"/>
  <c r="AZ166" i="3" s="1"/>
  <c r="BL169" i="3"/>
  <c r="BL170" i="3"/>
  <c r="G171" i="3"/>
  <c r="BA180" i="3"/>
  <c r="AZ180" i="3" s="1"/>
  <c r="BL182" i="3"/>
  <c r="G183" i="3"/>
  <c r="BL193" i="3"/>
  <c r="G194" i="3"/>
  <c r="BL194" i="3"/>
  <c r="AZ194" i="3" s="1"/>
  <c r="G199" i="3"/>
  <c r="BA204" i="3"/>
  <c r="AZ204" i="3" s="1"/>
  <c r="G18" i="3"/>
  <c r="G31" i="3"/>
  <c r="BA47" i="3"/>
  <c r="BL50" i="3"/>
  <c r="BL51" i="3"/>
  <c r="BA70" i="3"/>
  <c r="AZ70" i="3" s="1"/>
  <c r="G76" i="3"/>
  <c r="BA84" i="3"/>
  <c r="BA95" i="3"/>
  <c r="AZ95" i="3" s="1"/>
  <c r="G98" i="3"/>
  <c r="C31" i="71"/>
  <c r="D30" i="71"/>
  <c r="X36" i="71"/>
  <c r="X31" i="71"/>
  <c r="X38" i="71"/>
  <c r="BA190" i="3"/>
  <c r="BL205" i="3"/>
  <c r="BA71" i="3"/>
  <c r="BL72" i="3"/>
  <c r="AZ72" i="3" s="1"/>
  <c r="BL75" i="3"/>
  <c r="AA3" i="71"/>
  <c r="F66" i="71"/>
  <c r="Q67" i="71"/>
  <c r="BA216" i="3"/>
  <c r="AZ216" i="3" s="1"/>
  <c r="BA218" i="3"/>
  <c r="BL229" i="3"/>
  <c r="BL231" i="3"/>
  <c r="BL233" i="3"/>
  <c r="AZ233" i="3" s="1"/>
  <c r="BL235" i="3"/>
  <c r="AZ235" i="3" s="1"/>
  <c r="BL236" i="3"/>
  <c r="BL238" i="3"/>
  <c r="BL243" i="3"/>
  <c r="BL247" i="3"/>
  <c r="BL249" i="3"/>
  <c r="BL251" i="3"/>
  <c r="BL260" i="3"/>
  <c r="BL263" i="3"/>
  <c r="BL270" i="3"/>
  <c r="AZ270" i="3" s="1"/>
  <c r="BA272" i="3"/>
  <c r="AZ272" i="3" s="1"/>
  <c r="BL275" i="3"/>
  <c r="AZ275" i="3" s="1"/>
  <c r="BL285" i="3"/>
  <c r="BL287" i="3"/>
  <c r="BL115" i="3"/>
  <c r="AZ115" i="3" s="1"/>
  <c r="BL118" i="3"/>
  <c r="BA153" i="3"/>
  <c r="AZ153" i="3" s="1"/>
  <c r="BL157" i="3"/>
  <c r="BL159" i="3"/>
  <c r="AZ159" i="3" s="1"/>
  <c r="BA174" i="3"/>
  <c r="BL179" i="3"/>
  <c r="AZ179" i="3" s="1"/>
  <c r="BA201" i="3"/>
  <c r="BA21" i="3"/>
  <c r="AZ21" i="3" s="1"/>
  <c r="BA25" i="3"/>
  <c r="AZ25" i="3" s="1"/>
  <c r="BA26" i="3"/>
  <c r="BL28" i="3"/>
  <c r="BL47" i="3"/>
  <c r="G50" i="3"/>
  <c r="BA55" i="3"/>
  <c r="BA65" i="3"/>
  <c r="BL70" i="3"/>
  <c r="BL71" i="3"/>
  <c r="T72" i="71"/>
  <c r="C71" i="71"/>
  <c r="BL397" i="3"/>
  <c r="BL210" i="3"/>
  <c r="BL212" i="3"/>
  <c r="G214" i="3"/>
  <c r="BL214" i="3"/>
  <c r="G216" i="3"/>
  <c r="BL239" i="3"/>
  <c r="BL241" i="3"/>
  <c r="BL244" i="3"/>
  <c r="BL256" i="3"/>
  <c r="BL264" i="3"/>
  <c r="BL266" i="3"/>
  <c r="BL273" i="3"/>
  <c r="G274" i="3"/>
  <c r="BL277" i="3"/>
  <c r="BL282" i="3"/>
  <c r="BA297" i="3"/>
  <c r="BA302" i="3"/>
  <c r="AZ302" i="3" s="1"/>
  <c r="G115" i="3"/>
  <c r="BA130" i="3"/>
  <c r="AZ130" i="3" s="1"/>
  <c r="BA137" i="3"/>
  <c r="AZ137" i="3" s="1"/>
  <c r="BA140" i="3"/>
  <c r="AZ140" i="3" s="1"/>
  <c r="BA152" i="3"/>
  <c r="AZ152" i="3" s="1"/>
  <c r="BA154" i="3"/>
  <c r="AZ154" i="3" s="1"/>
  <c r="G159" i="3"/>
  <c r="BL167" i="3"/>
  <c r="AZ167" i="3" s="1"/>
  <c r="BA173" i="3"/>
  <c r="BL177" i="3"/>
  <c r="BA186" i="3"/>
  <c r="AZ186" i="3" s="1"/>
  <c r="G204" i="3"/>
  <c r="BA20" i="3"/>
  <c r="AZ20" i="3" s="1"/>
  <c r="BL25" i="3"/>
  <c r="BA62" i="3"/>
  <c r="BA66" i="3"/>
  <c r="AZ66" i="3" s="1"/>
  <c r="BL103" i="3"/>
  <c r="P65" i="71"/>
  <c r="P66" i="71"/>
  <c r="F34" i="71"/>
  <c r="F35" i="71" s="1"/>
  <c r="F36" i="71" s="1"/>
  <c r="V36" i="71" s="1"/>
  <c r="AB33" i="71"/>
  <c r="AB28" i="71"/>
  <c r="BA388" i="3"/>
  <c r="BL217" i="3"/>
  <c r="AZ217" i="3" s="1"/>
  <c r="BA219" i="3"/>
  <c r="AZ219" i="3" s="1"/>
  <c r="BA221" i="3"/>
  <c r="BA223" i="3"/>
  <c r="AZ223" i="3" s="1"/>
  <c r="BL232" i="3"/>
  <c r="BL234" i="3"/>
  <c r="BL261" i="3"/>
  <c r="BL271" i="3"/>
  <c r="BL274" i="3"/>
  <c r="BA296" i="3"/>
  <c r="BA121" i="3"/>
  <c r="AZ121" i="3" s="1"/>
  <c r="BA124" i="3"/>
  <c r="AZ124" i="3" s="1"/>
  <c r="BA126" i="3"/>
  <c r="AZ126" i="3" s="1"/>
  <c r="BA129" i="3"/>
  <c r="BL133" i="3"/>
  <c r="AZ133" i="3" s="1"/>
  <c r="BL139" i="3"/>
  <c r="AZ139" i="3" s="1"/>
  <c r="G140" i="3"/>
  <c r="BL141" i="3"/>
  <c r="G154" i="3"/>
  <c r="G190" i="3"/>
  <c r="BA198" i="3"/>
  <c r="AZ198" i="3" s="1"/>
  <c r="BL201" i="3"/>
  <c r="BL203" i="3"/>
  <c r="BA19" i="3"/>
  <c r="BL35" i="3"/>
  <c r="BL65" i="3"/>
  <c r="BL66" i="3"/>
  <c r="BA77" i="3"/>
  <c r="AC29" i="39"/>
  <c r="W29" i="39"/>
  <c r="AA35" i="71"/>
  <c r="D84" i="71"/>
  <c r="C83" i="71"/>
  <c r="BL134" i="3"/>
  <c r="BL137" i="3"/>
  <c r="BA146" i="3"/>
  <c r="AZ146" i="3" s="1"/>
  <c r="BA150" i="3"/>
  <c r="AZ150" i="3" s="1"/>
  <c r="BL173" i="3"/>
  <c r="BL186" i="3"/>
  <c r="BA197" i="3"/>
  <c r="AZ197" i="3" s="1"/>
  <c r="G203" i="3"/>
  <c r="BA18" i="3"/>
  <c r="BL21" i="3"/>
  <c r="G23" i="3"/>
  <c r="BL34" i="3"/>
  <c r="BL62" i="3"/>
  <c r="BL63" i="3"/>
  <c r="AZ63" i="3" s="1"/>
  <c r="AA18" i="36"/>
  <c r="S18" i="36"/>
  <c r="P27" i="6"/>
  <c r="C28" i="71"/>
  <c r="Y25" i="71"/>
  <c r="Z25" i="71" s="1"/>
  <c r="Y26" i="71"/>
  <c r="Z26" i="71" s="1"/>
  <c r="Y27" i="71"/>
  <c r="Z27" i="71" s="1"/>
  <c r="Y28" i="71"/>
  <c r="Z28" i="71" s="1"/>
  <c r="C55" i="71"/>
  <c r="C60" i="71"/>
  <c r="D59" i="71"/>
  <c r="N67" i="71"/>
  <c r="B66" i="71"/>
  <c r="BL27" i="3"/>
  <c r="AZ27" i="3" s="1"/>
  <c r="BA38" i="3"/>
  <c r="BA41" i="3"/>
  <c r="BA42" i="3"/>
  <c r="G47" i="3"/>
  <c r="BL48" i="3"/>
  <c r="BA59" i="3"/>
  <c r="BL61" i="3"/>
  <c r="G64" i="3"/>
  <c r="G67" i="3"/>
  <c r="BL68" i="3"/>
  <c r="G72" i="3"/>
  <c r="BL73" i="3"/>
  <c r="AZ73" i="3" s="1"/>
  <c r="G81" i="3"/>
  <c r="BA86" i="3"/>
  <c r="AZ86" i="3" s="1"/>
  <c r="BA87" i="3"/>
  <c r="BA91" i="3"/>
  <c r="AZ91" i="3" s="1"/>
  <c r="BA108" i="3"/>
  <c r="AZ108" i="3" s="1"/>
  <c r="BA110" i="3"/>
  <c r="AZ110" i="3" s="1"/>
  <c r="S21" i="37"/>
  <c r="B77" i="43"/>
  <c r="AA18" i="35"/>
  <c r="AA28" i="71"/>
  <c r="E79" i="71"/>
  <c r="E78" i="71" s="1"/>
  <c r="AB25" i="71"/>
  <c r="C43" i="71"/>
  <c r="C35" i="71"/>
  <c r="X33" i="71"/>
  <c r="G40" i="3"/>
  <c r="BL40" i="3"/>
  <c r="BL41" i="3"/>
  <c r="G45" i="3"/>
  <c r="BL45" i="3"/>
  <c r="AZ45" i="3" s="1"/>
  <c r="BA58" i="3"/>
  <c r="AZ58" i="3" s="1"/>
  <c r="BL59" i="3"/>
  <c r="BL60" i="3"/>
  <c r="BA89" i="3"/>
  <c r="BA103" i="3"/>
  <c r="AZ103" i="3" s="1"/>
  <c r="BA104" i="3"/>
  <c r="BA106" i="3"/>
  <c r="BL108" i="3"/>
  <c r="G110" i="3"/>
  <c r="BL111" i="3"/>
  <c r="AA27" i="71"/>
  <c r="C79" i="71"/>
  <c r="C39" i="71"/>
  <c r="Y37" i="71"/>
  <c r="Z37" i="71" s="1"/>
  <c r="X28" i="71"/>
  <c r="F75" i="71"/>
  <c r="F74" i="71" s="1"/>
  <c r="U76" i="71"/>
  <c r="BL88" i="3"/>
  <c r="AZ88" i="3" s="1"/>
  <c r="BL90" i="3"/>
  <c r="BL92" i="3"/>
  <c r="AZ92" i="3" s="1"/>
  <c r="BA101" i="3"/>
  <c r="BL112" i="3"/>
  <c r="W18" i="35"/>
  <c r="AA34" i="71"/>
  <c r="B60" i="71"/>
  <c r="S60" i="71" s="1"/>
  <c r="BL178" i="3"/>
  <c r="AZ178" i="3" s="1"/>
  <c r="BA185" i="3"/>
  <c r="BL191" i="3"/>
  <c r="AZ191" i="3" s="1"/>
  <c r="BA205" i="3"/>
  <c r="BL20" i="3"/>
  <c r="BA29" i="3"/>
  <c r="AZ29" i="3" s="1"/>
  <c r="BA36" i="3"/>
  <c r="BL38" i="3"/>
  <c r="AZ38" i="3" s="1"/>
  <c r="BA52" i="3"/>
  <c r="AZ52" i="3" s="1"/>
  <c r="BA53" i="3"/>
  <c r="AZ53" i="3" s="1"/>
  <c r="BA54" i="3"/>
  <c r="AZ54" i="3" s="1"/>
  <c r="BL57" i="3"/>
  <c r="AZ57" i="3" s="1"/>
  <c r="G59" i="3"/>
  <c r="BA82" i="3"/>
  <c r="AZ82" i="3" s="1"/>
  <c r="G88" i="3"/>
  <c r="BL94" i="3"/>
  <c r="AZ94" i="3" s="1"/>
  <c r="BA100" i="3"/>
  <c r="AZ100" i="3" s="1"/>
  <c r="BA102" i="3"/>
  <c r="AZ102" i="3" s="1"/>
  <c r="BL105" i="3"/>
  <c r="AZ105" i="3" s="1"/>
  <c r="BL107" i="3"/>
  <c r="K13" i="1"/>
  <c r="M13" i="1" s="1"/>
  <c r="O13" i="1" s="1"/>
  <c r="P13" i="1" s="1"/>
  <c r="AC21" i="21"/>
  <c r="AC21" i="37"/>
  <c r="AA30" i="71"/>
  <c r="AB31" i="71"/>
  <c r="AA36" i="71"/>
  <c r="B47" i="71"/>
  <c r="B48" i="71" s="1"/>
  <c r="S48" i="71" s="1"/>
  <c r="BA169" i="3"/>
  <c r="BL171" i="3"/>
  <c r="AZ171" i="3" s="1"/>
  <c r="G174" i="3"/>
  <c r="BA184" i="3"/>
  <c r="AZ184" i="3" s="1"/>
  <c r="BL187" i="3"/>
  <c r="AZ187" i="3" s="1"/>
  <c r="G188" i="3"/>
  <c r="BL189" i="3"/>
  <c r="AZ189" i="3" s="1"/>
  <c r="BL190" i="3"/>
  <c r="G191" i="3"/>
  <c r="BA200" i="3"/>
  <c r="AZ200" i="3" s="1"/>
  <c r="BA202" i="3"/>
  <c r="BL207" i="3"/>
  <c r="BL18" i="3"/>
  <c r="G19" i="3"/>
  <c r="BL19" i="3"/>
  <c r="BA28" i="3"/>
  <c r="AZ28" i="3" s="1"/>
  <c r="BA31" i="3"/>
  <c r="BA32" i="3"/>
  <c r="G38" i="3"/>
  <c r="BL54" i="3"/>
  <c r="BL55" i="3"/>
  <c r="G57" i="3"/>
  <c r="G58" i="3"/>
  <c r="BA64" i="3"/>
  <c r="AZ64" i="3" s="1"/>
  <c r="BA69" i="3"/>
  <c r="AZ69" i="3" s="1"/>
  <c r="BA74" i="3"/>
  <c r="AZ74" i="3" s="1"/>
  <c r="BA75" i="3"/>
  <c r="AZ75" i="3" s="1"/>
  <c r="G85" i="3"/>
  <c r="BL85" i="3"/>
  <c r="G96" i="3"/>
  <c r="BL97" i="3"/>
  <c r="AZ97" i="3" s="1"/>
  <c r="BL101" i="3"/>
  <c r="BL102" i="3"/>
  <c r="G104" i="3"/>
  <c r="G105" i="3"/>
  <c r="BL106" i="3"/>
  <c r="F3" i="35"/>
  <c r="S25" i="40"/>
  <c r="O67" i="71"/>
  <c r="AB27" i="71"/>
  <c r="X26" i="71"/>
  <c r="Y29" i="71"/>
  <c r="Z29" i="71" s="1"/>
  <c r="E38" i="71"/>
  <c r="E39" i="71" s="1"/>
  <c r="E40" i="71" s="1"/>
  <c r="U40" i="71" s="1"/>
  <c r="B30" i="71"/>
  <c r="B31" i="71" s="1"/>
  <c r="B32" i="71" s="1"/>
  <c r="S32" i="71" s="1"/>
  <c r="AB37" i="71"/>
  <c r="F43" i="71"/>
  <c r="F44" i="71" s="1"/>
  <c r="V44" i="71" s="1"/>
  <c r="BA27" i="3"/>
  <c r="G30" i="3"/>
  <c r="BL30" i="3"/>
  <c r="BL31" i="3"/>
  <c r="G35" i="3"/>
  <c r="G36" i="3"/>
  <c r="BA48" i="3"/>
  <c r="AZ48" i="3" s="1"/>
  <c r="BA49" i="3"/>
  <c r="AZ49" i="3" s="1"/>
  <c r="BA51" i="3"/>
  <c r="G54" i="3"/>
  <c r="BL56" i="3"/>
  <c r="BA61" i="3"/>
  <c r="AZ61" i="3" s="1"/>
  <c r="BA68" i="3"/>
  <c r="BA73" i="3"/>
  <c r="BA80" i="3"/>
  <c r="G84" i="3"/>
  <c r="BL84" i="3"/>
  <c r="G99" i="3"/>
  <c r="U29" i="39"/>
  <c r="C29" i="39"/>
  <c r="C66" i="71"/>
  <c r="AB26" i="71"/>
  <c r="C75" i="71"/>
  <c r="X32" i="71"/>
  <c r="F38" i="71"/>
  <c r="F39" i="71" s="1"/>
  <c r="F40" i="71" s="1"/>
  <c r="V40" i="71" s="1"/>
  <c r="E23" i="71"/>
  <c r="E22" i="71" s="1"/>
  <c r="E21" i="71" s="1"/>
  <c r="E20" i="71" s="1"/>
  <c r="V20" i="71" s="1"/>
  <c r="BL81" i="3"/>
  <c r="BL83" i="3"/>
  <c r="BA90" i="3"/>
  <c r="BA111" i="3"/>
  <c r="AZ111" i="3" s="1"/>
  <c r="E35" i="71"/>
  <c r="E36" i="71" s="1"/>
  <c r="U36" i="71" s="1"/>
  <c r="AB36" i="71"/>
  <c r="B64" i="71"/>
  <c r="S64" i="71" s="1"/>
  <c r="F71" i="71"/>
  <c r="F70" i="71" s="1"/>
  <c r="F9" i="1"/>
  <c r="G9" i="1" s="1"/>
  <c r="F10" i="1"/>
  <c r="G10" i="1" s="1"/>
  <c r="F8" i="1"/>
  <c r="G8" i="1" s="1"/>
  <c r="H69" i="43"/>
  <c r="S23" i="33"/>
  <c r="AA23" i="33"/>
  <c r="C20" i="71"/>
  <c r="E19" i="71"/>
  <c r="E18" i="71" s="1"/>
  <c r="E17" i="71" s="1"/>
  <c r="E16" i="71" s="1"/>
  <c r="AB17" i="33"/>
  <c r="S29" i="21"/>
  <c r="AB44" i="34"/>
  <c r="S39" i="34"/>
  <c r="AZ382" i="3"/>
  <c r="AZ321" i="3"/>
  <c r="AZ343" i="3"/>
  <c r="AZ517"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52" i="3"/>
  <c r="AZ456" i="3"/>
  <c r="AZ467" i="3"/>
  <c r="AZ470" i="3"/>
  <c r="W35" i="39"/>
  <c r="F27" i="34"/>
  <c r="C21" i="39"/>
  <c r="U9" i="36"/>
  <c r="U14" i="37"/>
  <c r="H12" i="21"/>
  <c r="G526" i="3"/>
  <c r="AZ424" i="3"/>
  <c r="AZ434" i="3"/>
  <c r="AZ436" i="3"/>
  <c r="AZ438" i="3"/>
  <c r="AZ446" i="3"/>
  <c r="G28" i="6"/>
  <c r="E28" i="6" s="1"/>
  <c r="K14" i="1" s="1"/>
  <c r="U26" i="21"/>
  <c r="W36" i="39"/>
  <c r="U23" i="40"/>
  <c r="AA39" i="37"/>
  <c r="AC16" i="36"/>
  <c r="AB12" i="33"/>
  <c r="C27" i="39"/>
  <c r="U40" i="40"/>
  <c r="AC9" i="40"/>
  <c r="W36" i="35"/>
  <c r="J12" i="21"/>
  <c r="B73" i="43"/>
  <c r="B76" i="43"/>
  <c r="F9" i="36"/>
  <c r="J40" i="40"/>
  <c r="G562" i="3"/>
  <c r="AZ426" i="3"/>
  <c r="AZ463" i="3"/>
  <c r="AZ489" i="3"/>
  <c r="AZ385" i="3"/>
  <c r="AZ212" i="3"/>
  <c r="AZ231"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6" i="3"/>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AZ193" i="3"/>
  <c r="AZ87" i="3"/>
  <c r="BL202" i="3"/>
  <c r="AZ202" i="3" s="1"/>
  <c r="AZ30" i="3"/>
  <c r="BL36" i="3"/>
  <c r="AZ36" i="3" s="1"/>
  <c r="AZ40" i="3"/>
  <c r="AZ68" i="3"/>
  <c r="AZ104" i="3"/>
  <c r="AZ106" i="3"/>
  <c r="G200" i="3"/>
  <c r="G207" i="3"/>
  <c r="BA23" i="3"/>
  <c r="AZ23" i="3" s="1"/>
  <c r="BA24" i="3"/>
  <c r="AZ24" i="3" s="1"/>
  <c r="BL26" i="3"/>
  <c r="AZ26" i="3" s="1"/>
  <c r="BL32" i="3"/>
  <c r="AZ32" i="3" s="1"/>
  <c r="BA34" i="3"/>
  <c r="AZ34" i="3" s="1"/>
  <c r="BA35" i="3"/>
  <c r="BL37" i="3"/>
  <c r="AZ37" i="3" s="1"/>
  <c r="BL42" i="3"/>
  <c r="AZ42" i="3" s="1"/>
  <c r="BA44" i="3"/>
  <c r="AZ44" i="3" s="1"/>
  <c r="AZ46" i="3"/>
  <c r="AZ56" i="3"/>
  <c r="AZ60" i="3"/>
  <c r="BA206" i="3"/>
  <c r="AZ206" i="3" s="1"/>
  <c r="BL22" i="3"/>
  <c r="AZ22" i="3" s="1"/>
  <c r="BL33" i="3"/>
  <c r="AZ33" i="3" s="1"/>
  <c r="BL43" i="3"/>
  <c r="AZ43" i="3" s="1"/>
  <c r="BL46" i="3"/>
  <c r="AZ90" i="3"/>
  <c r="BL78" i="3"/>
  <c r="AZ78" i="3" s="1"/>
  <c r="BA83" i="3"/>
  <c r="G91" i="3"/>
  <c r="BL95" i="3"/>
  <c r="BL98" i="3"/>
  <c r="AZ98" i="3" s="1"/>
  <c r="BL109" i="3"/>
  <c r="AZ109" i="3" s="1"/>
  <c r="AB21" i="21"/>
  <c r="G77" i="3"/>
  <c r="G5" i="3" s="1"/>
  <c r="B3" i="3" s="1"/>
  <c r="BA81" i="3"/>
  <c r="AZ81" i="3" s="1"/>
  <c r="BA85" i="3"/>
  <c r="AZ85" i="3" s="1"/>
  <c r="BL89" i="3"/>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E26" i="43"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J53" i="67"/>
  <c r="J57" i="67"/>
  <c r="J55" i="67" s="1"/>
  <c r="J58" i="67" s="1"/>
  <c r="Q50" i="67" s="1"/>
  <c r="L56" i="67"/>
  <c r="I54" i="67"/>
  <c r="M7" i="15"/>
  <c r="J6" i="15" s="1"/>
  <c r="F50" i="15"/>
  <c r="F51" i="15"/>
  <c r="F71" i="15"/>
  <c r="C6" i="15"/>
  <c r="L59" i="15"/>
  <c r="N59" i="15"/>
  <c r="L58" i="15"/>
  <c r="M59" i="15"/>
  <c r="F66" i="15"/>
  <c r="F64" i="15"/>
  <c r="C27" i="67"/>
  <c r="C27" i="15"/>
  <c r="F65" i="15"/>
  <c r="B13" i="70"/>
  <c r="F68" i="67"/>
  <c r="F68" i="15"/>
  <c r="C36" i="68"/>
  <c r="D9" i="69"/>
  <c r="C36" i="69"/>
  <c r="D9" i="68"/>
  <c r="F38" i="67"/>
  <c r="F43" i="67"/>
  <c r="F7" i="67"/>
  <c r="M22" i="67"/>
  <c r="D5" i="73"/>
  <c r="L47" i="67"/>
  <c r="C16" i="15"/>
  <c r="F42" i="67"/>
  <c r="D4" i="73"/>
  <c r="M26" i="67"/>
  <c r="J15" i="67"/>
  <c r="C76" i="67"/>
  <c r="F6" i="67"/>
  <c r="D3" i="73"/>
  <c r="M6" i="67"/>
  <c r="M9" i="67"/>
  <c r="F9" i="67"/>
  <c r="D7" i="73"/>
  <c r="F13" i="67"/>
  <c r="F37" i="67"/>
  <c r="M29" i="67"/>
  <c r="F36" i="67"/>
  <c r="W45" i="34" l="1"/>
  <c r="AC45" i="34"/>
  <c r="S45" i="34"/>
  <c r="AA45" i="34"/>
  <c r="W13" i="34"/>
  <c r="AC13" i="34"/>
  <c r="AA13" i="34"/>
  <c r="S13" i="34"/>
  <c r="E12" i="6"/>
  <c r="E57" i="40" s="1"/>
  <c r="E10" i="6"/>
  <c r="H16" i="1"/>
  <c r="E11" i="6"/>
  <c r="E60" i="39" s="1"/>
  <c r="E15" i="6"/>
  <c r="E64" i="39" s="1"/>
  <c r="E14" i="6"/>
  <c r="Q16" i="1"/>
  <c r="F27" i="69" s="1"/>
  <c r="C47" i="69" s="1"/>
  <c r="D45" i="69" s="1"/>
  <c r="G26" i="43"/>
  <c r="N94" i="46"/>
  <c r="J26" i="43"/>
  <c r="N370" i="46"/>
  <c r="F26" i="43"/>
  <c r="D26" i="43" s="1"/>
  <c r="C25" i="43" s="1"/>
  <c r="H26" i="43"/>
  <c r="Q71" i="67"/>
  <c r="F71" i="67"/>
  <c r="N59" i="67"/>
  <c r="L59" i="67"/>
  <c r="Q74" i="67" s="1"/>
  <c r="L58" i="67"/>
  <c r="Q60" i="67" s="1"/>
  <c r="M59" i="67"/>
  <c r="F65" i="67"/>
  <c r="F66" i="67"/>
  <c r="F64" i="67"/>
  <c r="M7" i="67"/>
  <c r="J6" i="67" s="1"/>
  <c r="J18" i="67" s="1"/>
  <c r="F50" i="67"/>
  <c r="C49" i="67" s="1"/>
  <c r="C6" i="67"/>
  <c r="C32" i="67" s="1"/>
  <c r="F31" i="67"/>
  <c r="E29" i="6"/>
  <c r="K15" i="1" s="1"/>
  <c r="K16" i="1" s="1"/>
  <c r="G30" i="6"/>
  <c r="G31" i="6" s="1"/>
  <c r="AZ138" i="3"/>
  <c r="AZ31" i="3"/>
  <c r="AZ169" i="3"/>
  <c r="AZ205" i="3"/>
  <c r="AZ101" i="3"/>
  <c r="C40" i="71"/>
  <c r="D39" i="71"/>
  <c r="AZ173" i="3"/>
  <c r="AZ55" i="3"/>
  <c r="AZ218" i="3"/>
  <c r="AZ243" i="3"/>
  <c r="AZ182" i="3"/>
  <c r="AZ122" i="3"/>
  <c r="AZ251" i="3"/>
  <c r="AZ210" i="3"/>
  <c r="AZ417" i="3"/>
  <c r="AZ245" i="3"/>
  <c r="AZ353" i="3"/>
  <c r="AZ466" i="3"/>
  <c r="AZ440" i="3"/>
  <c r="AZ405" i="3"/>
  <c r="AA29" i="34"/>
  <c r="S29" i="34"/>
  <c r="AB30" i="21"/>
  <c r="U30" i="21"/>
  <c r="S38" i="37"/>
  <c r="AA38" i="37"/>
  <c r="AB32" i="36"/>
  <c r="U32" i="36"/>
  <c r="U29" i="33"/>
  <c r="AB29" i="33"/>
  <c r="AZ582" i="3"/>
  <c r="W43" i="39"/>
  <c r="AC43" i="39"/>
  <c r="T60" i="71"/>
  <c r="D60" i="71"/>
  <c r="D83" i="71"/>
  <c r="C82" i="71"/>
  <c r="D82" i="71" s="1"/>
  <c r="AZ256" i="3"/>
  <c r="AA44" i="39"/>
  <c r="S44" i="39"/>
  <c r="S30" i="21"/>
  <c r="AA30" i="21"/>
  <c r="J7" i="36"/>
  <c r="AZ51" i="3"/>
  <c r="C56" i="71"/>
  <c r="D55" i="71"/>
  <c r="AZ19" i="3"/>
  <c r="AZ62" i="3"/>
  <c r="AZ297" i="3"/>
  <c r="AZ190" i="3"/>
  <c r="AZ84" i="3"/>
  <c r="AZ50" i="3"/>
  <c r="AZ484" i="3"/>
  <c r="AZ418" i="3"/>
  <c r="AZ460" i="3"/>
  <c r="AZ403" i="3"/>
  <c r="AZ586" i="3"/>
  <c r="AB39" i="40"/>
  <c r="U39" i="40"/>
  <c r="AC24" i="35"/>
  <c r="W24" i="35"/>
  <c r="U39" i="37"/>
  <c r="AB39" i="37"/>
  <c r="AB44" i="39"/>
  <c r="U44" i="39"/>
  <c r="AZ530" i="3"/>
  <c r="AZ583" i="3"/>
  <c r="AZ493" i="3"/>
  <c r="AZ548" i="3"/>
  <c r="D79" i="71"/>
  <c r="C78" i="71"/>
  <c r="D78" i="71" s="1"/>
  <c r="AZ404" i="3"/>
  <c r="AA24" i="35"/>
  <c r="S24" i="35"/>
  <c r="S32" i="36"/>
  <c r="AA32" i="36"/>
  <c r="AZ83" i="3"/>
  <c r="AZ35" i="3"/>
  <c r="AZ117" i="3"/>
  <c r="AZ475" i="3"/>
  <c r="AZ234" i="3"/>
  <c r="C36" i="71"/>
  <c r="D35" i="71"/>
  <c r="AZ41" i="3"/>
  <c r="AZ5" i="3" s="1"/>
  <c r="C70" i="71"/>
  <c r="D70" i="71" s="1"/>
  <c r="D71" i="71"/>
  <c r="AZ229" i="3"/>
  <c r="AZ397" i="3"/>
  <c r="AZ241" i="3"/>
  <c r="AZ435" i="3"/>
  <c r="AZ408" i="3"/>
  <c r="AZ291" i="3"/>
  <c r="AZ483" i="3"/>
  <c r="AZ459" i="3"/>
  <c r="AZ401" i="3"/>
  <c r="AZ286" i="3"/>
  <c r="W12" i="34"/>
  <c r="AC12" i="34"/>
  <c r="W39" i="40"/>
  <c r="AC39" i="40"/>
  <c r="AC39" i="37"/>
  <c r="W39" i="37"/>
  <c r="AB12" i="36"/>
  <c r="U12" i="36"/>
  <c r="AC35" i="35"/>
  <c r="W35" i="35"/>
  <c r="D75" i="71"/>
  <c r="C74" i="71"/>
  <c r="D74" i="71" s="1"/>
  <c r="C44" i="71"/>
  <c r="D43" i="71"/>
  <c r="AZ239" i="3"/>
  <c r="AZ422" i="3"/>
  <c r="AB24" i="36"/>
  <c r="U24" i="36"/>
  <c r="AA46" i="21"/>
  <c r="S46" i="21"/>
  <c r="AA23" i="36"/>
  <c r="S23" i="36"/>
  <c r="AA12" i="36"/>
  <c r="S12" i="36"/>
  <c r="AA11" i="36"/>
  <c r="S11" i="36"/>
  <c r="U12" i="35"/>
  <c r="AB12" i="35"/>
  <c r="AC44" i="21"/>
  <c r="W44" i="21"/>
  <c r="AZ274" i="3"/>
  <c r="AZ214" i="3"/>
  <c r="AZ414" i="3"/>
  <c r="AZ277" i="3"/>
  <c r="AZ473" i="3"/>
  <c r="AC24" i="36"/>
  <c r="W24" i="36"/>
  <c r="S45" i="39"/>
  <c r="AA45" i="39"/>
  <c r="AB23" i="36"/>
  <c r="U23" i="36"/>
  <c r="AZ511" i="3"/>
  <c r="AC12" i="36"/>
  <c r="W12" i="36"/>
  <c r="AB9" i="33"/>
  <c r="U9" i="33"/>
  <c r="AA14" i="37"/>
  <c r="S14" i="37"/>
  <c r="S44" i="33"/>
  <c r="AA44" i="33"/>
  <c r="W14" i="40"/>
  <c r="AC14" i="40"/>
  <c r="P6" i="1"/>
  <c r="C13" i="12" s="1"/>
  <c r="AZ89" i="3"/>
  <c r="G16" i="1"/>
  <c r="F10" i="39" s="1"/>
  <c r="S10" i="39" s="1"/>
  <c r="O65" i="71"/>
  <c r="O66" i="71"/>
  <c r="D66" i="71"/>
  <c r="N65" i="71"/>
  <c r="N66" i="71"/>
  <c r="AZ77" i="3"/>
  <c r="AZ429" i="3"/>
  <c r="AA23" i="35"/>
  <c r="S23" i="35"/>
  <c r="U45" i="39"/>
  <c r="AB45" i="39"/>
  <c r="AC9" i="33"/>
  <c r="W9" i="33"/>
  <c r="AB14" i="34"/>
  <c r="U14" i="34"/>
  <c r="U43" i="39"/>
  <c r="AB43" i="39"/>
  <c r="AC44" i="33"/>
  <c r="W44" i="33"/>
  <c r="AB14" i="40"/>
  <c r="U14" i="40"/>
  <c r="AZ174" i="3"/>
  <c r="AZ59" i="3"/>
  <c r="D28" i="71"/>
  <c r="U28" i="71" s="1"/>
  <c r="T28" i="71"/>
  <c r="C27" i="71"/>
  <c r="AZ65" i="3"/>
  <c r="AZ201" i="3"/>
  <c r="AZ71" i="3"/>
  <c r="D31" i="71"/>
  <c r="C32" i="71"/>
  <c r="AZ47" i="3"/>
  <c r="AZ157" i="3"/>
  <c r="AZ273" i="3"/>
  <c r="AZ454" i="3"/>
  <c r="AZ425" i="3"/>
  <c r="AZ428" i="3"/>
  <c r="AZ441" i="3"/>
  <c r="AC23" i="35"/>
  <c r="W23" i="35"/>
  <c r="AB29" i="34"/>
  <c r="U29" i="34"/>
  <c r="AC28" i="37"/>
  <c r="W28" i="37"/>
  <c r="AC30" i="21"/>
  <c r="W30" i="21"/>
  <c r="AB38" i="37"/>
  <c r="U38" i="37"/>
  <c r="S14" i="34"/>
  <c r="AA14" i="34"/>
  <c r="AA43" i="39"/>
  <c r="S43" i="39"/>
  <c r="AB44" i="33"/>
  <c r="U44" i="33"/>
  <c r="AA14" i="40"/>
  <c r="S14" i="40"/>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58" i="40"/>
  <c r="E62" i="39"/>
  <c r="M14" i="1"/>
  <c r="D5" i="43"/>
  <c r="C7" i="43"/>
  <c r="C5" i="43" s="1"/>
  <c r="D10" i="52"/>
  <c r="D125" i="9"/>
  <c r="D11" i="52" s="1"/>
  <c r="B7" i="74"/>
  <c r="C7" i="74" s="1"/>
  <c r="F67" i="39"/>
  <c r="H7" i="37"/>
  <c r="AB7" i="37" s="1"/>
  <c r="T42" i="37" s="1"/>
  <c r="G42" i="37" s="1"/>
  <c r="H7" i="33"/>
  <c r="J7" i="33"/>
  <c r="D65" i="40"/>
  <c r="E63" i="40"/>
  <c r="F48" i="35"/>
  <c r="S7" i="36"/>
  <c r="F7" i="33"/>
  <c r="E58" i="21"/>
  <c r="AC7" i="36"/>
  <c r="W7" i="36"/>
  <c r="F7" i="37"/>
  <c r="M17" i="15"/>
  <c r="F59" i="15"/>
  <c r="P28" i="43"/>
  <c r="B66" i="40" s="1"/>
  <c r="P25" i="43"/>
  <c r="P29" i="43"/>
  <c r="P27" i="43"/>
  <c r="B70" i="39" s="1"/>
  <c r="C49" i="15"/>
  <c r="J18" i="15"/>
  <c r="M11" i="67"/>
  <c r="F11" i="15"/>
  <c r="M11" i="15"/>
  <c r="J10" i="15" s="1"/>
  <c r="J5" i="15" s="1"/>
  <c r="J24" i="15" s="1"/>
  <c r="F11" i="67"/>
  <c r="F1" i="15"/>
  <c r="Q52" i="15"/>
  <c r="C32" i="15"/>
  <c r="F1" i="67"/>
  <c r="Q52" i="67"/>
  <c r="Q60" i="15"/>
  <c r="Q73" i="15"/>
  <c r="Q74" i="15"/>
  <c r="Q61" i="15"/>
  <c r="AE11" i="1"/>
  <c r="AE9" i="1"/>
  <c r="F27" i="68"/>
  <c r="AE7" i="1"/>
  <c r="AE8" i="1"/>
  <c r="AE12" i="1"/>
  <c r="AE10" i="1"/>
  <c r="AE6" i="1"/>
  <c r="C16" i="67"/>
  <c r="F41" i="67"/>
  <c r="G1" i="73"/>
  <c r="T49" i="34" l="1"/>
  <c r="G49" i="34" s="1"/>
  <c r="J10" i="67"/>
  <c r="J5" i="67" s="1"/>
  <c r="J24" i="67" s="1"/>
  <c r="C29" i="69"/>
  <c r="D27" i="69" s="1"/>
  <c r="F45" i="69"/>
  <c r="Q61" i="67"/>
  <c r="E16" i="6"/>
  <c r="J10" i="40"/>
  <c r="AC10" i="40" s="1"/>
  <c r="AC6" i="3"/>
  <c r="E6" i="3" s="1"/>
  <c r="H10" i="39"/>
  <c r="U10" i="39" s="1"/>
  <c r="AA10" i="39"/>
  <c r="H10" i="40"/>
  <c r="AB10" i="40" s="1"/>
  <c r="J10" i="39"/>
  <c r="W10" i="39" s="1"/>
  <c r="F10" i="40"/>
  <c r="S10" i="40" s="1"/>
  <c r="E63" i="39"/>
  <c r="E65" i="39" s="1"/>
  <c r="E59" i="40"/>
  <c r="F59" i="67"/>
  <c r="M17" i="67"/>
  <c r="W7" i="37"/>
  <c r="Q73" i="67"/>
  <c r="AY6" i="3"/>
  <c r="AY34" i="3" s="1"/>
  <c r="E3" i="6"/>
  <c r="D14" i="12" s="1"/>
  <c r="T32" i="71"/>
  <c r="D32" i="71"/>
  <c r="V36" i="36"/>
  <c r="I36" i="36" s="1"/>
  <c r="D44" i="71"/>
  <c r="T44" i="71"/>
  <c r="D56" i="71"/>
  <c r="T56" i="71"/>
  <c r="T40" i="71"/>
  <c r="D40" i="71"/>
  <c r="U7" i="36"/>
  <c r="D36" i="71"/>
  <c r="T36" i="71"/>
  <c r="C26" i="71"/>
  <c r="D26" i="71" s="1"/>
  <c r="D27"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66" i="3"/>
  <c r="AY23" i="3"/>
  <c r="AY115" i="3"/>
  <c r="AY59" i="3"/>
  <c r="AY276" i="3"/>
  <c r="AY58" i="3"/>
  <c r="AY225" i="3"/>
  <c r="AY371" i="3"/>
  <c r="AY50" i="3"/>
  <c r="AY160" i="3"/>
  <c r="AY139" i="3"/>
  <c r="AY261" i="3"/>
  <c r="AY284" i="3"/>
  <c r="AY252" i="3"/>
  <c r="AY473" i="3"/>
  <c r="AY460" i="3"/>
  <c r="AY428" i="3"/>
  <c r="AY26" i="3"/>
  <c r="AY300" i="3"/>
  <c r="AY245" i="3"/>
  <c r="AY372" i="3"/>
  <c r="AY327" i="3"/>
  <c r="AY342" i="3"/>
  <c r="AY420" i="3"/>
  <c r="AY401" i="3"/>
  <c r="AY513" i="3"/>
  <c r="AY533" i="3"/>
  <c r="BE6" i="3"/>
  <c r="AY553" i="3"/>
  <c r="AY61" i="3"/>
  <c r="AY76" i="3"/>
  <c r="AY60" i="3"/>
  <c r="AY190" i="3"/>
  <c r="AY185" i="3"/>
  <c r="AY170" i="3"/>
  <c r="AY133" i="3"/>
  <c r="AY125" i="3"/>
  <c r="AY299" i="3"/>
  <c r="AY247" i="3"/>
  <c r="AY262" i="3"/>
  <c r="AY246" i="3"/>
  <c r="AY397" i="3"/>
  <c r="AY374" i="3"/>
  <c r="AY357" i="3"/>
  <c r="AY109" i="3"/>
  <c r="AY73" i="3"/>
  <c r="AY41" i="3"/>
  <c r="AY166" i="3"/>
  <c r="AY145" i="3"/>
  <c r="AY114" i="3"/>
  <c r="AY242" i="3"/>
  <c r="AY388" i="3"/>
  <c r="AY377" i="3"/>
  <c r="AY348" i="3"/>
  <c r="AY316" i="3"/>
  <c r="AY491" i="3"/>
  <c r="AY462" i="3"/>
  <c r="AY430" i="3"/>
  <c r="AY414" i="3"/>
  <c r="BQ6" i="3"/>
  <c r="AY585" i="3"/>
  <c r="AY561" i="3"/>
  <c r="AY495" i="3"/>
  <c r="BG6" i="3"/>
  <c r="AY16" i="3"/>
  <c r="AY90" i="3"/>
  <c r="AY75" i="3"/>
  <c r="AY237" i="3"/>
  <c r="AY425" i="3"/>
  <c r="AY199" i="3"/>
  <c r="AY269" i="3"/>
  <c r="AY481" i="3"/>
  <c r="AY404" i="3"/>
  <c r="AY535" i="3"/>
  <c r="AY89" i="3"/>
  <c r="AY53" i="3"/>
  <c r="AY68" i="3"/>
  <c r="AY146" i="3"/>
  <c r="AY126" i="3"/>
  <c r="AY117" i="3"/>
  <c r="AY222" i="3"/>
  <c r="AY389" i="3"/>
  <c r="AY365" i="3"/>
  <c r="AY40" i="3"/>
  <c r="AY150" i="3"/>
  <c r="AY130" i="3"/>
  <c r="AY356" i="3"/>
  <c r="AY340" i="3"/>
  <c r="AY308" i="3"/>
  <c r="AY435" i="3"/>
  <c r="AY525" i="3"/>
  <c r="AY516" i="3"/>
  <c r="AY508" i="3"/>
  <c r="AY556" i="3"/>
  <c r="AY496" i="3"/>
  <c r="AY49" i="3"/>
  <c r="AY191" i="3"/>
  <c r="AY132" i="3"/>
  <c r="AY350" i="3"/>
  <c r="AY455" i="3"/>
  <c r="AY412" i="3"/>
  <c r="AY212" i="3"/>
  <c r="AY343" i="3"/>
  <c r="AY326" i="3"/>
  <c r="AY573" i="3"/>
  <c r="AY539" i="3"/>
  <c r="AY105" i="3"/>
  <c r="AY20" i="3"/>
  <c r="AY193" i="3"/>
  <c r="AY162" i="3"/>
  <c r="AY286" i="3"/>
  <c r="AY270" i="3"/>
  <c r="AY238" i="3"/>
  <c r="AY507" i="3"/>
  <c r="AY88" i="3"/>
  <c r="AY72" i="3"/>
  <c r="AY275" i="3"/>
  <c r="AY215" i="3"/>
  <c r="AY370" i="3"/>
  <c r="AY480" i="3"/>
  <c r="AY438" i="3"/>
  <c r="AY406" i="3"/>
  <c r="AY536" i="3"/>
  <c r="AY552" i="3"/>
  <c r="AY543" i="3"/>
  <c r="AY519" i="3"/>
  <c r="AY96" i="3"/>
  <c r="AY65" i="3"/>
  <c r="AY189" i="3"/>
  <c r="AY169" i="3"/>
  <c r="AY137" i="3"/>
  <c r="AY266" i="3"/>
  <c r="AY223" i="3"/>
  <c r="AY380" i="3"/>
  <c r="AY313" i="3"/>
  <c r="AY328" i="3"/>
  <c r="AY312" i="3"/>
  <c r="AY453" i="3"/>
  <c r="AY442" i="3"/>
  <c r="AY426" i="3"/>
  <c r="AY579" i="3"/>
  <c r="AY499" i="3"/>
  <c r="AY14" i="3"/>
  <c r="AY509" i="3"/>
  <c r="BR6" i="3"/>
  <c r="AY570" i="3"/>
  <c r="AY94" i="3"/>
  <c r="AY78" i="3"/>
  <c r="AY46" i="3"/>
  <c r="AY167" i="3"/>
  <c r="AY127" i="3"/>
  <c r="AY285" i="3"/>
  <c r="AY221" i="3"/>
  <c r="AY376" i="3"/>
  <c r="AY362" i="3"/>
  <c r="AY466" i="3"/>
  <c r="AY424" i="3"/>
  <c r="AY437" i="3"/>
  <c r="AY512" i="3"/>
  <c r="AY587" i="3"/>
  <c r="AY91" i="3"/>
  <c r="AY27" i="3"/>
  <c r="AY179" i="3"/>
  <c r="AY148" i="3"/>
  <c r="AY273" i="3"/>
  <c r="AY256" i="3"/>
  <c r="AY224" i="3"/>
  <c r="AY323" i="3"/>
  <c r="AY306" i="3"/>
  <c r="AY490" i="3"/>
  <c r="AY550" i="3"/>
  <c r="BC6" i="3"/>
  <c r="AY511" i="3"/>
  <c r="AY205" i="3"/>
  <c r="AY122" i="3"/>
  <c r="AY298" i="3"/>
  <c r="AY321" i="3"/>
  <c r="AY304" i="3"/>
  <c r="AY492" i="3"/>
  <c r="AY399" i="3"/>
  <c r="AY564" i="3"/>
  <c r="AY575" i="3"/>
  <c r="AY110" i="3"/>
  <c r="AY30" i="3"/>
  <c r="AY203" i="3"/>
  <c r="AY216" i="3"/>
  <c r="AY347" i="3"/>
  <c r="AY330" i="3"/>
  <c r="AY528" i="3"/>
  <c r="AY102" i="3"/>
  <c r="AY39" i="3"/>
  <c r="AY288" i="3"/>
  <c r="AY208" i="3"/>
  <c r="AY375" i="3"/>
  <c r="AY413" i="3"/>
  <c r="AY583" i="3"/>
  <c r="AY567" i="3"/>
  <c r="AY113" i="3"/>
  <c r="AY250" i="3"/>
  <c r="AY396" i="3"/>
  <c r="AY479" i="3"/>
  <c r="AY445" i="3"/>
  <c r="AY434" i="3"/>
  <c r="AY522" i="3"/>
  <c r="AY551" i="3"/>
  <c r="AY545" i="3"/>
  <c r="AY19" i="3"/>
  <c r="AY151" i="3"/>
  <c r="AY301" i="3"/>
  <c r="AY315" i="3"/>
  <c r="AY451" i="3"/>
  <c r="AY408" i="3"/>
  <c r="AY71" i="3"/>
  <c r="AY200" i="3"/>
  <c r="AY164" i="3"/>
  <c r="AY386" i="3"/>
  <c r="AY307" i="3"/>
  <c r="AY477" i="3"/>
  <c r="BT6" i="3"/>
  <c r="E6" i="6"/>
  <c r="L18" i="9"/>
  <c r="D3" i="33"/>
  <c r="C39" i="43"/>
  <c r="C42" i="43"/>
  <c r="E42" i="43" s="1"/>
  <c r="C38" i="43"/>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15"/>
  <c r="M27" i="67"/>
  <c r="F41" i="15"/>
  <c r="R50" i="34" l="1"/>
  <c r="W10" i="40"/>
  <c r="G54" i="34"/>
  <c r="H54" i="34" s="1"/>
  <c r="AB10" i="39"/>
  <c r="AC10" i="39"/>
  <c r="AA10" i="40"/>
  <c r="AY566" i="3"/>
  <c r="AY240" i="3"/>
  <c r="AY107" i="3"/>
  <c r="AY359" i="3"/>
  <c r="AY62" i="3"/>
  <c r="AY538" i="3"/>
  <c r="AY320" i="3"/>
  <c r="AY153" i="3"/>
  <c r="AY432" i="3"/>
  <c r="AY136" i="3"/>
  <c r="AY13" i="3"/>
  <c r="AY233" i="3"/>
  <c r="AY563" i="3"/>
  <c r="AY431" i="3"/>
  <c r="AY352" i="3"/>
  <c r="AY32" i="3"/>
  <c r="AY429" i="3"/>
  <c r="AY354" i="3"/>
  <c r="AY277" i="3"/>
  <c r="AY38" i="3"/>
  <c r="AY560" i="3"/>
  <c r="AY469" i="3"/>
  <c r="AY232" i="3"/>
  <c r="AY156" i="3"/>
  <c r="AY99" i="3"/>
  <c r="AY565" i="3"/>
  <c r="AY4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521"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Y83" i="3"/>
  <c r="AY400" i="3"/>
  <c r="AY293" i="3"/>
  <c r="AY547" i="3"/>
  <c r="AY248" i="3"/>
  <c r="AY493" i="3"/>
  <c r="AY415" i="3"/>
  <c r="AY337" i="3"/>
  <c r="AY21" i="3"/>
  <c r="AY322" i="3"/>
  <c r="AY195" i="3"/>
  <c r="AY440" i="3"/>
  <c r="AY120" i="3"/>
  <c r="AY530" i="3"/>
  <c r="AY450" i="3"/>
  <c r="AY218" i="3"/>
  <c r="AY586" i="3"/>
  <c r="AY448" i="3"/>
  <c r="AY391" i="3"/>
  <c r="AY128" i="3"/>
  <c r="AY55" i="3"/>
  <c r="AY558" i="3"/>
  <c r="AY346" i="3"/>
  <c r="AY249" i="3"/>
  <c r="AY192" i="3"/>
  <c r="AY578" i="3"/>
  <c r="AY524" i="3"/>
  <c r="AY439" i="3"/>
  <c r="AY471" i="3"/>
  <c r="AY364" i="3"/>
  <c r="AY287" i="3"/>
  <c r="AY48" i="3"/>
  <c r="AY494" i="3"/>
  <c r="AY503" i="3"/>
  <c r="AY309" i="3"/>
  <c r="AY181" i="3"/>
  <c r="AY384" i="3"/>
  <c r="AY141" i="3"/>
  <c r="AY69" i="3"/>
  <c r="AY436" i="3"/>
  <c r="AY43" i="3"/>
  <c r="AY292" i="3"/>
  <c r="AY523" i="3"/>
  <c r="AY527" i="3"/>
  <c r="AY464" i="3"/>
  <c r="AY243" i="3"/>
  <c r="BI6" i="3"/>
  <c r="AY271" i="3"/>
  <c r="AY25" i="3"/>
  <c r="AY574" i="3"/>
  <c r="AY390" i="3"/>
  <c r="AY334" i="3"/>
  <c r="AY98" i="3"/>
  <c r="BF6" i="3"/>
  <c r="AY427" i="3"/>
  <c r="AY488" i="3"/>
  <c r="AY349" i="3"/>
  <c r="AY290" i="3"/>
  <c r="AY24" i="3"/>
  <c r="AY554" i="3"/>
  <c r="AY214" i="3"/>
  <c r="AY294" i="3"/>
  <c r="AY138" i="3"/>
  <c r="AY28" i="3"/>
  <c r="AY108" i="3"/>
  <c r="BK6" i="3"/>
  <c r="AY465" i="3"/>
  <c r="AY228" i="3"/>
  <c r="AY409" i="3"/>
  <c r="AY363" i="3"/>
  <c r="AY74" i="3"/>
  <c r="AY303" i="3"/>
  <c r="AY253" i="3"/>
  <c r="AY152" i="3"/>
  <c r="AY144" i="3"/>
  <c r="AY87" i="3"/>
  <c r="AY443" i="3"/>
  <c r="AY143"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AY410" i="3"/>
  <c r="AY487"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AY176" i="3"/>
  <c r="AY366" i="3"/>
  <c r="AY168" i="3"/>
  <c r="AY42" i="3"/>
  <c r="AY207" i="3"/>
  <c r="AY351" i="3"/>
  <c r="AY54" i="3"/>
  <c r="AY485" i="3"/>
  <c r="AY172" i="3"/>
  <c r="AY515" i="3"/>
  <c r="AY476" i="3"/>
  <c r="AY267" i="3"/>
  <c r="AY15" i="3"/>
  <c r="AY272" i="3"/>
  <c r="AY576" i="3"/>
  <c r="AY383" i="3"/>
  <c r="AY47" i="3"/>
  <c r="AY17" i="3"/>
  <c r="AY336" i="3"/>
  <c r="AY142" i="3"/>
  <c r="BD6" i="3"/>
  <c r="AY338" i="3"/>
  <c r="AY241" i="3"/>
  <c r="AY184" i="3"/>
  <c r="BL6" i="3"/>
  <c r="AY456" i="3"/>
  <c r="AY378" i="3"/>
  <c r="AY135" i="3"/>
  <c r="AY63" i="3"/>
  <c r="AY542" i="3"/>
  <c r="AY506"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D3" i="37"/>
  <c r="D37" i="11"/>
  <c r="C17" i="4"/>
  <c r="B4" i="52" s="1"/>
  <c r="B43" i="72" s="1"/>
  <c r="D3" i="21"/>
  <c r="D19" i="11"/>
  <c r="C19" i="11" s="1"/>
  <c r="D3" i="34"/>
  <c r="M18" i="9"/>
  <c r="B118" i="9" s="1"/>
  <c r="B1" i="74" s="1"/>
  <c r="F24" i="15"/>
  <c r="C24" i="15" s="1"/>
  <c r="F22" i="11"/>
  <c r="C26" i="11" s="1"/>
  <c r="D22" i="11" s="1"/>
  <c r="F22" i="69"/>
  <c r="F41" i="69" s="1"/>
  <c r="F25" i="12"/>
  <c r="C26" i="12" s="1"/>
  <c r="D25" i="12" s="1"/>
  <c r="F22" i="68"/>
  <c r="C26" i="68" s="1"/>
  <c r="D22" i="68" s="1"/>
  <c r="F24" i="67"/>
  <c r="C24" i="67" s="1"/>
  <c r="D116" i="43"/>
  <c r="E49" i="34"/>
  <c r="I54" i="34" s="1"/>
  <c r="J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E53" i="34" l="1"/>
  <c r="F53" i="34" s="1"/>
  <c r="E54" i="34"/>
  <c r="F54" i="34" s="1"/>
  <c r="C24" i="11"/>
  <c r="C25" i="11"/>
  <c r="C26" i="69"/>
  <c r="D22" i="69" s="1"/>
  <c r="H22" i="6"/>
  <c r="C44" i="69"/>
  <c r="D41" i="69" s="1"/>
  <c r="C44" i="11"/>
  <c r="D41" i="11" s="1"/>
  <c r="C44" i="68"/>
  <c r="D41" i="68" s="1"/>
  <c r="C23" i="11"/>
  <c r="F41" i="68"/>
  <c r="C23" i="68"/>
  <c r="C16" i="71"/>
  <c r="D17" i="7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E2" i="70"/>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L51" i="15"/>
  <c r="D2" i="37"/>
  <c r="D2" i="36"/>
  <c r="D2" i="3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8" i="1"/>
  <c r="AO9" i="1"/>
  <c r="AO12" i="1"/>
  <c r="AO6" i="1"/>
  <c r="AO11" i="1"/>
  <c r="AO10" i="1"/>
  <c r="AO7" i="1"/>
  <c r="C102" i="9" l="1"/>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R24" i="31"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44" i="31"/>
  <c r="S44" i="31" s="1"/>
  <c r="R45" i="31"/>
  <c r="S45" i="31" s="1"/>
  <c r="R46" i="31"/>
  <c r="S46" i="31" s="1"/>
  <c r="R47" i="31"/>
  <c r="S47" i="31" s="1"/>
  <c r="R48" i="31"/>
  <c r="S48" i="31" s="1"/>
  <c r="R49" i="31"/>
  <c r="S49" i="31" s="1"/>
  <c r="S24" i="31"/>
  <c r="R50" i="31"/>
  <c r="S50" i="31" s="1"/>
  <c r="R51" i="31"/>
  <c r="S51" i="31" s="1"/>
  <c r="R40" i="31"/>
  <c r="S40" i="31" s="1"/>
  <c r="R36" i="31"/>
  <c r="S36" i="31" s="1"/>
  <c r="R31" i="31"/>
  <c r="S31" i="31" s="1"/>
  <c r="R32" i="31"/>
  <c r="S32" i="31" s="1"/>
  <c r="R28" i="31"/>
  <c r="S28" i="31" s="1"/>
  <c r="R41" i="31"/>
  <c r="S41" i="31" s="1"/>
  <c r="R52" i="31"/>
  <c r="S52" i="31" s="1"/>
  <c r="R43" i="31"/>
  <c r="S43" i="31" s="1"/>
  <c r="R33" i="31"/>
  <c r="S33" i="31" s="1"/>
  <c r="R38" i="31"/>
  <c r="S38" i="31" s="1"/>
  <c r="R35" i="31"/>
  <c r="S35" i="31" s="1"/>
  <c r="R25" i="31"/>
  <c r="S25" i="31" s="1"/>
  <c r="R30" i="31"/>
  <c r="S30" i="31" s="1"/>
  <c r="R27" i="31"/>
  <c r="S27" i="31" s="1"/>
  <c r="R34" i="31"/>
  <c r="S34" i="31" s="1"/>
  <c r="R39" i="31"/>
  <c r="S39" i="31" s="1"/>
  <c r="R42" i="31"/>
  <c r="S42" i="31" s="1"/>
  <c r="R37" i="31"/>
  <c r="S37" i="31" s="1"/>
  <c r="R29" i="31"/>
  <c r="S29" i="31" s="1"/>
  <c r="R26" i="31"/>
  <c r="S26" i="31" s="1"/>
  <c r="D6" i="71"/>
  <c r="C5" i="71"/>
  <c r="D5" i="71" s="1"/>
  <c r="M24" i="43" s="1"/>
  <c r="C42" i="40"/>
  <c r="C43" i="40"/>
  <c r="E47" i="40"/>
  <c r="F47" i="40" s="1"/>
  <c r="E46" i="40"/>
  <c r="F46" i="40" s="1"/>
  <c r="I47" i="40"/>
  <c r="J47" i="40" s="1"/>
  <c r="S22" i="31" l="1"/>
  <c r="D14" i="74" s="1"/>
  <c r="G14" i="74" s="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E14" i="74"/>
  <c r="F14" i="74"/>
  <c r="B5" i="74"/>
  <c r="D5" i="74" s="1"/>
  <c r="B6" i="74" l="1"/>
  <c r="D6" i="74" s="1"/>
  <c r="G118" i="9"/>
  <c r="G4" i="52" s="1"/>
  <c r="B52" i="72" s="1"/>
  <c r="I118" i="9"/>
  <c r="H102" i="9" s="1"/>
  <c r="D7" i="53" l="1"/>
  <c r="B21" i="72" s="1"/>
  <c r="C5" i="74"/>
  <c r="F118" i="9"/>
  <c r="E118" i="9"/>
  <c r="C105" i="9"/>
  <c r="I4" i="52"/>
  <c r="H118" i="9"/>
  <c r="H101" i="9" l="1"/>
  <c r="H119" i="9"/>
  <c r="H5" i="52" s="1"/>
  <c r="H4" i="52"/>
  <c r="C104" i="9"/>
  <c r="F4" i="52"/>
  <c r="B51" i="72" s="1"/>
  <c r="F119" i="9"/>
  <c r="F5" i="52" s="1"/>
  <c r="B53" i="72" s="1"/>
  <c r="D118" i="9"/>
  <c r="E4" i="52"/>
  <c r="B48" i="72" s="1"/>
  <c r="D119" i="9" l="1"/>
  <c r="D5" i="52" s="1"/>
  <c r="B49" i="72" s="1"/>
  <c r="D4" i="52"/>
  <c r="B47" i="72" s="1"/>
  <c r="M48" i="9"/>
  <c r="H107" i="9"/>
  <c r="D45" i="9"/>
  <c r="D5" i="53"/>
  <c r="C93" i="9" l="1"/>
  <c r="C86" i="9" s="1"/>
  <c r="D53" i="9"/>
  <c r="D52" i="9"/>
  <c r="C85" i="9"/>
  <c r="C64" i="9"/>
  <c r="C63" i="9" s="1"/>
  <c r="C67" i="9" s="1"/>
  <c r="C78" i="9"/>
  <c r="C73" i="9" s="1"/>
  <c r="C72" i="9"/>
  <c r="D55" i="9"/>
  <c r="M53" i="9" s="1"/>
  <c r="D13" i="53"/>
  <c r="H108" i="9"/>
  <c r="D122" i="9"/>
  <c r="D6" i="53"/>
  <c r="B22" i="72" s="1"/>
  <c r="B20" i="72"/>
  <c r="C95" i="9" l="1"/>
  <c r="C96" i="9" s="1"/>
  <c r="E96" i="9" s="1"/>
  <c r="E97" i="9" s="1"/>
  <c r="C79" i="9"/>
  <c r="C68" i="9"/>
  <c r="D54" i="9" s="1"/>
  <c r="D59" i="9"/>
  <c r="M55" i="9" s="1"/>
  <c r="D8" i="52"/>
  <c r="D123" i="9"/>
  <c r="D9" i="52" s="1"/>
  <c r="D15" i="53"/>
  <c r="B31" i="72" s="1"/>
  <c r="C6" i="74"/>
  <c r="B30" i="72"/>
  <c r="D14" i="53"/>
  <c r="B32" i="72" s="1"/>
  <c r="C97" i="9" l="1"/>
  <c r="D58" i="9" s="1"/>
  <c r="D56" i="9" s="1"/>
  <c r="M54" i="9" s="1"/>
  <c r="N57" i="9" s="1"/>
  <c r="N58" i="9" s="1"/>
  <c r="C80" i="9"/>
  <c r="E80" i="9" s="1"/>
  <c r="E81" i="9" s="1"/>
  <c r="N59" i="9" l="1"/>
  <c r="N61" i="9" s="1"/>
  <c r="P57" i="9"/>
  <c r="C81" i="9"/>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<sst xmlns="http://schemas.openxmlformats.org/spreadsheetml/2006/main" count="7920" uniqueCount="3527">
  <si>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</si>
  <si>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</si>
  <si>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</si>
  <si>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</si>
  <si>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</si>
  <si>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</si>
  <si>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</si>
  <si>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</si>
  <si>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</si>
  <si>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</si>
  <si>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</si>
  <si>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</si>
  <si>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</si>
  <si>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</si>
  <si>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</si>
  <si>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</si>
  <si>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</si>
  <si>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</si>
  <si>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</si>
  <si>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</si>
  <si>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</si>
  <si>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</si>
  <si>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</si>
  <si>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</si>
  <si>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</si>
  <si>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</si>
  <si>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</si>
  <si>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</si>
  <si>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</si>
  <si>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</si>
  <si>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</si>
  <si>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</si>
  <si>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</si>
  <si>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</si>
  <si>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</si>
  <si>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</si>
  <si>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</si>
  <si>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</si>
  <si>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</si>
  <si>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</si>
  <si>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</si>
  <si>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</si>
  <si>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</si>
  <si>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</si>
  <si>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</si>
  <si>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</si>
  <si>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</si>
  <si>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</si>
  <si>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</si>
  <si>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</si>
  <si>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</si>
  <si>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</si>
  <si>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</si>
  <si>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</si>
  <si>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</si>
  <si>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</si>
  <si>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</si>
  <si>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</si>
  <si>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</si>
  <si>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</si>
  <si>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</si>
  <si>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</si>
  <si>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</si>
  <si>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</si>
  <si>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</si>
  <si>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</si>
  <si>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</si>
  <si>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</si>
  <si>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</si>
  <si>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</si>
  <si>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</si>
  <si>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</si>
  <si>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</si>
  <si>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</si>
  <si>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</si>
  <si>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</si>
  <si>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</si>
  <si>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</si>
  <si>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</si>
  <si>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</si>
  <si>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</si>
  <si>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</si>
  <si>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</si>
  <si>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</si>
  <si>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</si>
  <si>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</si>
  <si>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</si>
  <si>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</si>
  <si>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</si>
  <si>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</si>
  <si>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</si>
  <si>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</si>
  <si>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</si>
  <si>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</si>
  <si>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</si>
  <si>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</si>
  <si>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</si>
  <si>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</si>
  <si>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</si>
  <si>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</si>
  <si>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</si>
  <si>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</si>
  <si>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</si>
  <si>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</si>
  <si>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</si>
  <si>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</si>
  <si>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</si>
  <si>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</si>
  <si>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</si>
  <si>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</si>
  <si>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</si>
  <si>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</si>
  <si>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</si>
  <si>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</si>
  <si>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</si>
  <si>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</si>
  <si>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</si>
  <si>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</si>
  <si>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</si>
  <si>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</si>
  <si>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</si>
  <si>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</si>
  <si>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</si>
  <si>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</si>
  <si>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</si>
  <si>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</si>
  <si>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</si>
  <si>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</si>
  <si>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</si>
  <si>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</si>
  <si>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</si>
  <si>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</si>
  <si>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</si>
  <si>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</si>
  <si>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</si>
  <si>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</si>
  <si>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</si>
  <si>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</si>
  <si>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</si>
  <si>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</si>
  <si>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</si>
  <si>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</si>
  <si>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</si>
  <si>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</si>
  <si>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</si>
  <si>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</si>
  <si>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</si>
  <si>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</si>
  <si>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</si>
  <si>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</si>
  <si>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</si>
  <si>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</si>
  <si>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</si>
  <si>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</si>
  <si>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</si>
  <si>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</si>
  <si>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</si>
  <si>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</si>
  <si>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</si>
  <si>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</si>
  <si>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</si>
  <si>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</si>
  <si>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</si>
  <si>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</si>
  <si>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</si>
  <si>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</si>
  <si>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</si>
  <si>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</si>
  <si>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</si>
  <si>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</si>
  <si>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</si>
  <si>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</si>
  <si>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</si>
  <si>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</si>
  <si>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</si>
  <si>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</si>
  <si>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</si>
  <si>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</si>
  <si>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</si>
  <si>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</si>
  <si>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</si>
  <si>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</si>
  <si>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</si>
  <si>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</si>
  <si>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</si>
  <si>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</si>
  <si>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</si>
  <si>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</si>
  <si>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</si>
  <si>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</si>
  <si>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</si>
  <si>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</si>
  <si>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</si>
  <si>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</si>
  <si>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</si>
  <si>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</si>
  <si>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</si>
  <si>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</si>
  <si>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</si>
  <si>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</si>
  <si>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</si>
  <si>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</si>
  <si>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</si>
  <si>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</si>
  <si>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</si>
  <si>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</si>
  <si>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</si>
  <si>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</si>
  <si>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</si>
  <si>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</si>
  <si>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</si>
  <si>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</si>
  <si>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</si>
  <si>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</si>
  <si>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</si>
  <si>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</si>
  <si>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</si>
  <si>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</si>
  <si>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</si>
  <si>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</si>
  <si>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</si>
  <si>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</si>
  <si>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</si>
  <si>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</si>
  <si>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</si>
  <si>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</si>
  <si>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</si>
  <si>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</si>
  <si>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</si>
  <si>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</si>
  <si>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</si>
  <si>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</si>
  <si>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</si>
  <si>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</si>
  <si>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</si>
  <si>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</si>
  <si>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</si>
  <si>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</si>
  <si>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</si>
  <si>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</si>
  <si>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</si>
  <si>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</si>
  <si>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</si>
  <si>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</si>
  <si>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</si>
  <si>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</si>
  <si>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</si>
  <si>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</si>
  <si>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</si>
  <si>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</si>
  <si>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</si>
  <si>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</si>
  <si>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</si>
  <si>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</si>
  <si>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</si>
  <si>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</si>
  <si>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</si>
  <si>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</si>
  <si>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</si>
  <si>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</si>
  <si>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</si>
  <si>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</si>
  <si>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</si>
  <si>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</si>
  <si>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</si>
  <si>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</si>
  <si>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</si>
  <si>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</si>
  <si>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</si>
  <si>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</si>
  <si>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</si>
  <si>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</si>
  <si>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</si>
  <si>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</si>
  <si>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</si>
  <si>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</si>
  <si>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</si>
  <si>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</si>
  <si>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</si>
  <si>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</si>
  <si>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</si>
  <si>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</si>
  <si>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</si>
  <si>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</si>
  <si>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</si>
  <si>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</si>
  <si>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</si>
  <si>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</si>
  <si>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</si>
  <si>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</si>
  <si>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</si>
  <si>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</si>
  <si>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</si>
  <si>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</si>
  <si>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</si>
  <si>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</si>
  <si>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</si>
  <si>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</si>
  <si>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</si>
  <si>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</si>
  <si>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</si>
  <si>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</si>
  <si>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</si>
  <si>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</si>
  <si>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</si>
  <si>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</si>
  <si>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</si>
  <si>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</si>
  <si>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</si>
  <si>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</si>
  <si>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</si>
  <si>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</si>
  <si>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</si>
  <si>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</si>
  <si>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</si>
  <si>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</si>
  <si>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</si>
  <si>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</si>
  <si>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</si>
  <si>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</si>
  <si>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</si>
  <si>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</si>
  <si>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</si>
  <si>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</si>
  <si>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</si>
  <si>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</si>
  <si>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</si>
  <si>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</si>
  <si>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</si>
  <si>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</si>
  <si>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</si>
  <si>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</si>
  <si>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</si>
  <si>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</si>
  <si>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</si>
  <si>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</si>
  <si>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</si>
  <si>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</si>
  <si>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</si>
  <si>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</si>
  <si>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</si>
  <si>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</si>
  <si>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</si>
  <si>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</si>
  <si>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</si>
  <si>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</si>
  <si>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</si>
  <si>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</si>
  <si>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</si>
  <si>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</si>
  <si>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</si>
  <si>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</si>
  <si>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</si>
  <si>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</si>
  <si>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</si>
  <si>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</si>
  <si>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</si>
  <si>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</si>
  <si>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</si>
  <si>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</si>
  <si>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</si>
  <si>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</si>
  <si>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</si>
  <si>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</si>
  <si>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</si>
  <si>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</si>
  <si>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</si>
  <si>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</si>
  <si>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</si>
  <si>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</si>
  <si>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</si>
  <si>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</si>
  <si>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</si>
  <si>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</si>
  <si>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</si>
  <si>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</si>
  <si>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</si>
  <si>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</si>
  <si>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</si>
  <si>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</si>
  <si>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</si>
  <si>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</si>
  <si>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</si>
  <si>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</si>
  <si>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</si>
  <si>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</si>
  <si>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</si>
  <si>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</si>
  <si>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</si>
  <si>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</si>
  <si>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</si>
  <si>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</si>
  <si>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</si>
  <si>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</si>
  <si>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</si>
  <si>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</si>
  <si>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</si>
  <si>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</si>
  <si>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</si>
  <si>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</si>
  <si>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</si>
  <si>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</si>
  <si>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</si>
  <si>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</si>
  <si>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</si>
  <si>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</si>
  <si>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</si>
  <si>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</si>
  <si>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</si>
  <si>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</si>
  <si>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</si>
  <si>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</si>
  <si>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</si>
  <si>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</si>
  <si>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</si>
  <si>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</si>
  <si>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</si>
  <si>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</si>
  <si>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</si>
  <si>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</si>
  <si>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</si>
  <si>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</si>
  <si>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</si>
  <si>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</si>
  <si>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</si>
  <si>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</si>
  <si>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</si>
  <si>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</si>
  <si>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</si>
  <si>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</si>
  <si>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</si>
  <si>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</si>
  <si>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</si>
  <si>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</si>
  <si>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</si>
  <si>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</si>
  <si>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</si>
  <si>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</si>
  <si>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</si>
  <si>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</si>
  <si>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</si>
  <si>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</si>
  <si>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</si>
  <si>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</si>
  <si>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</si>
  <si>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</si>
  <si>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</si>
  <si>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</si>
  <si>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</si>
  <si>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</si>
  <si>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</si>
  <si>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</si>
  <si>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</si>
  <si>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</si>
  <si>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</si>
  <si>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</si>
  <si>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</si>
  <si>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</si>
  <si>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</si>
  <si>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</si>
  <si>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</si>
  <si>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</si>
  <si>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</si>
  <si>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</si>
  <si>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</si>
  <si>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</si>
  <si>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</si>
  <si>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</si>
  <si>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</si>
  <si>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</si>
  <si>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</si>
  <si>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</si>
  <si>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</si>
  <si>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</si>
  <si>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</si>
  <si>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</si>
  <si>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</si>
  <si>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</si>
  <si>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</si>
  <si>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</si>
  <si>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</si>
  <si>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</si>
  <si>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</si>
  <si>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</si>
  <si>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</si>
  <si>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</si>
  <si>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</si>
  <si>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</si>
  <si>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</si>
  <si>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</si>
  <si>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</si>
  <si>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</si>
  <si>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</si>
  <si>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</si>
  <si>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</si>
  <si>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</si>
  <si>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</si>
  <si>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</si>
  <si>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</si>
  <si>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</si>
  <si>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</si>
  <si>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</si>
  <si>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</si>
  <si>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</si>
  <si>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</si>
  <si>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</si>
  <si>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</si>
  <si>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</si>
  <si>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</si>
  <si>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</si>
  <si>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</si>
  <si>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</si>
  <si>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</si>
  <si>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</si>
  <si>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</si>
  <si>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</si>
  <si>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</si>
  <si>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</si>
  <si>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</si>
  <si>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</si>
  <si>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</si>
  <si>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</si>
  <si>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</si>
  <si>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</si>
  <si>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</si>
  <si>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</si>
  <si>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</si>
  <si>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</si>
  <si>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</si>
  <si>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</si>
  <si>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</si>
  <si>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</si>
  <si>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</si>
  <si>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</si>
  <si>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</si>
  <si>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</si>
  <si>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</si>
  <si>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</si>
  <si>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</si>
  <si>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</si>
  <si>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</si>
  <si>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</si>
  <si>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</si>
  <si>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</si>
  <si>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</si>
  <si>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</si>
  <si>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</si>
  <si>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</si>
  <si>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</si>
  <si>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</si>
  <si>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</si>
  <si>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</si>
  <si>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</si>
  <si>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</si>
  <si>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</si>
  <si>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</si>
  <si>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</si>
  <si>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</si>
  <si>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</si>
  <si>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</si>
  <si>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</si>
  <si>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</si>
  <si>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</si>
  <si>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</si>
  <si>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</si>
  <si>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</si>
  <si>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</si>
  <si>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</si>
  <si>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</si>
  <si>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</si>
  <si>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</si>
  <si>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</si>
  <si>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</si>
  <si>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</si>
  <si>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</si>
  <si>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</si>
  <si>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</si>
  <si>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</si>
  <si>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</si>
  <si>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</si>
  <si>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</si>
  <si>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</si>
  <si>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</si>
  <si>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</si>
  <si>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</si>
  <si>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</si>
  <si>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</si>
  <si>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</si>
  <si>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</si>
  <si>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</si>
  <si>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</si>
  <si>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</si>
  <si>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</si>
  <si>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</si>
  <si>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</si>
  <si>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</si>
  <si>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</si>
  <si>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</si>
  <si>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</si>
  <si>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</si>
  <si>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</si>
  <si>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</si>
  <si>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</si>
  <si>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</si>
  <si>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</si>
  <si>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</si>
  <si>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</si>
  <si>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</si>
  <si>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</si>
  <si>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</si>
  <si>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</si>
  <si>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</si>
  <si>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</si>
  <si>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</si>
  <si>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</si>
  <si>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</si>
  <si>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</si>
  <si>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</si>
  <si>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</si>
  <si>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</si>
  <si>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</si>
  <si>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</si>
  <si>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</si>
  <si>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</si>
  <si>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</si>
  <si>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</si>
  <si>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</si>
  <si>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</si>
  <si>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</si>
  <si>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</si>
  <si>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</si>
  <si>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</si>
  <si>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</si>
  <si>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</si>
  <si>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</si>
  <si>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</si>
  <si>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</si>
  <si>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</si>
  <si>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</si>
  <si>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</si>
  <si>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</si>
  <si>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</si>
  <si>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</si>
  <si>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</si>
  <si>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</si>
  <si>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</si>
  <si>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</si>
  <si>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</si>
  <si>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</si>
  <si>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</si>
  <si>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</si>
  <si>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</si>
  <si>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</si>
  <si>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</si>
  <si>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</si>
  <si>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</si>
  <si>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</si>
  <si>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</si>
  <si>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</si>
  <si>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</si>
  <si>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</si>
  <si>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</si>
  <si>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</si>
  <si>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</si>
  <si>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</si>
  <si>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</si>
  <si>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</si>
  <si>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</si>
  <si>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</si>
  <si>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</si>
  <si>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</si>
  <si>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</si>
  <si>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</si>
  <si>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</si>
  <si>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</si>
  <si>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</si>
  <si>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</si>
  <si>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</si>
  <si>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</si>
  <si>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</si>
  <si>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</si>
  <si>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</si>
  <si>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</si>
  <si>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</si>
  <si>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</si>
  <si>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</si>
  <si>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</si>
  <si>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</si>
  <si>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</si>
  <si>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</si>
  <si>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</si>
  <si>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</si>
  <si>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</si>
  <si>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</si>
  <si>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</si>
  <si>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</si>
  <si>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</si>
  <si>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</si>
  <si>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</si>
  <si>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</si>
  <si>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</si>
  <si>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</si>
  <si>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</si>
  <si>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</si>
  <si>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</si>
  <si>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</si>
  <si>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</si>
  <si>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</si>
  <si>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</si>
  <si>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</si>
  <si>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</si>
  <si>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</si>
  <si>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</si>
  <si>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</si>
  <si>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</si>
  <si>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</si>
  <si>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</si>
  <si>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</si>
  <si>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</si>
  <si>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</si>
  <si>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</si>
  <si>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</si>
  <si>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</si>
  <si>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</si>
  <si>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</si>
  <si>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</si>
  <si>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</si>
  <si>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</si>
  <si>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</si>
  <si>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</si>
  <si>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</si>
  <si>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</si>
  <si>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</si>
  <si>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</si>
  <si>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</si>
  <si>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</si>
  <si>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</si>
  <si>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</si>
  <si>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</si>
  <si>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</si>
  <si>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</si>
  <si>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</si>
  <si>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</si>
  <si>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</si>
  <si>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</si>
  <si>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</si>
  <si>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</si>
  <si>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</si>
  <si>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</si>
  <si>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</si>
  <si>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</si>
  <si>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</si>
  <si>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</si>
  <si>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</si>
  <si>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</si>
  <si>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</si>
  <si>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</si>
  <si>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</si>
  <si>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</si>
  <si>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</si>
  <si>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</si>
  <si>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</si>
  <si>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</si>
  <si>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</si>
  <si>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</si>
  <si>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</si>
  <si>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</si>
  <si>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</si>
  <si>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</si>
  <si>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</si>
  <si>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</si>
  <si>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</si>
  <si>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</si>
  <si>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</si>
  <si>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</si>
  <si>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</si>
  <si>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</si>
  <si>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</si>
  <si>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</si>
  <si>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</si>
  <si>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</si>
  <si>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</si>
  <si>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</si>
  <si>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</si>
  <si>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</si>
  <si>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</si>
  <si>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</si>
  <si>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</si>
  <si>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</si>
  <si>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</si>
  <si>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</si>
  <si>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</si>
  <si>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</si>
  <si>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</si>
  <si>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</si>
  <si>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</si>
  <si>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</si>
  <si>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</si>
  <si>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</si>
  <si>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</si>
  <si>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</si>
  <si>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</si>
  <si>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</si>
  <si>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</si>
  <si>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</si>
  <si>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</si>
  <si>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</si>
  <si>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</si>
  <si>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</si>
  <si>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</si>
  <si>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</si>
  <si>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</si>
  <si>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</si>
  <si>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</si>
  <si>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</si>
  <si>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</si>
  <si>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</si>
  <si>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</si>
  <si>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</si>
  <si>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</si>
  <si>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</si>
  <si>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</si>
  <si>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</si>
  <si>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</si>
  <si>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</si>
  <si>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</si>
  <si>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</si>
  <si>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</si>
  <si>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</si>
  <si>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</si>
  <si>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</si>
  <si>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</si>
  <si>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</si>
  <si>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</si>
  <si>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</si>
  <si>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</si>
  <si>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</si>
  <si>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</si>
  <si>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</si>
  <si>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</si>
  <si>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</si>
  <si>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</si>
  <si>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</si>
  <si>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</si>
  <si>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</si>
  <si>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</si>
  <si>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</si>
  <si>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</si>
  <si>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</si>
  <si>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</si>
  <si>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</si>
  <si>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</si>
  <si>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</si>
  <si>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</si>
  <si>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</si>
  <si>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</si>
  <si>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</si>
  <si>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</si>
  <si>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</si>
  <si>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</si>
  <si>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</si>
  <si>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</si>
  <si>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</si>
  <si>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</si>
  <si>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</si>
  <si>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</si>
  <si>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</si>
  <si>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</si>
  <si>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</si>
  <si>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</si>
  <si>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</si>
  <si>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</si>
  <si>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</si>
  <si>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</si>
  <si>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</si>
  <si>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</si>
  <si>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</si>
  <si>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</si>
  <si>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</si>
  <si>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</si>
  <si>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</si>
  <si>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</si>
  <si>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</si>
  <si>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</si>
  <si>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</si>
  <si>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</si>
  <si>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</si>
  <si>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</si>
  <si>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</si>
  <si>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</si>
  <si>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</si>
  <si>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</si>
  <si>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</si>
  <si>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</si>
  <si>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</si>
  <si>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</si>
  <si>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</si>
  <si>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</si>
  <si>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</si>
  <si>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</si>
  <si>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</si>
  <si>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</si>
  <si>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</si>
  <si>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</si>
  <si>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</si>
  <si>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</si>
  <si>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</si>
  <si>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</si>
  <si>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</si>
  <si>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</si>
  <si>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</si>
  <si>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</si>
  <si>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</si>
  <si>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</si>
  <si>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</si>
  <si>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</si>
  <si>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</si>
  <si>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</si>
  <si>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</si>
  <si>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</si>
  <si>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</si>
  <si>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</si>
  <si>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</si>
  <si>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</si>
  <si>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</si>
  <si>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</si>
  <si>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</si>
  <si>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</si>
  <si>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</si>
  <si>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</si>
  <si>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</si>
  <si>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</si>
  <si>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</si>
  <si>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</si>
  <si>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</si>
  <si>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</si>
  <si>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</si>
  <si>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</si>
  <si>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</si>
  <si>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</si>
  <si>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</si>
  <si>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</si>
  <si>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</si>
  <si>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</si>
  <si>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</si>
  <si>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</si>
  <si>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</si>
  <si>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</si>
  <si>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</si>
  <si>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</si>
  <si>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</si>
  <si>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</si>
  <si>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</si>
  <si>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</si>
  <si>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</si>
  <si>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</si>
  <si>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</si>
  <si>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</si>
  <si>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</si>
  <si>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</si>
  <si>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</si>
  <si>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</si>
  <si>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</si>
  <si>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</si>
  <si>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</si>
  <si>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</si>
  <si>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</si>
  <si>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</si>
  <si>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</si>
  <si>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</si>
  <si>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</si>
  <si>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</si>
  <si>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</si>
  <si>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</si>
  <si>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</si>
  <si>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</si>
  <si>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</si>
  <si>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</si>
  <si>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</si>
  <si>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</si>
  <si>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</si>
  <si>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</si>
  <si>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</si>
  <si>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</si>
  <si>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</si>
  <si>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</si>
  <si>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</si>
  <si>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</si>
  <si>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</si>
  <si>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</si>
  <si>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</si>
  <si>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</si>
  <si>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</si>
  <si>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</si>
  <si>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</si>
  <si>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</si>
  <si>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</si>
  <si>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</si>
  <si>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</si>
  <si>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</si>
  <si>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</si>
  <si>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</si>
  <si>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</si>
  <si>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</si>
  <si>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</si>
  <si>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</si>
  <si>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</si>
  <si>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</si>
  <si>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</si>
  <si>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</si>
  <si>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</si>
  <si>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</si>
  <si>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</si>
  <si>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</si>
  <si>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</si>
  <si>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</si>
  <si>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</si>
  <si>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</si>
  <si>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</si>
  <si>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</si>
  <si>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</si>
  <si>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</si>
  <si>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</si>
  <si>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</si>
  <si>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</si>
  <si>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</si>
  <si>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</si>
  <si>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</si>
  <si>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</si>
  <si>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</si>
  <si>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</si>
  <si>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</si>
  <si>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</si>
  <si>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</si>
  <si>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</si>
  <si>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</si>
  <si>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</si>
  <si>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</si>
  <si>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</si>
  <si>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</si>
  <si>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</si>
  <si>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</si>
  <si>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</si>
  <si>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</si>
  <si>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</si>
  <si>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</si>
  <si>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</si>
  <si>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</si>
  <si>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</si>
  <si>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</si>
  <si>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</si>
  <si>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</si>
  <si>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</si>
  <si>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</si>
  <si>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</si>
  <si>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</si>
  <si>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</si>
  <si>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</si>
  <si>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</si>
  <si>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</si>
  <si>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</si>
  <si>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</si>
  <si>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</si>
  <si>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</si>
  <si>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</si>
  <si>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</si>
  <si>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</si>
  <si>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</si>
  <si>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</si>
  <si>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</si>
  <si>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</si>
  <si>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</si>
  <si>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</si>
  <si>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</si>
  <si>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</si>
  <si>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</si>
  <si>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</si>
  <si>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</si>
  <si>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</si>
  <si>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</si>
  <si>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</si>
  <si>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</si>
  <si>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</si>
  <si>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</si>
  <si>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</si>
  <si>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</si>
  <si>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</si>
  <si>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</si>
  <si>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</si>
  <si>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</si>
  <si>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</si>
  <si>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</si>
  <si>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</si>
  <si>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</si>
  <si>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</si>
  <si>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</si>
  <si>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</si>
  <si>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</si>
  <si>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</si>
  <si>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</si>
  <si>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</si>
  <si>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</si>
  <si>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</si>
  <si>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</si>
  <si>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</si>
  <si>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</si>
  <si>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</si>
  <si>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</si>
  <si>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</si>
  <si>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</si>
  <si>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</si>
  <si>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</si>
  <si>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</si>
  <si>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</si>
  <si>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</si>
  <si>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</si>
  <si>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</si>
  <si>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</si>
  <si>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</si>
  <si>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</si>
  <si>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</si>
  <si>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</si>
  <si>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</si>
  <si>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</si>
  <si>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</si>
  <si>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</si>
  <si>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</si>
  <si>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</si>
  <si>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</si>
  <si>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</si>
  <si>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</si>
  <si>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</si>
  <si>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</si>
  <si>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</si>
  <si>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</si>
  <si>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</si>
  <si>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</si>
  <si>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</si>
  <si>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</si>
  <si>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</si>
  <si>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</si>
  <si>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</si>
  <si>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</si>
  <si>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</si>
  <si>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</si>
  <si>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</si>
  <si>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</si>
  <si>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</si>
  <si>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</si>
  <si>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</si>
  <si>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</si>
  <si>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</si>
  <si>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</si>
  <si>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</si>
  <si>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</si>
  <si>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</si>
  <si>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</si>
  <si>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</si>
  <si>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</si>
  <si>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</si>
  <si>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</si>
  <si>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</si>
  <si>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</si>
  <si>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</si>
  <si>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</si>
  <si>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</si>
  <si>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</si>
  <si>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</si>
  <si>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</si>
  <si>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</si>
  <si>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</si>
  <si>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</si>
  <si>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</si>
  <si>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</si>
  <si>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</si>
  <si>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</si>
  <si>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</si>
  <si>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</si>
  <si>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</si>
  <si>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</si>
  <si>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</si>
  <si>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</si>
  <si>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</si>
  <si>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</si>
  <si>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</si>
  <si>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</si>
  <si>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</si>
  <si>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</si>
  <si>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</si>
  <si>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</si>
  <si>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</si>
  <si>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</si>
  <si>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</si>
  <si>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</si>
  <si>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</si>
  <si>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</si>
  <si>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</si>
  <si>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</si>
  <si>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</si>
  <si>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</si>
  <si>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</si>
  <si>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</si>
  <si>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</si>
  <si>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</si>
  <si>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</si>
  <si>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</si>
  <si>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</si>
  <si>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</si>
  <si>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</si>
  <si>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</si>
  <si>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</si>
  <si>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</si>
  <si>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</si>
  <si>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</si>
  <si>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</si>
  <si>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</si>
  <si>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</si>
  <si>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</si>
  <si>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</si>
  <si>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</si>
  <si>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</si>
  <si>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</si>
  <si>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</si>
  <si>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</si>
  <si>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</si>
  <si>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</si>
  <si>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</si>
  <si>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</si>
  <si>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</si>
  <si>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</si>
  <si>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</si>
  <si>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</si>
  <si>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</si>
  <si>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</si>
  <si>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</si>
  <si>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</si>
  <si>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</si>
  <si>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</si>
  <si>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</si>
  <si>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</si>
  <si>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</si>
  <si>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</si>
  <si>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</si>
  <si>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</si>
  <si>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</si>
  <si>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</si>
  <si>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</si>
  <si>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</si>
  <si>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</si>
  <si>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</si>
  <si>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</si>
  <si>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</si>
  <si>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</si>
  <si>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</si>
  <si>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</si>
  <si>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</si>
  <si>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</si>
  <si>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</si>
  <si>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</si>
  <si>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</si>
  <si>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</si>
  <si>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</si>
  <si>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</si>
  <si>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</si>
  <si>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</si>
  <si>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</si>
  <si>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</si>
  <si>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</si>
  <si>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</si>
  <si>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</si>
  <si>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</si>
  <si>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</si>
  <si>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</si>
  <si>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</si>
  <si>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</si>
  <si>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</si>
  <si>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</si>
  <si>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</si>
  <si>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</si>
  <si>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</si>
  <si>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</si>
  <si>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</si>
  <si>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</si>
  <si>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</si>
  <si>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</si>
  <si>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</si>
  <si>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</si>
  <si>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</si>
  <si>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</si>
  <si>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</si>
  <si>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</si>
  <si>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</si>
  <si>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</si>
  <si>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</si>
  <si>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</si>
  <si>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</si>
  <si>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</si>
  <si>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</si>
  <si>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</si>
  <si>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</si>
  <si>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</si>
  <si>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</si>
  <si>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</si>
  <si>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</si>
  <si>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</si>
  <si>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</si>
  <si>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</si>
  <si>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</si>
  <si>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</si>
  <si>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</si>
  <si>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</si>
  <si>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</si>
  <si>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</si>
  <si>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</si>
  <si>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</si>
  <si>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</si>
  <si>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</si>
  <si>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</si>
  <si>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</si>
  <si>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</si>
  <si>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</si>
  <si>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</si>
  <si>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</si>
  <si>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</si>
  <si>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</si>
  <si>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</si>
  <si>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</si>
  <si>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</si>
  <si>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</si>
  <si>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</si>
  <si>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</si>
  <si>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</si>
  <si>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</si>
  <si>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</si>
  <si>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</si>
  <si>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</si>
  <si>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</si>
  <si>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</si>
  <si>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</si>
  <si>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</si>
  <si>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</si>
  <si>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</si>
  <si>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</si>
  <si>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</si>
  <si>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</si>
  <si>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</si>
  <si>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</si>
  <si>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</si>
  <si>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</si>
  <si>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</si>
  <si>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</si>
  <si>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</si>
  <si>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</si>
  <si>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</si>
  <si>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</si>
  <si>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</si>
  <si>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</si>
  <si>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</si>
  <si>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</si>
  <si>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</si>
  <si>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</si>
  <si>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</si>
  <si>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</si>
  <si>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</si>
  <si>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</si>
  <si>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</si>
  <si>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</si>
  <si>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</si>
  <si>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</si>
  <si>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</si>
  <si>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</si>
  <si>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</si>
  <si>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</si>
  <si>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</si>
  <si>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</si>
  <si>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</si>
  <si>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</si>
  <si>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</si>
  <si>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</si>
  <si>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</si>
  <si>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</si>
  <si>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</si>
  <si>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</si>
  <si>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</si>
  <si>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</si>
  <si>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</si>
  <si>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</si>
  <si>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</si>
  <si>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</si>
  <si>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</si>
  <si>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</si>
  <si>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</si>
  <si>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</si>
  <si>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</si>
  <si>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</si>
  <si>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</si>
  <si>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</si>
  <si>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</si>
  <si>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</si>
  <si>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</si>
  <si>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</si>
  <si>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</si>
  <si>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</si>
  <si>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</si>
  <si>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</si>
  <si>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</si>
  <si>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</si>
  <si>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</si>
  <si>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</si>
  <si>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</si>
  <si>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</si>
  <si>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</si>
  <si>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</si>
  <si>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</si>
  <si>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</si>
  <si>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</si>
  <si>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</si>
  <si>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</si>
  <si>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</si>
  <si>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</si>
  <si>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</si>
  <si>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</si>
  <si>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</si>
  <si>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</si>
  <si>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</si>
  <si>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</si>
  <si>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</si>
  <si>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</si>
  <si>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</si>
  <si>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</si>
  <si>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</si>
  <si>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</si>
  <si>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</si>
  <si>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</si>
  <si>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</si>
  <si>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</si>
  <si>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</si>
  <si>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</si>
  <si>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</si>
  <si>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</si>
  <si>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</si>
  <si>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</si>
  <si>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</si>
  <si>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</si>
  <si>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</si>
  <si>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</si>
  <si>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</si>
  <si>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</si>
  <si>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</si>
  <si>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</si>
  <si>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</si>
  <si>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</si>
  <si>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</si>
  <si>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</si>
  <si>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</si>
  <si>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</si>
  <si>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</si>
  <si>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</si>
  <si>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</si>
  <si>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</si>
  <si>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</si>
  <si>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</si>
  <si>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</si>
  <si>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</si>
  <si>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</si>
  <si>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</si>
  <si>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</si>
  <si>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</si>
  <si>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</si>
  <si>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</si>
  <si>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</si>
  <si>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</si>
  <si>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</si>
  <si>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</si>
  <si>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</si>
  <si>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</si>
  <si>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</si>
  <si>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</si>
  <si>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</si>
  <si>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</si>
  <si>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</si>
  <si>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</si>
  <si>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</si>
  <si>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</si>
  <si>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</si>
  <si>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</si>
  <si>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</si>
  <si>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</si>
  <si>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</si>
  <si>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</si>
  <si>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</si>
  <si>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</si>
  <si>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</si>
  <si>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</si>
  <si>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</si>
  <si>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</si>
  <si>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</si>
  <si>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</si>
  <si>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</si>
  <si>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</si>
  <si>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</si>
  <si>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</si>
  <si>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</si>
  <si>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</si>
  <si>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</si>
  <si>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</si>
  <si>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</si>
  <si>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</si>
  <si>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</si>
  <si>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</si>
  <si>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</si>
  <si>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</si>
  <si>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</si>
  <si>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</si>
  <si>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</si>
  <si>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</si>
  <si>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</si>
  <si>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</si>
  <si>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</si>
  <si>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</si>
  <si>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</si>
  <si>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</si>
  <si>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</si>
  <si>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</si>
  <si>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</si>
  <si>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</si>
  <si>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</si>
  <si>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</si>
  <si>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</si>
  <si>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</si>
  <si>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</si>
  <si>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</si>
  <si>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</si>
  <si>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</si>
  <si>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</si>
  <si>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</si>
  <si>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</si>
  <si>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</si>
  <si>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</si>
  <si>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</si>
  <si>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</si>
  <si>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</si>
  <si>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</si>
  <si>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</si>
  <si>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</si>
  <si>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</si>
  <si>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</si>
  <si>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</si>
  <si>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</si>
  <si>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</si>
  <si>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</si>
  <si>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</si>
  <si>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</si>
  <si>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</si>
  <si>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</si>
  <si>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</si>
  <si>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</si>
  <si>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</si>
  <si>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</si>
  <si>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</si>
  <si>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</si>
  <si>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</si>
  <si>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</si>
  <si>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</si>
  <si>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</si>
  <si>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</si>
  <si>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</si>
  <si>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</si>
  <si>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</si>
  <si>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</si>
  <si>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</si>
  <si>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</si>
  <si>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</si>
  <si>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</si>
  <si>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</si>
  <si>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</si>
  <si>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</si>
  <si>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</si>
  <si>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</si>
  <si>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</si>
  <si>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</si>
  <si>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</si>
  <si>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</si>
  <si>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</si>
  <si>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</si>
  <si>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</si>
  <si>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</si>
  <si>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</si>
  <si>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</si>
  <si>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</si>
  <si>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</si>
  <si>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</si>
  <si>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</si>
  <si>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</si>
  <si>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</si>
  <si>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</si>
  <si>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</si>
  <si>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</si>
  <si>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</si>
  <si>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</si>
  <si>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</si>
  <si>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</si>
  <si>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</si>
  <si>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</si>
  <si>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</si>
  <si>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</si>
  <si>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</si>
  <si>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</si>
  <si>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</si>
  <si>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</si>
  <si>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</si>
  <si>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</si>
  <si>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</si>
  <si>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</si>
  <si>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</si>
  <si>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</si>
  <si>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</si>
  <si>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</si>
  <si>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</si>
  <si>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</si>
  <si>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</si>
  <si>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</si>
  <si>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</si>
  <si>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</si>
  <si>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</si>
  <si>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</si>
  <si>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</si>
  <si>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</si>
  <si>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</si>
  <si>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</si>
  <si>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</si>
  <si>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</si>
  <si>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</si>
  <si>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</si>
  <si>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</si>
  <si>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</si>
  <si>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</si>
  <si>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</si>
  <si>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</si>
  <si>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</si>
  <si>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</si>
  <si>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</si>
  <si>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</si>
  <si>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</si>
  <si>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</si>
  <si>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</si>
  <si>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</si>
  <si>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</si>
  <si>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</si>
  <si>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</si>
  <si>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</si>
  <si>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</si>
  <si>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</si>
  <si>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</si>
  <si>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</si>
  <si>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</si>
  <si>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</si>
  <si>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</si>
  <si>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</si>
  <si>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</si>
  <si>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</si>
  <si>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</si>
  <si>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</si>
  <si>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</si>
  <si>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</si>
  <si>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</si>
  <si>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</si>
  <si>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</si>
  <si>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</si>
  <si>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</si>
  <si>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</si>
  <si>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</si>
  <si>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</si>
  <si>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</si>
  <si>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</si>
  <si>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</si>
  <si>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</si>
  <si>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</si>
  <si>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</si>
  <si>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</si>
  <si>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</si>
  <si>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</si>
  <si>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</si>
  <si>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</si>
  <si>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</si>
  <si>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</si>
  <si>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</si>
  <si>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</si>
  <si>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</si>
  <si>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</si>
  <si>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</si>
  <si>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</si>
  <si>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</si>
  <si>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</si>
  <si>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</si>
  <si>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</si>
  <si>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</si>
  <si>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</si>
  <si>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</si>
  <si>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</si>
  <si>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</si>
  <si>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</si>
  <si>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</si>
  <si>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</si>
  <si>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</si>
  <si>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</si>
  <si>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</si>
  <si>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</si>
  <si>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</si>
  <si>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</si>
  <si>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</si>
  <si>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</si>
  <si>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</si>
  <si>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</si>
  <si>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</si>
  <si>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</si>
  <si>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</si>
  <si>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</si>
  <si>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</si>
  <si>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</si>
  <si>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</si>
  <si>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</si>
  <si>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</si>
  <si>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</si>
  <si>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</si>
  <si>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</si>
  <si>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</si>
  <si>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</si>
  <si>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</si>
  <si>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</si>
  <si>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</si>
  <si>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</si>
  <si>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</si>
  <si>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</si>
  <si>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</si>
  <si>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</si>
  <si>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</si>
  <si>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</si>
  <si>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</si>
  <si>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</si>
  <si>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</si>
  <si>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</si>
  <si>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</si>
  <si>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</si>
  <si>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</si>
  <si>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</si>
  <si>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</si>
  <si>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</si>
  <si>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</si>
  <si>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</si>
  <si>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</si>
  <si>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</si>
  <si>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</si>
  <si>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</si>
  <si>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</si>
  <si>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</si>
  <si>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</si>
  <si>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</si>
  <si>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</si>
  <si>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</si>
  <si>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</si>
  <si>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</si>
  <si>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</si>
  <si>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</si>
  <si>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</si>
  <si>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</si>
  <si>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</si>
  <si>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</si>
  <si>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</si>
  <si>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</si>
  <si>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</si>
  <si>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</si>
  <si>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</si>
  <si>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</si>
  <si>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</si>
  <si>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</si>
  <si>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</si>
  <si>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</si>
  <si>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</si>
  <si>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</si>
  <si>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</si>
  <si>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</si>
  <si>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</si>
  <si>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</si>
  <si>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</si>
  <si>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</si>
  <si>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</si>
  <si>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</si>
  <si>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</si>
  <si>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</si>
  <si>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</si>
  <si>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</si>
  <si>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</si>
  <si>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</si>
  <si>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</si>
  <si>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</si>
  <si>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</si>
  <si>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</si>
  <si>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</si>
  <si>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</si>
  <si>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</si>
  <si>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</si>
  <si>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</si>
  <si>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</si>
  <si>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</si>
  <si>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</si>
  <si>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</si>
  <si>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</si>
  <si>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</si>
  <si>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</si>
  <si>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</si>
  <si>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</si>
  <si>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</si>
  <si>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</si>
  <si>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</si>
  <si>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</si>
  <si>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</si>
  <si>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</si>
  <si>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</si>
  <si>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</si>
  <si>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</si>
  <si>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</si>
  <si>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</si>
  <si>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</si>
  <si>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</si>
  <si>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</si>
  <si>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</si>
  <si>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</si>
  <si>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</si>
  <si>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</si>
  <si>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</si>
  <si>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</si>
  <si>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</si>
  <si>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</si>
  <si>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</si>
  <si>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</si>
  <si>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</si>
  <si>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</si>
  <si>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</si>
  <si>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</si>
  <si>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</si>
  <si>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</si>
  <si>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</si>
  <si>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</si>
  <si>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</si>
  <si>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</si>
  <si>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</si>
  <si>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</si>
  <si>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</si>
  <si>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</si>
  <si>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</si>
  <si>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</si>
  <si>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</si>
  <si>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</si>
  <si>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</si>
  <si>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</si>
  <si>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</si>
  <si>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</si>
  <si>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</si>
  <si>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</si>
  <si>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</si>
  <si>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</si>
  <si>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</si>
  <si>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</si>
  <si>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</si>
  <si>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</si>
  <si>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</si>
  <si>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</si>
  <si>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</si>
  <si>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</si>
  <si>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</si>
  <si>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</si>
  <si>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</si>
  <si>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</si>
  <si>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</si>
  <si>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</si>
  <si>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</si>
  <si>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</si>
  <si>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</si>
  <si>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</si>
  <si>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</si>
  <si>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</si>
  <si>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</si>
  <si>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</si>
  <si>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</si>
  <si>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</si>
  <si>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</si>
  <si>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</si>
  <si>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</si>
  <si>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</si>
  <si>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</si>
  <si>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</si>
  <si>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</si>
  <si>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</si>
  <si>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</si>
  <si>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</si>
  <si>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</si>
  <si>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</si>
  <si>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</si>
  <si>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</si>
  <si>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</si>
  <si>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</si>
  <si>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</si>
  <si>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</si>
  <si>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</si>
  <si>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</si>
  <si>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</si>
  <si>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</si>
  <si>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</si>
  <si>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</si>
  <si>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</si>
  <si>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</si>
  <si>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</si>
  <si>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</si>
  <si>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</si>
  <si>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</si>
  <si>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</si>
  <si>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</si>
  <si>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</si>
  <si>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</si>
  <si>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</si>
  <si>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</si>
  <si>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</si>
  <si>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</si>
  <si>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</si>
  <si>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</si>
  <si>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</si>
  <si>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</si>
  <si>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</si>
  <si>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</si>
  <si>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</si>
  <si>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</si>
  <si>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</si>
  <si>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</si>
  <si>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</si>
  <si>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</si>
  <si>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</si>
  <si>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</si>
  <si>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</si>
  <si>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</si>
  <si>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</si>
  <si>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</si>
  <si>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</si>
  <si>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</si>
  <si>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</si>
  <si>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</si>
  <si>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</si>
  <si>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</si>
  <si>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</si>
  <si>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</si>
  <si>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</si>
  <si>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</si>
  <si>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</si>
  <si>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</si>
  <si>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</si>
  <si>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</si>
  <si>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</si>
  <si>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</si>
  <si>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</si>
  <si>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</si>
  <si>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</si>
  <si>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</si>
  <si>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</si>
  <si>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</si>
  <si>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</si>
  <si>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</si>
  <si>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</si>
  <si>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</si>
  <si>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</si>
  <si>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</si>
  <si>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</si>
  <si>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</si>
  <si>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</si>
  <si>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</si>
  <si>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</si>
  <si>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</si>
  <si>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</si>
  <si>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</si>
  <si>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</si>
  <si>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</si>
  <si>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</si>
  <si>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</si>
  <si>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</si>
  <si>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</si>
  <si>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</si>
  <si>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</si>
  <si>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</si>
  <si>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</si>
  <si>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</si>
  <si>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</si>
  <si>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</si>
  <si>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</si>
  <si>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</si>
  <si>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</si>
  <si>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</si>
  <si>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</si>
  <si>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</si>
  <si>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</si>
  <si>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</si>
  <si>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</si>
  <si>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</si>
  <si>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</si>
  <si>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</si>
  <si>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</si>
  <si>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</si>
  <si>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</si>
  <si>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</si>
  <si>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</si>
  <si>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</si>
  <si>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</si>
  <si>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</si>
  <si>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</si>
  <si>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</si>
  <si>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</si>
  <si>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</si>
  <si>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</si>
  <si>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</si>
  <si>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</si>
  <si>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</si>
  <si>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</si>
  <si>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</si>
  <si>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</si>
  <si>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</si>
  <si>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</si>
  <si>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</si>
  <si>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</si>
  <si>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</si>
  <si>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</si>
  <si>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</si>
  <si>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</si>
  <si>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</si>
  <si>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</si>
  <si>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</si>
  <si>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</si>
  <si>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</si>
  <si>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</si>
  <si>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</si>
  <si>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</si>
  <si>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</si>
  <si>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</si>
  <si>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</si>
  <si>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</si>
  <si>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</si>
  <si>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</si>
  <si>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</si>
  <si>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</si>
  <si>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</si>
  <si>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</si>
  <si>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</si>
  <si>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</si>
  <si>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</si>
  <si>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</si>
  <si>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</si>
  <si>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</si>
  <si>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</si>
  <si>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</si>
  <si>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</si>
  <si>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</si>
  <si>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</si>
  <si>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</si>
  <si>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</si>
  <si>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</si>
  <si>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</si>
  <si>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</si>
  <si>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</si>
  <si>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</si>
  <si>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</si>
  <si>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</si>
  <si>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</si>
  <si>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</si>
  <si>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</si>
  <si>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</si>
  <si>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</si>
  <si>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</si>
  <si>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</si>
  <si>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</si>
  <si>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</si>
  <si>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</si>
  <si>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</si>
  <si>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</si>
  <si>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</si>
  <si>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</si>
  <si>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</si>
  <si>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</si>
  <si>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</si>
  <si>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</si>
  <si>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</si>
  <si>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</si>
  <si>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</si>
  <si>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</si>
  <si>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</si>
  <si>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</si>
  <si>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</si>
  <si>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</si>
  <si>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</si>
  <si>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</si>
  <si>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</si>
  <si>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</si>
  <si>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</si>
  <si>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</si>
  <si>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</si>
  <si>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</si>
  <si>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</si>
  <si>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</si>
  <si>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</si>
  <si>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</si>
  <si>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</si>
  <si>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</si>
  <si>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</si>
  <si>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</si>
  <si>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</si>
  <si>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</si>
  <si>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</si>
  <si>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</si>
  <si>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</si>
  <si>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</si>
  <si>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</si>
  <si>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</si>
  <si>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</si>
  <si>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</si>
  <si>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</si>
  <si>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</si>
  <si>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</si>
  <si>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</si>
  <si>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</si>
  <si>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</si>
  <si>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</si>
  <si>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</si>
  <si>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</si>
  <si>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</si>
  <si>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</si>
  <si>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</si>
  <si>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</si>
  <si>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</si>
  <si>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</si>
  <si>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</si>
  <si>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</si>
  <si>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</si>
  <si>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</si>
  <si>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</si>
  <si>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</si>
  <si>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</si>
  <si>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</si>
  <si>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</si>
  <si>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</si>
  <si>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</si>
  <si>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</si>
  <si>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</si>
  <si>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</si>
  <si>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</si>
  <si>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</si>
  <si>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</si>
  <si>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</si>
  <si>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</si>
  <si>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</si>
  <si>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</si>
  <si>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</si>
  <si>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</si>
  <si>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</si>
  <si>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</si>
  <si>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</si>
  <si>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</si>
  <si>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</si>
  <si>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</si>
  <si>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</si>
  <si>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</si>
  <si>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</si>
  <si>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</si>
  <si>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</si>
  <si>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</si>
  <si>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</si>
  <si>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</si>
  <si>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</si>
  <si>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</si>
  <si>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</si>
  <si>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</si>
  <si>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</si>
  <si>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</si>
  <si>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</si>
  <si>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</si>
  <si>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</si>
  <si>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</si>
  <si>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</si>
  <si>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</si>
  <si>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</si>
  <si>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</si>
  <si>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</si>
  <si>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</si>
  <si>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</si>
  <si>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</si>
  <si>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</si>
  <si>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</si>
  <si>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</si>
  <si>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</si>
  <si>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</si>
  <si>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</si>
  <si>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</si>
  <si>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</si>
  <si>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</si>
  <si>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</si>
  <si>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</si>
  <si>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</si>
  <si>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</si>
  <si>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</si>
  <si>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</si>
  <si>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</si>
  <si>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</si>
  <si>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</si>
  <si>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</si>
  <si>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</si>
  <si>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</si>
  <si>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</si>
  <si>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</si>
  <si>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</si>
  <si>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</si>
  <si>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</si>
  <si>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</si>
  <si>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</si>
  <si>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</si>
  <si>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</si>
  <si>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</si>
  <si>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</si>
  <si>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</si>
  <si>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</si>
  <si>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</si>
  <si>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</si>
  <si>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</si>
  <si>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</si>
  <si>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</si>
  <si>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</si>
  <si>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</si>
  <si>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</si>
  <si>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</si>
  <si>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</si>
  <si>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</si>
  <si>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</si>
  <si>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</si>
  <si>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</si>
  <si>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</si>
  <si>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</si>
  <si>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</si>
  <si>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</si>
  <si>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</si>
  <si>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</si>
  <si>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</si>
  <si>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</si>
  <si>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</si>
  <si>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</si>
  <si>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</si>
  <si>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</si>
  <si>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</si>
  <si>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</si>
  <si>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</si>
  <si>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</si>
  <si>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</si>
  <si>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</si>
  <si>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</si>
  <si>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</si>
  <si>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</si>
  <si>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</si>
  <si>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</si>
  <si>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</si>
  <si>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</si>
  <si>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</si>
  <si>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</si>
  <si>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</si>
  <si>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</si>
  <si>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</si>
  <si>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</si>
  <si>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</si>
  <si>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</si>
  <si>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</si>
  <si>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</si>
  <si>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</si>
  <si>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</si>
  <si>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</si>
  <si>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</si>
  <si>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</si>
  <si>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</si>
  <si>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</si>
  <si>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</si>
  <si>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</si>
  <si>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</si>
  <si>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</si>
  <si>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</si>
  <si>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</si>
  <si>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</si>
  <si>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</si>
  <si>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</si>
  <si>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</si>
  <si>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</si>
  <si>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</si>
  <si>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</si>
  <si>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</si>
  <si>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</si>
  <si>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</si>
  <si>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</si>
  <si>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</si>
  <si>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</si>
  <si>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</si>
  <si>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</si>
  <si>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</si>
  <si>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</si>
  <si>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</si>
  <si>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</si>
  <si>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</si>
  <si>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</si>
  <si>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</si>
  <si>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</si>
  <si>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</si>
  <si>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</si>
  <si>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</si>
  <si>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</si>
  <si>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</si>
  <si>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</si>
  <si>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</si>
  <si>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</si>
  <si>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</si>
  <si>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</si>
  <si>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</si>
  <si>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</si>
  <si>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</si>
  <si>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</si>
  <si>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</si>
  <si>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</si>
  <si>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</si>
  <si>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</si>
  <si>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</si>
  <si>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</si>
  <si>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</si>
  <si>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</si>
  <si>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</si>
  <si>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</si>
  <si>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</si>
  <si>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</si>
  <si>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</si>
  <si>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</si>
  <si>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</si>
  <si>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</si>
  <si>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</si>
  <si>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</si>
  <si>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</si>
  <si>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</si>
  <si>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</si>
  <si>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</si>
  <si>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</si>
  <si>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</si>
  <si>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</si>
  <si>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</si>
  <si>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</si>
  <si>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</si>
  <si>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</si>
  <si>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</si>
  <si>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</si>
  <si>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</si>
  <si>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</si>
  <si>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</si>
  <si>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</si>
  <si>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</si>
  <si>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</si>
  <si>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</si>
  <si>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</si>
  <si>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</si>
  <si>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</si>
  <si>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</si>
  <si>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</si>
  <si>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</si>
  <si>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</si>
  <si>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</si>
  <si>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</si>
  <si>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</si>
  <si>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</si>
  <si>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</si>
  <si>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</si>
  <si>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</si>
  <si>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</si>
  <si>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</si>
  <si>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</si>
  <si>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</si>
  <si>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</si>
  <si>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</si>
  <si>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</si>
  <si>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</si>
  <si>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</si>
  <si>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</si>
  <si>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</si>
  <si>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</si>
  <si>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</si>
  <si>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</si>
  <si>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</si>
  <si>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</si>
  <si>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</si>
  <si>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</si>
  <si>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</si>
  <si>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</si>
  <si>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</si>
  <si>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</si>
  <si>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</si>
  <si>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</si>
  <si>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</si>
  <si>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</si>
  <si>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</si>
  <si>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</si>
  <si>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</si>
  <si>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</si>
  <si>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</si>
  <si>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</si>
  <si>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</si>
  <si>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</si>
  <si>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</si>
  <si>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</si>
  <si>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</si>
  <si>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</si>
  <si>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</si>
  <si>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</si>
  <si>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</si>
  <si>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</si>
  <si>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</si>
  <si>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</si>
  <si>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</si>
  <si>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</si>
  <si>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</si>
  <si>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</si>
  <si>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</si>
  <si>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</si>
  <si>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</si>
  <si>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</si>
  <si>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</si>
  <si>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</si>
  <si>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</si>
  <si>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</si>
  <si>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</si>
  <si>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</si>
  <si>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</si>
  <si>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</si>
  <si>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</si>
  <si>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</si>
  <si>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</si>
  <si>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</si>
  <si>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</si>
  <si>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</si>
  <si>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</si>
  <si>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</si>
  <si>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</si>
  <si>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</si>
  <si>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</si>
  <si>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</si>
  <si>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</si>
  <si>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</si>
  <si>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</si>
  <si>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</si>
  <si>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</si>
  <si>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</si>
  <si>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</si>
  <si>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</si>
  <si>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</si>
  <si>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</si>
  <si>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</si>
  <si>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</si>
  <si>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</si>
  <si>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</si>
  <si>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</si>
  <si>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</si>
  <si>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</si>
  <si>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</si>
  <si>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</si>
  <si>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</si>
  <si>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</si>
  <si>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</si>
  <si>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</si>
  <si>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</si>
  <si>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</si>
  <si>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</si>
  <si>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</si>
  <si>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</si>
  <si>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</si>
  <si>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</si>
  <si>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</si>
  <si>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</si>
  <si>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</si>
  <si>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</si>
  <si>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</si>
  <si>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</si>
  <si>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</si>
  <si>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</si>
  <si>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</si>
  <si>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</si>
  <si>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</si>
  <si>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</si>
  <si>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</si>
  <si>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</si>
  <si>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</si>
  <si>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</si>
  <si>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</si>
  <si>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</si>
  <si>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</si>
  <si>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</si>
  <si>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</si>
  <si>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</si>
  <si>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</si>
  <si>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</si>
  <si>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</si>
  <si>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</si>
  <si>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</si>
  <si>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</si>
  <si>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</si>
  <si>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</si>
  <si>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</si>
  <si>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</si>
  <si>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</si>
  <si>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</si>
  <si>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</si>
  <si>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</si>
  <si>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</si>
  <si>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</si>
  <si>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</si>
  <si>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</si>
  <si>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</si>
  <si>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</si>
  <si>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</si>
  <si>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</si>
  <si>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</si>
  <si>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</si>
  <si>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</si>
  <si>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</si>
  <si>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</si>
  <si>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</si>
  <si>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</si>
  <si>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</si>
  <si>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</si>
  <si>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</si>
  <si>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</si>
  <si>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</si>
  <si>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</si>
  <si>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</si>
  <si>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</si>
  <si>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</si>
  <si>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</si>
  <si>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</si>
  <si>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</si>
  <si>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</si>
  <si>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</si>
  <si>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</si>
  <si>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</si>
  <si>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</si>
  <si>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</si>
  <si>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</si>
  <si>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</si>
  <si>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</si>
  <si>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</si>
  <si>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</si>
  <si>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</si>
  <si>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</si>
  <si>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</si>
  <si>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</si>
  <si>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</si>
  <si>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</si>
  <si>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</si>
  <si>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</si>
  <si>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</si>
  <si>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</si>
  <si>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</si>
  <si>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</si>
  <si>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</si>
  <si>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</si>
  <si>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</si>
  <si>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</si>
  <si>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</si>
  <si>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</si>
  <si>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</si>
  <si>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</si>
  <si>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</si>
  <si>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</si>
  <si>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</si>
  <si>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</si>
  <si>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</si>
  <si>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</si>
  <si>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</si>
  <si>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</si>
  <si>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</si>
  <si>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</si>
  <si>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</si>
  <si>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</si>
  <si>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</si>
  <si>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</si>
  <si>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</si>
  <si>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</si>
  <si>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</si>
  <si>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</si>
  <si>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</si>
  <si>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</si>
  <si>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</si>
  <si>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</si>
  <si>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</si>
  <si>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</si>
  <si>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</si>
  <si>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</si>
  <si>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</si>
  <si>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</si>
  <si>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</si>
  <si>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</si>
  <si>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</si>
  <si>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</si>
  <si>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</si>
  <si>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</si>
  <si>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</si>
  <si>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</si>
  <si>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</si>
  <si>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</si>
  <si>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</si>
  <si>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</si>
  <si>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</si>
  <si>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</si>
  <si>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</si>
  <si>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</si>
  <si>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</si>
  <si>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</si>
  <si>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</si>
  <si>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</si>
  <si>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</si>
  <si>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</si>
  <si>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</si>
  <si>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</si>
  <si>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</si>
  <si>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</si>
  <si>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</si>
  <si>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</si>
  <si>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</si>
  <si>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</si>
  <si>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</si>
  <si>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</si>
  <si>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</si>
  <si>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</si>
  <si>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</si>
  <si>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</si>
  <si>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</si>
  <si>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</si>
  <si>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</si>
  <si>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</si>
  <si>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</si>
  <si>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</si>
  <si>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</si>
  <si>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</si>
  <si>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</si>
  <si>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</si>
  <si>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</si>
  <si>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</si>
  <si>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</si>
  <si>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</si>
  <si>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</si>
  <si>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</si>
  <si>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</si>
  <si>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</si>
  <si>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</si>
  <si>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</si>
  <si>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</si>
  <si>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</si>
  <si>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</si>
  <si>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</si>
  <si>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</si>
  <si>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</si>
  <si>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</si>
  <si>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</si>
  <si>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</si>
  <si>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</si>
  <si>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</si>
  <si>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</si>
  <si>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</si>
  <si>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</si>
  <si>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</si>
  <si>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</si>
  <si>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</si>
  <si>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</si>
  <si>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</si>
  <si>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</si>
  <si>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</si>
  <si>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</si>
  <si>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</si>
  <si>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</si>
  <si>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</si>
  <si>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</si>
  <si>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</si>
  <si>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</si>
  <si>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</si>
  <si>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</si>
  <si>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</si>
  <si>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</si>
  <si>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</si>
  <si>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</si>
  <si>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</si>
  <si>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</si>
  <si>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</si>
  <si>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</si>
  <si>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</si>
  <si>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</si>
  <si>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</si>
  <si>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</si>
  <si>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</si>
  <si>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</si>
  <si>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</si>
  <si>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</si>
  <si>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</si>
  <si>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</si>
  <si>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</si>
  <si>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</si>
  <si>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</si>
  <si>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</si>
  <si>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</si>
  <si>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</si>
  <si>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</si>
  <si>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</si>
  <si>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</si>
  <si>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</si>
  <si>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</si>
  <si>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</si>
  <si>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</si>
  <si>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</si>
  <si>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</si>
  <si>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</si>
  <si>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</si>
  <si>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</si>
  <si>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</si>
  <si>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</si>
  <si>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</si>
  <si>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</si>
  <si>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</si>
  <si>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</si>
  <si>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</si>
  <si>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</si>
  <si>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</si>
  <si>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</si>
  <si>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</si>
  <si>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</si>
  <si>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</si>
  <si>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</si>
  <si>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</si>
  <si>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</si>
  <si>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</si>
  <si>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</si>
  <si>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</si>
  <si>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</si>
  <si>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</si>
  <si>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</si>
  <si>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</si>
  <si>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</si>
  <si>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</si>
  <si>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</si>
  <si>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</si>
  <si>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</si>
  <si>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</si>
  <si>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</si>
  <si>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</si>
  <si>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</si>
  <si>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</si>
  <si>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</si>
  <si>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</si>
  <si>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</si>
  <si>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</si>
  <si>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</si>
  <si>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</si>
  <si>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</si>
  <si>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</si>
  <si>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</si>
  <si>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</si>
  <si>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</si>
  <si>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</si>
  <si>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</si>
  <si>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</si>
  <si>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</si>
  <si>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</si>
  <si>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</si>
  <si>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</si>
  <si>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</si>
  <si>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</si>
  <si>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</si>
  <si>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</si>
  <si>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</si>
  <si>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</si>
  <si>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</si>
  <si>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</si>
  <si>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</si>
  <si>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</si>
  <si>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</si>
  <si>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</si>
  <si>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</si>
  <si>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</si>
  <si>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</si>
  <si>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</si>
  <si>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</si>
  <si>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</si>
  <si>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</si>
  <si>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</si>
  <si>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</si>
  <si>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</si>
  <si>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</si>
  <si>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</si>
  <si>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</si>
  <si>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</si>
  <si>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</si>
  <si>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</si>
  <si>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</si>
  <si>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</si>
  <si>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</si>
  <si>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</si>
  <si>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</si>
  <si>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</si>
  <si>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</si>
  <si>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</si>
  <si>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</si>
  <si>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</si>
  <si>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</si>
  <si>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</si>
  <si>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</si>
  <si>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</si>
  <si>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</si>
  <si>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</si>
  <si>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</si>
  <si>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</si>
  <si>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</si>
  <si>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</si>
  <si>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</si>
  <si>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</si>
  <si>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</si>
  <si>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</si>
  <si>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</si>
  <si>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</si>
  <si>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</si>
  <si>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</si>
  <si>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</si>
  <si>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</si>
  <si>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</si>
  <si>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</si>
  <si>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</si>
  <si>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</si>
  <si>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</si>
  <si>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</si>
  <si>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</si>
  <si>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</si>
  <si>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</si>
  <si>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</si>
  <si>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</si>
  <si>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</si>
  <si>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</si>
  <si>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</si>
  <si>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</si>
  <si>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</si>
  <si>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</si>
  <si>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</si>
  <si>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</si>
  <si>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</si>
  <si>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</si>
  <si>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</si>
  <si>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</si>
  <si>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</si>
  <si>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</si>
  <si>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</si>
  <si>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</si>
  <si>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</si>
  <si>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</si>
  <si>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</si>
  <si>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</si>
  <si>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</si>
  <si>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</si>
  <si>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</si>
  <si>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</si>
  <si>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</si>
  <si>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</si>
  <si>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</si>
  <si>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</si>
  <si>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</si>
  <si>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</si>
  <si>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</si>
  <si>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</si>
  <si>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</si>
  <si>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</si>
  <si>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</si>
  <si>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</si>
  <si>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</si>
  <si>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</si>
  <si>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</si>
  <si>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</si>
  <si>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</si>
  <si>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</si>
  <si>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</si>
  <si>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</si>
  <si>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</si>
  <si>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</si>
  <si>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</si>
  <si>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</si>
  <si>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</si>
  <si>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</si>
  <si>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</si>
  <si>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</si>
  <si>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</si>
  <si>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</si>
  <si>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</si>
  <si>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</si>
  <si>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</si>
  <si>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</si>
  <si>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</si>
  <si>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</si>
  <si>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</si>
  <si>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</si>
  <si>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</si>
  <si>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</si>
  <si>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</si>
  <si>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</si>
  <si>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</si>
  <si>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</si>
  <si>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</si>
  <si>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</si>
  <si>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</si>
  <si>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</si>
  <si>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</si>
  <si>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</si>
  <si>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</si>
  <si>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</si>
  <si>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</si>
  <si>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</si>
  <si>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</si>
  <si>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</si>
  <si>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</si>
  <si>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</si>
  <si>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</si>
  <si>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</si>
  <si>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</si>
  <si>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</si>
  <si>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</si>
  <si>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</si>
  <si>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</si>
  <si>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</si>
  <si>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</si>
  <si>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</si>
  <si>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</si>
  <si>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</si>
  <si>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</si>
  <si>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</si>
  <si>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</si>
  <si>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</si>
  <si>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</si>
  <si>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</si>
  <si>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</si>
  <si>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</si>
  <si>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</si>
  <si>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</si>
  <si>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</si>
  <si>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</si>
  <si>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</si>
  <si>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</si>
  <si>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</si>
  <si>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</si>
  <si>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</si>
  <si>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</si>
  <si>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</si>
  <si>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</si>
  <si>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</si>
  <si>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</si>
  <si>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</si>
  <si>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</si>
  <si>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</si>
  <si>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</si>
  <si>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</si>
  <si>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</si>
  <si>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</si>
  <si>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</si>
  <si>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</si>
  <si>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</si>
  <si>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</si>
  <si>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</si>
  <si>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</si>
  <si>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</si>
  <si>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</si>
  <si>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</si>
  <si>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</si>
  <si>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</si>
  <si>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</si>
  <si>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</si>
  <si>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</si>
  <si>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</si>
  <si>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</si>
  <si>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</si>
  <si>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</si>
  <si>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</si>
  <si>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</si>
  <si>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</si>
  <si>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</si>
  <si>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</si>
  <si>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</si>
  <si>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</si>
  <si>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</si>
  <si>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</si>
  <si>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</si>
  <si>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</si>
  <si>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</si>
  <si>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</si>
  <si>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</si>
  <si>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</si>
  <si>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</si>
  <si>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</si>
  <si>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</si>
  <si>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</si>
  <si>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</si>
  <si>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</si>
  <si>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</si>
  <si>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</si>
  <si>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</si>
  <si>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</si>
  <si>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</si>
  <si>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</si>
  <si>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</si>
  <si>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</si>
  <si>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</si>
  <si>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</si>
  <si>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</si>
  <si>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</si>
  <si>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</si>
  <si>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</si>
  <si>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</si>
  <si>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</si>
  <si>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</si>
  <si>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</si>
  <si>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</si>
  <si>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</si>
  <si>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</si>
  <si>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</si>
  <si>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</si>
  <si>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</si>
  <si>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</si>
  <si>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</si>
  <si>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</si>
  <si>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</si>
  <si>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</si>
  <si>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</si>
  <si>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</si>
  <si>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</si>
  <si>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</si>
  <si>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</si>
  <si>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</si>
  <si>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</si>
  <si>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</si>
  <si>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</si>
  <si>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</si>
  <si>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</si>
  <si>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</si>
  <si>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</si>
  <si>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</si>
  <si>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</si>
  <si>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</si>
  <si>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</si>
  <si>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</si>
  <si>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</si>
  <si>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</si>
  <si>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</si>
  <si>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</si>
  <si>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</si>
  <si>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</si>
  <si>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</si>
  <si>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</si>
  <si>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</si>
  <si>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</si>
  <si>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</si>
  <si>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</si>
  <si>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</si>
  <si>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</si>
  <si>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</si>
  <si>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</si>
  <si>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</si>
  <si>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</si>
  <si>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</si>
  <si>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</si>
  <si>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</si>
  <si>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</si>
  <si>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</si>
  <si>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</si>
  <si>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</si>
  <si>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</si>
  <si>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</si>
  <si>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</si>
  <si>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</si>
  <si>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</si>
  <si>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</si>
  <si>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</si>
  <si>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</si>
  <si>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</si>
  <si>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</si>
  <si>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</si>
  <si>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</si>
  <si>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</si>
  <si>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</si>
  <si>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</si>
  <si>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</si>
  <si>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</si>
  <si>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</si>
  <si>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</si>
  <si>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</si>
  <si>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</si>
  <si>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</si>
  <si>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</si>
  <si>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</si>
  <si>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</si>
  <si>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</si>
  <si>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</si>
  <si>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</si>
  <si>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</si>
  <si>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</si>
  <si>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</si>
  <si>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</si>
  <si>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</si>
  <si>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</si>
  <si>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</si>
  <si>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</si>
  <si>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</si>
  <si>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</si>
  <si>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</si>
  <si>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</si>
  <si>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</si>
  <si>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</si>
  <si>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</si>
  <si>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</si>
  <si>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</si>
  <si>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</si>
  <si>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</si>
  <si>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</si>
  <si>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</si>
  <si>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</si>
  <si>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</si>
  <si>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</si>
  <si>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</si>
  <si>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</si>
  <si>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</si>
  <si>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</si>
  <si>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</si>
  <si>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</si>
  <si>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</si>
  <si>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</si>
  <si>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</si>
  <si>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</si>
  <si>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</si>
  <si>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</si>
  <si>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</si>
  <si>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</si>
  <si>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</si>
  <si>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</si>
  <si>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</si>
  <si>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</si>
  <si>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</si>
  <si>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</si>
  <si>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</si>
  <si>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</si>
  <si>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</si>
  <si>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</si>
  <si>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</si>
  <si>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</si>
  <si>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</si>
  <si>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</si>
  <si>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</si>
  <si>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</si>
  <si>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</si>
  <si>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</si>
  <si>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</si>
  <si>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</si>
  <si>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</si>
  <si>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</si>
  <si>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</si>
  <si>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</si>
  <si>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</si>
  <si>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</si>
  <si>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</si>
  <si>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</si>
  <si>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</si>
  <si>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</si>
  <si>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</si>
  <si>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</si>
  <si>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</si>
  <si>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</si>
  <si>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</si>
  <si>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</si>
  <si>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</si>
  <si>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</si>
  <si>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</si>
  <si>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</si>
  <si>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</si>
  <si>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</si>
  <si>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</si>
  <si>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</si>
  <si>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</si>
  <si>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</si>
  <si>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</si>
  <si>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</si>
  <si>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</si>
  <si>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</si>
  <si>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</si>
  <si>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</si>
  <si>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</si>
  <si>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</si>
  <si>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</si>
  <si>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</si>
  <si>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</si>
  <si>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</si>
  <si>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</si>
  <si>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</si>
  <si>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</si>
  <si>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</si>
  <si>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</si>
  <si>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</si>
  <si>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</si>
  <si>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</si>
  <si>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</si>
  <si>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</si>
  <si>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</si>
  <si>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</si>
  <si>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</si>
  <si>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</si>
  <si>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</si>
  <si>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</si>
  <si>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</si>
  <si>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</si>
  <si>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</si>
  <si>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</si>
  <si>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</si>
  <si>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</si>
  <si>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</si>
  <si>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</si>
  <si>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</si>
  <si>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</si>
  <si>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</si>
  <si>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</si>
  <si>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</si>
  <si>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</si>
  <si>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</si>
  <si>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</si>
  <si>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</si>
  <si>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</si>
  <si>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</si>
  <si>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</si>
  <si>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</si>
  <si>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</si>
  <si>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</si>
  <si>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</si>
  <si>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</si>
  <si>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</si>
  <si>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</si>
  <si>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</si>
  <si>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</si>
  <si>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</si>
  <si>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</si>
  <si>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</si>
  <si>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</si>
  <si>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</si>
  <si>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</si>
  <si>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</si>
  <si>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</si>
  <si>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</si>
  <si>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</si>
  <si>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</si>
  <si>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</si>
  <si>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</si>
  <si>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</si>
  <si>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</si>
  <si>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</si>
  <si>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</si>
  <si>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</si>
  <si>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</si>
  <si>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</si>
  <si>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</si>
  <si>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</si>
  <si>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</si>
  <si>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</si>
  <si>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</si>
  <si>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</si>
  <si>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</si>
  <si>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</si>
  <si>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</si>
  <si>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</si>
  <si>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</si>
  <si>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</si>
  <si>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</si>
  <si>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</si>
  <si>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</si>
  <si>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</si>
  <si>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</si>
  <si>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</si>
  <si>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</si>
  <si>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</si>
  <si>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</si>
  <si>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</si>
  <si>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</si>
  <si>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</si>
  <si>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</si>
  <si>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</si>
  <si>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</si>
  <si>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</si>
  <si>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</si>
  <si>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</si>
  <si>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</si>
  <si>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</si>
  <si>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</si>
  <si>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</si>
  <si>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</si>
  <si>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</si>
  <si>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</si>
  <si>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</si>
  <si>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</si>
  <si>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</si>
  <si>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</si>
  <si>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</si>
  <si>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</si>
  <si>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</si>
  <si>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</si>
  <si>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</si>
  <si>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</si>
  <si>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</si>
  <si>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</si>
  <si>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</si>
  <si>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</si>
  <si>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</si>
  <si>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</si>
  <si>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</si>
  <si>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</si>
  <si>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</si>
  <si>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</si>
  <si>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</si>
  <si>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</si>
  <si>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</si>
  <si>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</si>
  <si>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</si>
  <si>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</si>
  <si>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</si>
  <si>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</si>
  <si>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</si>
  <si>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</si>
  <si>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</si>
  <si>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</si>
  <si>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</si>
  <si>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</si>
  <si>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</si>
  <si>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</si>
  <si>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</si>
  <si>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</si>
  <si>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</si>
  <si>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</si>
  <si>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</si>
  <si>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</si>
  <si>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</si>
  <si>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</si>
  <si>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</si>
  <si>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</si>
  <si>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</si>
  <si>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</si>
  <si>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</si>
  <si>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</si>
  <si>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</si>
  <si>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</si>
  <si>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</si>
  <si>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</si>
  <si>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</si>
  <si>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</si>
  <si>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</si>
  <si>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</si>
  <si>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</si>
  <si>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</si>
  <si>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</si>
  <si>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</si>
  <si>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</si>
  <si>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</si>
  <si>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</si>
  <si>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</si>
  <si>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</si>
  <si>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</si>
  <si>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</si>
  <si>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</si>
  <si>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</si>
  <si>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</si>
  <si>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</si>
  <si>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</si>
  <si>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</si>
  <si>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</si>
  <si>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</si>
  <si>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</si>
  <si>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</si>
  <si>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</si>
  <si>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</si>
  <si>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</si>
  <si>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</si>
  <si>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</si>
  <si>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</si>
  <si>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</si>
  <si>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</si>
  <si>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</si>
  <si>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</si>
  <si>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</si>
  <si>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</si>
  <si>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</si>
  <si>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</si>
  <si>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</si>
  <si>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</si>
  <si>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</si>
  <si>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</si>
  <si>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</si>
  <si>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</si>
  <si>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</si>
  <si>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产权号</t>
  </si>
  <si>
    <t>坐落</t>
  </si>
  <si>
    <t>不动产单元号</t>
  </si>
  <si>
    <t>建筑面积（m²）</t>
  </si>
  <si>
    <t>京（2020）丰不动产第0030629号</t>
  </si>
  <si>
    <t>110106 009001 GB00001 F00030018</t>
  </si>
  <si>
    <t>京（2020）丰不动产第0030627号</t>
  </si>
  <si>
    <t>北京市丰台区丰台北路18号院3号楼21层2101</t>
  </si>
  <si>
    <t>110106 009001 GB00001 F00030017</t>
  </si>
  <si>
    <t>京（2020）丰不动产第0030606号</t>
  </si>
  <si>
    <t>北京市丰台区丰台北路18号院3号楼20层2001</t>
  </si>
  <si>
    <t>110106 009001 GB00001 F00030013</t>
  </si>
  <si>
    <t>京（2020）丰不动产第0030713号</t>
  </si>
  <si>
    <t>北京市丰台区丰台北路18号院3号楼19层1901</t>
  </si>
  <si>
    <t>110106 009001 GB00001 F00030012</t>
  </si>
  <si>
    <t>京（2020）丰不动产第0030716号</t>
  </si>
  <si>
    <t>北京市丰台区丰台北路18号院3号楼18层1801</t>
  </si>
  <si>
    <t>110106 009001 GB00001 F00030011</t>
  </si>
  <si>
    <t>京（2020）丰不动产第0030717号</t>
  </si>
  <si>
    <t>北京市丰台区丰台北路18号院3号楼17层1701</t>
  </si>
  <si>
    <t>110106 009001 GB00001 F00030010</t>
  </si>
  <si>
    <t>京（2020）丰不动产第0030714号</t>
  </si>
  <si>
    <t>北京市丰台区丰台北路18号院3号楼16层1601</t>
  </si>
  <si>
    <t>110106 009001 GB00001 F00030009</t>
  </si>
  <si>
    <t>京（2020）丰不动产第0030603号</t>
  </si>
  <si>
    <t>北京市丰台区丰台北路18号院3号楼15层1501</t>
  </si>
  <si>
    <t>110106 009001 GB00001 F00030008</t>
  </si>
  <si>
    <t>京（2020）丰不动产第0030605号</t>
  </si>
  <si>
    <t>北京市丰台区丰台北路18号院3号楼14层1401</t>
  </si>
  <si>
    <t>110106 009001 GB00001 F00030007</t>
  </si>
  <si>
    <t>京（2020）丰不动产第0030632号</t>
  </si>
  <si>
    <t>北京市丰台区丰台北路18号院3号楼13层1301</t>
  </si>
  <si>
    <t>110106 009001 GB00001 F00030006</t>
  </si>
  <si>
    <t>京（2020）丰不动产第0030715号</t>
  </si>
  <si>
    <t>北京市丰台区丰台北路18号院3号楼12层1201</t>
  </si>
  <si>
    <t>110106 009001 GB00001 F00030005</t>
  </si>
  <si>
    <t>京（2020）丰不动产第0030634号</t>
  </si>
  <si>
    <t>北京市丰台区丰台北路18号院3号楼11层1101</t>
  </si>
  <si>
    <t>110106 009001 GB00001 F00030004</t>
  </si>
  <si>
    <t>京（2020）丰不动产第0030630号</t>
  </si>
  <si>
    <t>北京市丰台区丰台北路18号院3号楼10层1001</t>
  </si>
  <si>
    <t>110106 009001 GB00001 F00030001</t>
  </si>
  <si>
    <t>京（2020）丰不动产第0030635号</t>
  </si>
  <si>
    <t>北京市丰台区丰台北路18号院3号楼9层901</t>
  </si>
  <si>
    <t>110106 009001 GB00001 F00030028</t>
  </si>
  <si>
    <t>京（2020）丰不动产第0030625号</t>
  </si>
  <si>
    <t>北京市丰台区丰台北路18号院3号楼8层801</t>
  </si>
  <si>
    <t>110106 009001 GB00001 F00030027</t>
  </si>
  <si>
    <t>京（2020）丰不动产第0030626号</t>
  </si>
  <si>
    <t>北京市丰台区丰台北路18号院3号楼7层701</t>
  </si>
  <si>
    <t>110106 009001 GB00001 F00030026</t>
  </si>
  <si>
    <t>京（2020）丰不动产第0030597号</t>
  </si>
  <si>
    <t>北京市丰台区丰台北路18号院3号楼6层601</t>
  </si>
  <si>
    <t>110106 009001 GB00001 F00030025</t>
  </si>
  <si>
    <t>京（2020）丰不动产第0030621号</t>
  </si>
  <si>
    <t>北京市丰台区丰台北路18号院3号楼5层501</t>
  </si>
  <si>
    <t>110106 009001 GB00001 F00030023</t>
  </si>
  <si>
    <t>京（2020）丰不动产第0030593号</t>
  </si>
  <si>
    <t>北京市丰台区丰台北路18号院3号楼5层502</t>
  </si>
  <si>
    <t>110106 009001 GB00001 F00030024</t>
  </si>
  <si>
    <t>京（2020）丰不动产第0030599号</t>
  </si>
  <si>
    <t>北京市丰台区丰台北路18号院3号楼4层401</t>
  </si>
  <si>
    <t>110106 009001 GB00001 F00030021</t>
  </si>
  <si>
    <t>京（2020）丰不动产第0030591号</t>
  </si>
  <si>
    <t>北京市丰台区丰台北路18号院3号楼4层403</t>
  </si>
  <si>
    <t>110106 009001 GB00001 F00030022</t>
  </si>
  <si>
    <t>京（2020）丰不动产第0030595号</t>
  </si>
  <si>
    <t>北京市丰台区丰台北路18号院3号楼3层301</t>
  </si>
  <si>
    <t>110106 009001 GB00001 F00030019</t>
  </si>
  <si>
    <t>京（2020）丰不动产第0030592号</t>
  </si>
  <si>
    <t>北京市丰台区丰台北路18号院3号楼3层302</t>
  </si>
  <si>
    <t>110106 009001 GB00001 F00030020</t>
  </si>
  <si>
    <t>京（2020）丰不动产第0030601号</t>
  </si>
  <si>
    <t>北京市丰台区丰台北路18号院3号楼2层201</t>
  </si>
  <si>
    <t>110106 009001 GB00001 F00030014</t>
  </si>
  <si>
    <t>京（2020）丰不动产第0030600号</t>
  </si>
  <si>
    <t>北京市丰台区丰台北路18号院3号楼2层202</t>
  </si>
  <si>
    <t>110106 009001 GB00001 F00030015</t>
  </si>
  <si>
    <t>京（2020）丰不动产第0030631号</t>
  </si>
  <si>
    <t>北京市丰台区丰台北路18号院3号楼2层203</t>
  </si>
  <si>
    <t>110106 009001 GB00001 F00030016</t>
  </si>
  <si>
    <t>京（2020）丰不动产第0030604号</t>
  </si>
  <si>
    <t>北京市丰台区丰台北路18号院3号楼1层102</t>
  </si>
  <si>
    <t>110106 009001 GB00001 F00030003</t>
  </si>
  <si>
    <t>京（2020）丰不动产第0030602号</t>
  </si>
  <si>
    <t>北京市丰台区丰台北路18号院3号楼1层101</t>
  </si>
  <si>
    <t>110106 009001 GB00001 F00030002</t>
  </si>
  <si>
    <t>序号</t>
    <phoneticPr fontId="134" type="noConversion"/>
  </si>
  <si>
    <t>租约</t>
    <phoneticPr fontId="3" type="noConversion"/>
  </si>
  <si>
    <t>起始</t>
    <phoneticPr fontId="3" type="noConversion"/>
  </si>
  <si>
    <t>终止</t>
    <phoneticPr fontId="3" type="noConversion"/>
  </si>
  <si>
    <t>起始年租金</t>
    <phoneticPr fontId="3" type="noConversion"/>
  </si>
  <si>
    <t>剩余年限</t>
    <phoneticPr fontId="3" type="noConversion"/>
  </si>
  <si>
    <t>办公</t>
    <phoneticPr fontId="134" type="noConversion"/>
  </si>
  <si>
    <t>办公</t>
    <phoneticPr fontId="134" type="noConversion"/>
  </si>
  <si>
    <t>用途</t>
    <phoneticPr fontId="134" type="noConversion"/>
  </si>
  <si>
    <t>崔锴</t>
  </si>
  <si>
    <t>郑燚</t>
  </si>
  <si>
    <t>北京市丰台区丰台北路18号院3号楼22层2201</t>
    <phoneticPr fontId="134" type="noConversion"/>
  </si>
  <si>
    <t>是</t>
  </si>
  <si>
    <t>地上</t>
  </si>
  <si>
    <t>办公-基准</t>
  </si>
  <si>
    <t>办公-基准</t>
    <phoneticPr fontId="7" type="noConversion"/>
  </si>
  <si>
    <t>建成</t>
    <phoneticPr fontId="3" type="noConversion"/>
  </si>
  <si>
    <t>直线</t>
    <phoneticPr fontId="3" type="noConversion"/>
  </si>
  <si>
    <t>成新度</t>
  </si>
  <si>
    <t>收益法 (元)</t>
  </si>
  <si>
    <t>较好</t>
    <phoneticPr fontId="40" type="noConversion"/>
  </si>
  <si>
    <t>较好</t>
    <phoneticPr fontId="24" type="noConversion"/>
  </si>
  <si>
    <t>较好</t>
    <phoneticPr fontId="24" type="noConversion"/>
  </si>
  <si>
    <t>较好</t>
    <phoneticPr fontId="40" type="noConversion"/>
  </si>
  <si>
    <t>较好</t>
    <phoneticPr fontId="40" type="noConversion"/>
  </si>
  <si>
    <t>七通</t>
    <phoneticPr fontId="24" type="noConversion"/>
  </si>
  <si>
    <t>押一</t>
  </si>
  <si>
    <t>钢混</t>
  </si>
  <si>
    <t>非生产用房</t>
  </si>
  <si>
    <t>否</t>
  </si>
  <si>
    <t>首科大厦</t>
    <phoneticPr fontId="3" type="noConversion"/>
  </si>
  <si>
    <t>国投财富广场</t>
    <phoneticPr fontId="3" type="noConversion"/>
  </si>
  <si>
    <t>鼎观格调</t>
    <phoneticPr fontId="3" type="noConversion"/>
  </si>
  <si>
    <t>单套模式</t>
  </si>
  <si>
    <t>售价</t>
  </si>
  <si>
    <t>比较法-办公</t>
  </si>
  <si>
    <t>楼面单价</t>
  </si>
  <si>
    <t>市场租金</t>
    <phoneticPr fontId="3"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</si>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</sst>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95" fillId="0" borderId="0" xfId="0" applyFont="1">
      <alignment vertical="center"/>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14" fontId="113"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71" fillId="0" borderId="0" xfId="0"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152038</xdr:colOff>
      <xdr:row>32</xdr:row>
      <xdr:rowOff>94552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895238" cy="5580952"/>
        </a:xfrm>
        <a:prstGeom prst="rect">
          <a:avLst/>
        </a:prstGeom>
      </xdr:spPr>
    </xdr:pic>
    <xdr:clientData/>
  </xdr:twoCellAnchor>
  <xdr:twoCellAnchor editAs="oneCell">
    <xdr:from>
      <xdr:col>5</xdr:col>
      <xdr:colOff>0</xdr:colOff>
      <xdr:row>0</xdr:row>
      <xdr:rowOff>0</xdr:rowOff>
    </xdr:from>
    <xdr:to>
      <xdr:col>9</xdr:col>
      <xdr:colOff>199657</xdr:colOff>
      <xdr:row>16</xdr:row>
      <xdr:rowOff>113943</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2942857" cy="2857143"/>
        </a:xfrm>
        <a:prstGeom prst="rect">
          <a:avLst/>
        </a:prstGeom>
      </xdr:spPr>
    </xdr:pic>
    <xdr:clientData/>
  </xdr:twoCellAnchor>
  <xdr:twoCellAnchor editAs="oneCell">
    <xdr:from>
      <xdr:col>10</xdr:col>
      <xdr:colOff>0</xdr:colOff>
      <xdr:row>0</xdr:row>
      <xdr:rowOff>0</xdr:rowOff>
    </xdr:from>
    <xdr:to>
      <xdr:col>14</xdr:col>
      <xdr:colOff>380609</xdr:colOff>
      <xdr:row>22</xdr:row>
      <xdr:rowOff>66195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0"/>
          <a:ext cx="3123809" cy="3838095"/>
        </a:xfrm>
        <a:prstGeom prst="rect">
          <a:avLst/>
        </a:prstGeom>
      </xdr:spPr>
    </xdr:pic>
    <xdr:clientData/>
  </xdr:twoCellAnchor>
  <xdr:twoCellAnchor editAs="oneCell">
    <xdr:from>
      <xdr:col>0</xdr:col>
      <xdr:colOff>0</xdr:colOff>
      <xdr:row>33</xdr:row>
      <xdr:rowOff>0</xdr:rowOff>
    </xdr:from>
    <xdr:to>
      <xdr:col>4</xdr:col>
      <xdr:colOff>332990</xdr:colOff>
      <xdr:row>70</xdr:row>
      <xdr:rowOff>142064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57850"/>
          <a:ext cx="3076190" cy="6485714"/>
        </a:xfrm>
        <a:prstGeom prst="rect">
          <a:avLst/>
        </a:prstGeom>
      </xdr:spPr>
    </xdr:pic>
    <xdr:clientData/>
  </xdr:twoCellAnchor>
  <xdr:twoCellAnchor editAs="oneCell">
    <xdr:from>
      <xdr:col>5</xdr:col>
      <xdr:colOff>0</xdr:colOff>
      <xdr:row>24</xdr:row>
      <xdr:rowOff>0</xdr:rowOff>
    </xdr:from>
    <xdr:to>
      <xdr:col>9</xdr:col>
      <xdr:colOff>409181</xdr:colOff>
      <xdr:row>73</xdr:row>
      <xdr:rowOff>94188</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4114800"/>
          <a:ext cx="3152381" cy="8495238"/>
        </a:xfrm>
        <a:prstGeom prst="rect">
          <a:avLst/>
        </a:prstGeom>
      </xdr:spPr>
    </xdr:pic>
    <xdr:clientData/>
  </xdr:twoCellAnchor>
  <xdr:twoCellAnchor editAs="oneCell">
    <xdr:from>
      <xdr:col>11</xdr:col>
      <xdr:colOff>0</xdr:colOff>
      <xdr:row>24</xdr:row>
      <xdr:rowOff>0</xdr:rowOff>
    </xdr:from>
    <xdr:to>
      <xdr:col>20</xdr:col>
      <xdr:colOff>303990</xdr:colOff>
      <xdr:row>58</xdr:row>
      <xdr:rowOff>132605</xdr:rowOff>
    </xdr:to>
    <xdr:pic>
      <xdr:nvPicPr>
        <xdr:cNvPr id="7" name="图片 6"/>
        <xdr:cNvPicPr>
          <a:picLocks noChangeAspect="1"/>
        </xdr:cNvPicPr>
      </xdr:nvPicPr>
      <xdr:blipFill>
        <a:blip xmlns:r="http://schemas.openxmlformats.org/officeDocument/2006/relationships" r:embed="rId6"/>
        <a:stretch>
          <a:fillRect/>
        </a:stretch>
      </xdr:blipFill>
      <xdr:spPr>
        <a:xfrm>
          <a:off x="7543800" y="4114800"/>
          <a:ext cx="6476190" cy="5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估价对象为房地产，为所有。根据《国有土地使用证》[]，估价对象（分摊）出让国有建设用地使用权面积为27621.77平方米，建筑面积为1718.77平方米。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估价对象为房地产,属开发建设的，该项目尚在开发建设中。根据《国有土地使用证》[]，估价对象（分摊）出让国有建设用地使用权面积为27621.77平方米，规划建筑面积为1718.77平方米。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2025年3月27日</v>
      </c>
    </row>
    <row r="13" spans="1:2" s="1203" customFormat="1">
      <c r="A13" s="1201" t="s">
        <v>529</v>
      </c>
      <c r="B13" s="1202" t="str">
        <f>'预评函-1'!A18</f>
        <v>本次估价的“房地产价值”是指在正常市场情况下，在价值时点2025年3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5388</v>
      </c>
    </row>
    <row r="21" spans="1:2" s="1203" customFormat="1">
      <c r="A21" s="1201" t="s">
        <v>537</v>
      </c>
      <c r="B21" s="1202">
        <f ca="1">'预评函-2'!D7</f>
        <v>31348</v>
      </c>
    </row>
    <row r="22" spans="1:2" s="1203" customFormat="1">
      <c r="A22" s="1201" t="s">
        <v>538</v>
      </c>
      <c r="B22" s="1202" t="str">
        <f ca="1">'预评函-2'!D6</f>
        <v>伍仟叁佰捌拾捌万元整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5388</v>
      </c>
    </row>
    <row r="31" spans="1:2" s="1203" customFormat="1">
      <c r="A31" s="1201" t="s">
        <v>576</v>
      </c>
      <c r="B31" s="1202">
        <f ca="1">'预评函-2'!D15</f>
        <v>31348</v>
      </c>
    </row>
    <row r="32" spans="1:2" s="1203" customFormat="1">
      <c r="A32" s="1201" t="s">
        <v>543</v>
      </c>
      <c r="B32" s="1202" t="str">
        <f ca="1">'预评函-2'!D14</f>
        <v>伍仟叁佰捌拾捌万元整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1718.77</v>
      </c>
    </row>
    <row r="44" spans="1:2" s="1203" customFormat="1">
      <c r="A44" s="1201" t="s">
        <v>575</v>
      </c>
      <c r="B44" s="1202" t="str">
        <f>'预评函-3'!C2</f>
        <v>(分摊)土地面积</v>
      </c>
    </row>
    <row r="45" spans="1:2" s="1203" customFormat="1">
      <c r="A45" s="1201" t="s">
        <v>547</v>
      </c>
      <c r="B45" s="1202">
        <f>'预评函-3'!C4</f>
        <v>27621.77</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2573</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2574</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2289</v>
      </c>
      <c r="C17" s="1547"/>
    </row>
    <row r="18" spans="1:3">
      <c r="A18" s="1546" t="s">
        <v>1046</v>
      </c>
      <c r="B18" s="1546" t="s">
        <v>2429</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I2" sqref="I2:R15"/>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2496</v>
      </c>
      <c r="B1" s="3012"/>
      <c r="C1" s="3012"/>
      <c r="D1" s="3012"/>
      <c r="E1" s="3012"/>
      <c r="F1" s="3013"/>
      <c r="I1" s="3435" t="s">
        <v>2589</v>
      </c>
      <c r="J1" s="3224"/>
      <c r="K1" s="3224"/>
      <c r="L1" s="3224"/>
      <c r="M1" s="3224"/>
      <c r="N1" s="3436"/>
      <c r="O1" s="3436"/>
      <c r="P1" s="3436"/>
      <c r="Q1" s="3436"/>
      <c r="R1" s="3436"/>
    </row>
    <row r="2" spans="1:18">
      <c r="A2" s="3015"/>
      <c r="B2" s="3016"/>
      <c r="C2" s="3016"/>
      <c r="D2" s="3016"/>
      <c r="E2" s="3016"/>
      <c r="F2" s="3017"/>
      <c r="I2" s="3501" t="s">
        <v>2576</v>
      </c>
      <c r="J2" s="3501"/>
      <c r="K2" s="3501"/>
      <c r="L2" s="3501"/>
      <c r="M2" s="3501"/>
      <c r="N2" s="3501"/>
      <c r="O2" s="3501"/>
      <c r="P2" s="3501"/>
      <c r="Q2" s="3501"/>
      <c r="R2" s="3501"/>
    </row>
    <row r="3" spans="1:18">
      <c r="A3" s="3018" t="s">
        <v>2497</v>
      </c>
      <c r="B3" s="3019">
        <f>项目基本情况!D3</f>
        <v>45743</v>
      </c>
      <c r="C3" s="3021"/>
      <c r="D3" s="3021"/>
      <c r="E3" s="3021"/>
      <c r="F3" s="3017"/>
      <c r="I3" s="3437"/>
      <c r="J3" s="3437" t="s">
        <v>2580</v>
      </c>
      <c r="K3" s="3437" t="s">
        <v>2581</v>
      </c>
      <c r="L3" s="3437" t="s">
        <v>2582</v>
      </c>
      <c r="M3" s="3437" t="s">
        <v>2583</v>
      </c>
      <c r="N3" s="3438" t="s">
        <v>2584</v>
      </c>
      <c r="O3" s="3438" t="s">
        <v>2585</v>
      </c>
      <c r="P3" s="3438" t="s">
        <v>2586</v>
      </c>
      <c r="Q3" s="3438" t="s">
        <v>2587</v>
      </c>
      <c r="R3" s="3438" t="s">
        <v>2588</v>
      </c>
    </row>
    <row r="4" spans="1:18">
      <c r="A4" s="3018" t="s">
        <v>2498</v>
      </c>
      <c r="B4" s="3021" t="s">
        <v>2499</v>
      </c>
      <c r="C4" s="3021" t="s">
        <v>2500</v>
      </c>
      <c r="D4" s="3021" t="s">
        <v>2501</v>
      </c>
      <c r="E4" s="3021" t="s">
        <v>2502</v>
      </c>
      <c r="F4" s="3017"/>
      <c r="I4" s="3437" t="s">
        <v>2577</v>
      </c>
      <c r="J4" s="3437">
        <v>80</v>
      </c>
      <c r="K4" s="3437">
        <v>70</v>
      </c>
      <c r="L4" s="3437">
        <v>20</v>
      </c>
      <c r="M4" s="3437">
        <v>30</v>
      </c>
      <c r="N4" s="3021">
        <v>45</v>
      </c>
      <c r="O4" s="3021">
        <v>60</v>
      </c>
      <c r="P4" s="3021">
        <v>50</v>
      </c>
      <c r="Q4" s="3021">
        <v>20</v>
      </c>
      <c r="R4" s="3021">
        <v>375</v>
      </c>
    </row>
    <row r="5" spans="1:18">
      <c r="A5" s="3022">
        <v>40</v>
      </c>
      <c r="B5" s="3019">
        <v>46375</v>
      </c>
      <c r="C5" s="3021">
        <f>ROUNDDOWN(MIN((B5-B3)/365,A5),2)</f>
        <v>1.73</v>
      </c>
      <c r="D5" s="3023">
        <f>IF(ISERROR(ROUND(POWER(1+E5,A5-C5)*(POWER(1+E5,C5)-1)/(POWER(1+E5,A5)-1),3)),0,ROUND(POWER(1+E5,A5-C5)*(POWER(1+E5,C5)-1)/(POWER(1+E5,A5)-1),4))</f>
        <v>8.2900000000000001E-2</v>
      </c>
      <c r="E5" s="3024">
        <v>0.04</v>
      </c>
      <c r="F5" s="3017"/>
      <c r="I5" s="3437" t="s">
        <v>2578</v>
      </c>
      <c r="J5" s="3437">
        <v>70</v>
      </c>
      <c r="K5" s="3437">
        <v>60</v>
      </c>
      <c r="L5" s="3437">
        <v>15</v>
      </c>
      <c r="M5" s="3437">
        <v>25</v>
      </c>
      <c r="N5" s="3021">
        <v>40</v>
      </c>
      <c r="O5" s="3021">
        <v>50</v>
      </c>
      <c r="P5" s="3021">
        <v>40</v>
      </c>
      <c r="Q5" s="3021">
        <v>15</v>
      </c>
      <c r="R5" s="3021">
        <v>315</v>
      </c>
    </row>
    <row r="6" spans="1:18">
      <c r="A6" s="3022">
        <v>50</v>
      </c>
      <c r="B6" s="3019">
        <v>50028</v>
      </c>
      <c r="C6" s="3021">
        <f>ROUNDDOWN(MIN((B6-B3)/365,A6),2)</f>
        <v>11.73</v>
      </c>
      <c r="D6" s="3023">
        <f>IF(ISERROR(ROUND(POWER(1+E6,A6-C6)*(POWER(1+E6,C6)-1)/(POWER(1+E6,A6)-1),3)),0,ROUND(POWER(1+E6,A6-C6)*(POWER(1+E6,C6)-1)/(POWER(1+E6,A6)-1),4))</f>
        <v>0.42909999999999998</v>
      </c>
      <c r="E6" s="3024">
        <v>0.04</v>
      </c>
      <c r="F6" s="3017"/>
      <c r="I6" s="3437" t="s">
        <v>2579</v>
      </c>
      <c r="J6" s="3437">
        <v>60</v>
      </c>
      <c r="K6" s="3437">
        <v>50</v>
      </c>
      <c r="L6" s="3437">
        <v>10</v>
      </c>
      <c r="M6" s="3437">
        <v>20</v>
      </c>
      <c r="N6" s="3021">
        <v>35</v>
      </c>
      <c r="O6" s="3021">
        <v>40</v>
      </c>
      <c r="P6" s="3021">
        <v>30</v>
      </c>
      <c r="Q6" s="3021">
        <v>10</v>
      </c>
      <c r="R6" s="3021">
        <v>255</v>
      </c>
    </row>
    <row r="7" spans="1:18">
      <c r="A7" s="3022">
        <v>70</v>
      </c>
      <c r="B7" s="3019">
        <v>57333</v>
      </c>
      <c r="C7" s="3021">
        <f>ROUNDDOWN(MIN((B7-B3)/365,A7),2)</f>
        <v>31.75</v>
      </c>
      <c r="D7" s="3023">
        <f>IF(ISERROR(ROUND(POWER(1+E7,A7-C7)*(POWER(1+E7,C7)-1)/(POWER(1+E7,A7)-1),3)),0,ROUND(POWER(1+E7,A7-C7)*(POWER(1+E7,C7)-1)/(POWER(1+E7,A7)-1),4))</f>
        <v>0.76100000000000001</v>
      </c>
      <c r="E7" s="3024">
        <v>0.04</v>
      </c>
      <c r="F7" s="3017"/>
    </row>
    <row r="8" spans="1:18">
      <c r="A8" s="3015"/>
      <c r="B8" s="3016"/>
      <c r="C8" s="3016"/>
      <c r="D8" s="3016"/>
      <c r="E8" s="3016"/>
      <c r="F8" s="3017"/>
    </row>
    <row r="9" spans="1:18">
      <c r="A9" s="3018" t="s">
        <v>2503</v>
      </c>
      <c r="B9" s="3021"/>
      <c r="C9" s="3021"/>
      <c r="D9" s="3021"/>
      <c r="E9" s="3021"/>
      <c r="F9" s="3025"/>
    </row>
    <row r="10" spans="1:18">
      <c r="A10" s="3018" t="s">
        <v>2504</v>
      </c>
      <c r="B10" s="3021"/>
      <c r="C10" s="3021"/>
      <c r="D10" s="3021" t="s">
        <v>2502</v>
      </c>
      <c r="E10" s="3021"/>
      <c r="F10" s="3025" t="s">
        <v>2501</v>
      </c>
    </row>
    <row r="11" spans="1:18">
      <c r="A11" s="3018" t="s">
        <v>2505</v>
      </c>
      <c r="B11" s="3026">
        <v>70</v>
      </c>
      <c r="C11" s="3021" t="s">
        <v>2506</v>
      </c>
      <c r="D11" s="3027">
        <v>4.4999999999999998E-2</v>
      </c>
      <c r="E11" s="3021" t="s">
        <v>2507</v>
      </c>
      <c r="F11" s="3028">
        <f>ROUND(1-(1/(POWER(1+D11,B11))),4)</f>
        <v>0.95409999999999995</v>
      </c>
    </row>
    <row r="12" spans="1:18">
      <c r="A12" s="3018" t="s">
        <v>2508</v>
      </c>
      <c r="B12" s="3026">
        <v>40</v>
      </c>
      <c r="C12" s="3021" t="s">
        <v>2509</v>
      </c>
      <c r="D12" s="3027">
        <v>4.4999999999999998E-2</v>
      </c>
      <c r="E12" s="3021" t="s">
        <v>2510</v>
      </c>
      <c r="F12" s="3028">
        <f>ROUND(1-(1/(POWER(1+D12,B12))),4)</f>
        <v>0.82809999999999995</v>
      </c>
    </row>
    <row r="13" spans="1:18">
      <c r="A13" s="3018" t="s">
        <v>2511</v>
      </c>
      <c r="B13" s="3021"/>
      <c r="C13" s="3021"/>
      <c r="D13" s="3016"/>
      <c r="E13" s="3016"/>
      <c r="F13" s="3017"/>
    </row>
    <row r="14" spans="1:18">
      <c r="A14" s="3018" t="s">
        <v>2512</v>
      </c>
      <c r="B14" s="3026">
        <v>5000</v>
      </c>
      <c r="C14" s="3020"/>
      <c r="D14" s="3016"/>
      <c r="E14" s="3016"/>
      <c r="F14" s="3017"/>
    </row>
    <row r="15" spans="1:18">
      <c r="A15" s="3018" t="s">
        <v>2513</v>
      </c>
      <c r="B15" s="3021">
        <f>ROUND(B14*F12/F11,2)</f>
        <v>4339.6899999999996</v>
      </c>
      <c r="C15" s="3021">
        <f>ROUND(F12/F11,4)</f>
        <v>0.8679</v>
      </c>
      <c r="D15" s="3016"/>
      <c r="E15" s="3016"/>
      <c r="F15" s="3017"/>
    </row>
    <row r="16" spans="1:18">
      <c r="A16" s="3018" t="s">
        <v>2514</v>
      </c>
      <c r="B16" s="3021"/>
      <c r="C16" s="3021"/>
      <c r="D16" s="3016"/>
      <c r="E16" s="3016"/>
      <c r="F16" s="3017"/>
    </row>
    <row r="17" spans="1:14">
      <c r="A17" s="3018" t="s">
        <v>2513</v>
      </c>
      <c r="B17" s="3027">
        <v>4810</v>
      </c>
      <c r="C17" s="3020"/>
      <c r="D17" s="3016"/>
      <c r="E17" s="3016"/>
      <c r="F17" s="3017"/>
    </row>
    <row r="18" spans="1:14" ht="14.25" thickBot="1">
      <c r="A18" s="3029" t="s">
        <v>2512</v>
      </c>
      <c r="B18" s="3030">
        <f>ROUND(B17*F11/F12,2)</f>
        <v>5541.87</v>
      </c>
      <c r="C18" s="3030">
        <f>ROUND(F11/F12,4)</f>
        <v>1.1521999999999999</v>
      </c>
      <c r="D18" s="3031"/>
      <c r="E18" s="3031"/>
      <c r="F18" s="3032"/>
    </row>
    <row r="19" spans="1:14" ht="14.25" thickBot="1"/>
    <row r="20" spans="1:14" s="3067" customFormat="1" ht="14.25" thickTop="1">
      <c r="A20" s="3064" t="s">
        <v>2515</v>
      </c>
      <c r="B20" s="3065"/>
      <c r="C20" s="3065"/>
      <c r="D20" s="3065"/>
      <c r="E20" s="3065"/>
      <c r="F20" s="3065"/>
      <c r="G20" s="3066"/>
      <c r="I20" s="3068" t="s">
        <v>2560</v>
      </c>
      <c r="J20" s="3068" t="s">
        <v>2565</v>
      </c>
      <c r="K20" s="3068"/>
      <c r="L20" s="3068"/>
      <c r="M20" s="3068"/>
    </row>
    <row r="21" spans="1:14">
      <c r="A21" s="3033"/>
      <c r="B21" s="3034" t="s">
        <v>2516</v>
      </c>
      <c r="C21" s="3034" t="s">
        <v>2517</v>
      </c>
      <c r="D21" s="3034" t="s">
        <v>2518</v>
      </c>
      <c r="E21" s="3034" t="s">
        <v>2519</v>
      </c>
      <c r="F21" s="3034" t="s">
        <v>2520</v>
      </c>
      <c r="G21" s="3035" t="s">
        <v>2521</v>
      </c>
      <c r="I21" s="3056">
        <v>5</v>
      </c>
      <c r="J21" s="3056">
        <v>54.2</v>
      </c>
    </row>
    <row r="22" spans="1:14">
      <c r="A22" s="3033" t="s">
        <v>2522</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2523</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2563</v>
      </c>
      <c r="N23" s="3455" t="s">
        <v>2564</v>
      </c>
    </row>
    <row r="24" spans="1:14">
      <c r="A24" s="3033" t="s">
        <v>2524</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2562</v>
      </c>
      <c r="N24" s="3455">
        <v>10</v>
      </c>
    </row>
    <row r="25" spans="1:14">
      <c r="A25" s="3033" t="s">
        <v>2525</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2566</v>
      </c>
      <c r="N25" s="3455">
        <v>8</v>
      </c>
    </row>
    <row r="26" spans="1:14">
      <c r="A26" s="3038"/>
      <c r="B26" s="3039"/>
      <c r="C26" s="3039"/>
      <c r="D26" s="3039"/>
      <c r="E26" s="3039"/>
      <c r="F26" s="3039"/>
      <c r="G26" s="3040"/>
      <c r="I26" s="3056">
        <v>30</v>
      </c>
      <c r="J26" s="3056">
        <v>90.5</v>
      </c>
      <c r="K26" s="3056">
        <f t="shared" si="2"/>
        <v>4.2000000000000028</v>
      </c>
      <c r="L26" s="3056" t="s">
        <v>2567</v>
      </c>
      <c r="N26" s="3455">
        <v>5</v>
      </c>
    </row>
    <row r="27" spans="1:14">
      <c r="A27" s="3038" t="s">
        <v>2526</v>
      </c>
      <c r="B27" s="3039"/>
      <c r="C27" s="3039"/>
      <c r="D27" s="3039"/>
      <c r="E27" s="3039"/>
      <c r="F27" s="3039"/>
      <c r="G27" s="3040"/>
      <c r="I27" s="3056">
        <v>35</v>
      </c>
      <c r="J27" s="3056">
        <v>93.8</v>
      </c>
      <c r="K27" s="3056">
        <f t="shared" si="2"/>
        <v>3.2999999999999972</v>
      </c>
      <c r="L27" s="3056" t="s">
        <v>2568</v>
      </c>
      <c r="N27" s="3455">
        <v>3</v>
      </c>
    </row>
    <row r="28" spans="1:14">
      <c r="A28" s="3038" t="s">
        <v>2527</v>
      </c>
      <c r="B28" s="3039"/>
      <c r="C28" s="3039"/>
      <c r="D28" s="3039"/>
      <c r="E28" s="3039"/>
      <c r="F28" s="3039"/>
      <c r="G28" s="3040"/>
      <c r="I28" s="3056">
        <v>40</v>
      </c>
      <c r="J28" s="3056">
        <v>96.4</v>
      </c>
      <c r="K28" s="3056">
        <f t="shared" si="2"/>
        <v>2.6000000000000085</v>
      </c>
      <c r="L28" s="3056" t="s">
        <v>2569</v>
      </c>
      <c r="N28" s="3455">
        <v>2</v>
      </c>
    </row>
    <row r="29" spans="1:14">
      <c r="A29" s="3038" t="s">
        <v>2528</v>
      </c>
      <c r="B29" s="3039"/>
      <c r="C29" s="3039"/>
      <c r="D29" s="3039"/>
      <c r="E29" s="3039"/>
      <c r="F29" s="3039"/>
      <c r="G29" s="3040"/>
      <c r="I29" s="3056">
        <v>45</v>
      </c>
      <c r="J29" s="3056">
        <v>98.4</v>
      </c>
      <c r="K29" s="3056">
        <f t="shared" si="2"/>
        <v>2</v>
      </c>
    </row>
    <row r="30" spans="1:14">
      <c r="A30" s="3038" t="s">
        <v>2529</v>
      </c>
      <c r="B30" s="3039"/>
      <c r="C30" s="3039"/>
      <c r="D30" s="3039"/>
      <c r="E30" s="3039"/>
      <c r="F30" s="3039"/>
      <c r="G30" s="3040"/>
      <c r="I30" s="3056">
        <v>50</v>
      </c>
      <c r="J30" s="3056">
        <v>100</v>
      </c>
      <c r="K30" s="3056">
        <f t="shared" si="2"/>
        <v>1.5999999999999943</v>
      </c>
    </row>
    <row r="31" spans="1:14">
      <c r="A31" s="3038" t="s">
        <v>2530</v>
      </c>
      <c r="B31" s="3039"/>
      <c r="C31" s="3039"/>
      <c r="D31" s="3039"/>
      <c r="E31" s="3039"/>
      <c r="F31" s="3039"/>
      <c r="G31" s="3040"/>
      <c r="I31" s="3056" t="s">
        <v>2561</v>
      </c>
    </row>
    <row r="32" spans="1:14">
      <c r="A32" s="3038" t="s">
        <v>2531</v>
      </c>
      <c r="B32" s="3039"/>
      <c r="C32" s="3039"/>
      <c r="D32" s="3039"/>
      <c r="E32" s="3039"/>
      <c r="F32" s="3039"/>
      <c r="G32" s="3040"/>
    </row>
    <row r="33" spans="1:14">
      <c r="A33" s="3038" t="s">
        <v>2532</v>
      </c>
      <c r="B33" s="3039"/>
      <c r="C33" s="3039"/>
      <c r="D33" s="3039"/>
      <c r="E33" s="3039"/>
      <c r="F33" s="3039"/>
      <c r="G33" s="3040"/>
      <c r="I33" s="3056" t="s">
        <v>2560</v>
      </c>
      <c r="J33" s="3056" t="s">
        <v>2570</v>
      </c>
    </row>
    <row r="34" spans="1:14">
      <c r="A34" s="3038" t="s">
        <v>2533</v>
      </c>
      <c r="B34" s="3039"/>
      <c r="C34" s="3039"/>
      <c r="D34" s="3039"/>
      <c r="E34" s="3039"/>
      <c r="F34" s="3039"/>
      <c r="G34" s="3040"/>
      <c r="I34" s="3056">
        <v>5</v>
      </c>
      <c r="J34" s="3056">
        <v>55.1</v>
      </c>
    </row>
    <row r="35" spans="1:14">
      <c r="A35" s="3038" t="s">
        <v>2534</v>
      </c>
      <c r="B35" s="3039"/>
      <c r="C35" s="3039"/>
      <c r="D35" s="3039"/>
      <c r="E35" s="3039"/>
      <c r="F35" s="3039"/>
      <c r="G35" s="3040"/>
      <c r="I35" s="3056">
        <v>10</v>
      </c>
      <c r="J35" s="3056">
        <v>67</v>
      </c>
      <c r="K35" s="3056">
        <f>J35-J34</f>
        <v>11.899999999999999</v>
      </c>
    </row>
    <row r="36" spans="1:14">
      <c r="A36" s="3038" t="s">
        <v>2535</v>
      </c>
      <c r="B36" s="3039"/>
      <c r="C36" s="3039"/>
      <c r="D36" s="3039"/>
      <c r="E36" s="3039"/>
      <c r="F36" s="3039"/>
      <c r="G36" s="3040"/>
      <c r="I36" s="3056">
        <v>15</v>
      </c>
      <c r="J36" s="3056">
        <v>76.3</v>
      </c>
      <c r="K36" s="3056">
        <f t="shared" ref="K36:K41" si="3">J36-J35</f>
        <v>9.2999999999999972</v>
      </c>
      <c r="L36" s="3056" t="s">
        <v>2563</v>
      </c>
      <c r="N36" s="3455" t="s">
        <v>2564</v>
      </c>
    </row>
    <row r="37" spans="1:14">
      <c r="A37" s="3038" t="s">
        <v>2536</v>
      </c>
      <c r="B37" s="3039"/>
      <c r="C37" s="3039"/>
      <c r="D37" s="3039"/>
      <c r="E37" s="3039"/>
      <c r="F37" s="3039"/>
      <c r="G37" s="3040"/>
      <c r="I37" s="3056">
        <v>20</v>
      </c>
      <c r="J37" s="3056">
        <v>83.6</v>
      </c>
      <c r="K37" s="3056">
        <f t="shared" si="3"/>
        <v>7.2999999999999972</v>
      </c>
      <c r="L37" s="3056" t="s">
        <v>2562</v>
      </c>
      <c r="N37" s="3455">
        <v>10</v>
      </c>
    </row>
    <row r="38" spans="1:14">
      <c r="A38" s="3038" t="s">
        <v>2537</v>
      </c>
      <c r="B38" s="3039"/>
      <c r="C38" s="3039"/>
      <c r="D38" s="3039"/>
      <c r="E38" s="3039"/>
      <c r="F38" s="3039"/>
      <c r="G38" s="3040"/>
      <c r="I38" s="3056">
        <v>25</v>
      </c>
      <c r="J38" s="3056">
        <v>89.3</v>
      </c>
      <c r="K38" s="3056">
        <f t="shared" si="3"/>
        <v>5.7000000000000028</v>
      </c>
      <c r="L38" s="3056" t="s">
        <v>2566</v>
      </c>
      <c r="N38" s="3455">
        <v>8</v>
      </c>
    </row>
    <row r="39" spans="1:14">
      <c r="A39" s="3038"/>
      <c r="B39" s="3039"/>
      <c r="C39" s="3039"/>
      <c r="D39" s="3039"/>
      <c r="E39" s="3039"/>
      <c r="F39" s="3039"/>
      <c r="G39" s="3040"/>
      <c r="I39" s="3056">
        <v>30</v>
      </c>
      <c r="J39" s="3056">
        <v>93.8</v>
      </c>
      <c r="K39" s="3056">
        <f t="shared" si="3"/>
        <v>4.5</v>
      </c>
      <c r="L39" s="3056" t="s">
        <v>2567</v>
      </c>
      <c r="N39" s="3455">
        <v>6</v>
      </c>
    </row>
    <row r="40" spans="1:14">
      <c r="A40" s="3041" t="s">
        <v>2538</v>
      </c>
      <c r="B40" s="3042"/>
      <c r="C40" s="3042"/>
      <c r="D40" s="3042"/>
      <c r="E40" s="3042"/>
      <c r="F40" s="3042"/>
      <c r="G40" s="3043"/>
      <c r="I40" s="3056">
        <v>35</v>
      </c>
      <c r="J40" s="3056">
        <v>97.2</v>
      </c>
      <c r="K40" s="3056">
        <f t="shared" si="3"/>
        <v>3.4000000000000057</v>
      </c>
      <c r="L40" s="3056" t="s">
        <v>2568</v>
      </c>
      <c r="N40" s="3455">
        <v>3</v>
      </c>
    </row>
    <row r="41" spans="1:14">
      <c r="A41" s="3044" t="s">
        <v>2539</v>
      </c>
      <c r="B41" s="3045" t="s">
        <v>2540</v>
      </c>
      <c r="C41" s="3046" t="s">
        <v>2541</v>
      </c>
      <c r="D41" s="3046" t="s">
        <v>2542</v>
      </c>
      <c r="E41" s="3047"/>
      <c r="F41" s="3048"/>
      <c r="G41" s="3049"/>
      <c r="I41" s="3056">
        <v>40</v>
      </c>
      <c r="J41" s="3056">
        <v>100</v>
      </c>
      <c r="K41" s="3056">
        <f t="shared" si="3"/>
        <v>2.7999999999999972</v>
      </c>
    </row>
    <row r="42" spans="1:14">
      <c r="A42" s="3044" t="s">
        <v>2543</v>
      </c>
      <c r="B42" s="3045" t="s">
        <v>2544</v>
      </c>
      <c r="C42" s="3046" t="s">
        <v>2545</v>
      </c>
      <c r="D42" s="3050" t="s">
        <v>2546</v>
      </c>
      <c r="E42" s="3042" t="s">
        <v>2547</v>
      </c>
      <c r="F42" s="3042"/>
      <c r="G42" s="3043"/>
    </row>
    <row r="43" spans="1:14">
      <c r="A43" s="3044" t="s">
        <v>2548</v>
      </c>
      <c r="B43" s="3045" t="s">
        <v>2549</v>
      </c>
      <c r="C43" s="3046" t="s">
        <v>2550</v>
      </c>
      <c r="D43" s="3046" t="s">
        <v>2551</v>
      </c>
      <c r="E43" s="3047" t="s">
        <v>2552</v>
      </c>
      <c r="F43" s="3048"/>
      <c r="G43" s="3049"/>
      <c r="I43" s="3056" t="s">
        <v>2560</v>
      </c>
      <c r="J43" s="3056" t="s">
        <v>2571</v>
      </c>
    </row>
    <row r="44" spans="1:14">
      <c r="A44" s="3044" t="s">
        <v>2553</v>
      </c>
      <c r="B44" s="3045" t="s">
        <v>2554</v>
      </c>
      <c r="C44" s="3046" t="s">
        <v>2555</v>
      </c>
      <c r="D44" s="3050">
        <v>0.5</v>
      </c>
      <c r="E44" s="3047" t="s">
        <v>2556</v>
      </c>
      <c r="F44" s="3048"/>
      <c r="G44" s="3049"/>
      <c r="I44" s="3056">
        <v>30</v>
      </c>
      <c r="J44" s="3056">
        <v>81.7</v>
      </c>
    </row>
    <row r="45" spans="1:14" ht="14.25" thickBot="1">
      <c r="A45" s="3051" t="s">
        <v>2557</v>
      </c>
      <c r="B45" s="3052" t="s">
        <v>2544</v>
      </c>
      <c r="C45" s="3053" t="s">
        <v>2544</v>
      </c>
      <c r="D45" s="3053" t="s">
        <v>2558</v>
      </c>
      <c r="E45" s="3054" t="s">
        <v>2559</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4.25" thickBot="1"/>
    <row r="49" spans="1:4">
      <c r="A49" s="3011" t="s">
        <v>3386</v>
      </c>
    </row>
    <row r="50" spans="1:4">
      <c r="A50" s="3447" t="s">
        <v>3387</v>
      </c>
      <c r="B50" s="3447" t="s">
        <v>3388</v>
      </c>
      <c r="C50" s="3447" t="s">
        <v>3389</v>
      </c>
      <c r="D50" s="3447" t="s">
        <v>3390</v>
      </c>
    </row>
    <row r="51" spans="1:4">
      <c r="A51" s="3447" t="s">
        <v>3391</v>
      </c>
      <c r="B51" s="3020">
        <f>B52+B53</f>
        <v>15000</v>
      </c>
      <c r="C51" s="3448">
        <f>D51/B51</f>
        <v>2666.6666666666665</v>
      </c>
      <c r="D51" s="3020">
        <f>D52+D53</f>
        <v>40000000</v>
      </c>
    </row>
    <row r="52" spans="1:4">
      <c r="A52" s="3449" t="s">
        <v>3392</v>
      </c>
      <c r="B52" s="3450">
        <v>10000</v>
      </c>
      <c r="C52" s="3450">
        <v>1500</v>
      </c>
      <c r="D52" s="3451">
        <f>C52*B52</f>
        <v>15000000</v>
      </c>
    </row>
    <row r="53" spans="1:4">
      <c r="A53" s="3449" t="s">
        <v>3393</v>
      </c>
      <c r="B53" s="3450">
        <v>5000</v>
      </c>
      <c r="C53" s="3450">
        <v>5000</v>
      </c>
      <c r="D53" s="3451">
        <f>C53*B53</f>
        <v>25000000</v>
      </c>
    </row>
    <row r="54" spans="1:4">
      <c r="A54" s="3447" t="s">
        <v>3394</v>
      </c>
      <c r="B54" s="3020">
        <f>B51</f>
        <v>15000</v>
      </c>
      <c r="C54" s="3027">
        <v>700</v>
      </c>
      <c r="D54" s="3020">
        <f t="shared" ref="D54:D55" si="5">C54*B54</f>
        <v>10500000</v>
      </c>
    </row>
    <row r="55" spans="1:4">
      <c r="A55" s="3447" t="s">
        <v>3395</v>
      </c>
      <c r="B55" s="3020">
        <f>B51</f>
        <v>15000</v>
      </c>
      <c r="C55" s="3027">
        <v>1500</v>
      </c>
      <c r="D55" s="3020">
        <f t="shared" si="5"/>
        <v>22500000</v>
      </c>
    </row>
    <row r="56" spans="1:4">
      <c r="A56" s="3447" t="s">
        <v>3396</v>
      </c>
      <c r="B56" s="3020">
        <f>B51</f>
        <v>15000</v>
      </c>
      <c r="C56" s="3452">
        <f>C51+C54+C55</f>
        <v>4866.6666666666661</v>
      </c>
      <c r="D56" s="3020">
        <f>D51+D54+D55</f>
        <v>73000000</v>
      </c>
    </row>
    <row r="58" spans="1:4">
      <c r="A58" s="3447" t="s">
        <v>3397</v>
      </c>
      <c r="B58" s="3453">
        <v>0.05</v>
      </c>
      <c r="C58" s="3020">
        <f>C56*(1+B58)</f>
        <v>5110</v>
      </c>
      <c r="D58" s="3020">
        <f>D56*B58</f>
        <v>3650000</v>
      </c>
    </row>
    <row r="60" spans="1:4">
      <c r="A60" s="3447" t="s">
        <v>3398</v>
      </c>
      <c r="B60" s="3027">
        <v>3500</v>
      </c>
      <c r="C60" s="3027">
        <f>C53</f>
        <v>5000</v>
      </c>
      <c r="D60" s="3020">
        <f>C60*B60</f>
        <v>17500000</v>
      </c>
    </row>
    <row r="62" spans="1:4">
      <c r="A62" s="3447" t="s">
        <v>3399</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3" sqref="E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2" t="str">
        <f>IF(B10="北京市","北京市",C10)&amp;F10&amp;IF(结果表!G1="在建","出让国有建设用地使用权及在建建筑物",IF(结果表!G1="土地","出让国有建设用地使用权",))&amp;B9&amp;"预评估"</f>
        <v>预评估</v>
      </c>
      <c r="C1" s="3503"/>
      <c r="D1" s="3503"/>
      <c r="E1" s="3503"/>
      <c r="F1" s="3503"/>
      <c r="G1" s="3503"/>
      <c r="H1" s="3503"/>
      <c r="I1" s="3504"/>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45743</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3497</v>
      </c>
      <c r="C4" s="2376">
        <f ca="1">SUMIF(注册房地产估价师,B4,估价师及机构信息!B3:B24)</f>
        <v>1120100036</v>
      </c>
      <c r="D4" s="2375" t="s">
        <v>3498</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c r="C8" s="2390"/>
      <c r="D8" s="3505" t="s">
        <v>2177</v>
      </c>
      <c r="E8" s="2391"/>
      <c r="F8" s="2392"/>
      <c r="G8" s="2661"/>
      <c r="H8" s="2661"/>
      <c r="I8" s="2661"/>
      <c r="J8" s="2439"/>
      <c r="K8" s="2612"/>
      <c r="L8" s="2611"/>
      <c r="M8" s="2611"/>
      <c r="N8" s="2439"/>
      <c r="O8" s="2450"/>
      <c r="P8" s="2439"/>
      <c r="Q8" s="2439"/>
      <c r="R8" s="2439"/>
    </row>
    <row r="9" spans="1:30" ht="13.5" thickBot="1">
      <c r="A9" s="2393" t="s">
        <v>2178</v>
      </c>
      <c r="B9" s="2394"/>
      <c r="C9" s="2395"/>
      <c r="D9" s="3506"/>
      <c r="E9" s="2394"/>
      <c r="F9" s="2396"/>
      <c r="G9" s="2663"/>
      <c r="H9" s="2663"/>
      <c r="I9" s="2663"/>
      <c r="J9" s="2439"/>
      <c r="K9" s="2614"/>
      <c r="L9" s="2611"/>
      <c r="M9" s="2611"/>
      <c r="N9" s="2439"/>
      <c r="O9" s="2450"/>
      <c r="P9" s="2439"/>
      <c r="Q9" s="2439"/>
      <c r="R9" s="2439"/>
    </row>
    <row r="10" spans="1:30" ht="13.5" thickTop="1">
      <c r="A10" s="2397" t="s">
        <v>2179</v>
      </c>
      <c r="B10" s="2398"/>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2572</v>
      </c>
      <c r="J12" s="3060"/>
      <c r="K12" s="2611"/>
      <c r="L12" s="2611"/>
      <c r="M12" s="2439"/>
      <c r="N12" s="2450"/>
      <c r="O12" s="2439"/>
      <c r="P12" s="2439"/>
      <c r="Q12" s="2439"/>
      <c r="AD12" s="1745"/>
    </row>
    <row r="13" spans="1:30">
      <c r="A13" s="3421" t="s">
        <v>3328</v>
      </c>
      <c r="B13" s="2407" t="s">
        <v>2190</v>
      </c>
      <c r="C13" s="856"/>
      <c r="D13" s="856"/>
      <c r="E13" s="856">
        <v>59615</v>
      </c>
      <c r="F13" s="856"/>
      <c r="G13" s="856"/>
      <c r="H13" s="856"/>
      <c r="I13" s="856">
        <v>46771</v>
      </c>
      <c r="J13" s="3060"/>
      <c r="K13" s="2611"/>
      <c r="L13" s="2611"/>
      <c r="M13" s="2439"/>
      <c r="N13" s="2450"/>
      <c r="O13" s="2439"/>
      <c r="P13" s="2439"/>
      <c r="Q13" s="2439"/>
      <c r="AD13" s="1745"/>
    </row>
    <row r="14" spans="1:30">
      <c r="A14" s="1081"/>
      <c r="B14" s="2407" t="s">
        <v>2191</v>
      </c>
      <c r="C14" s="2408"/>
      <c r="D14" s="2408"/>
      <c r="E14" s="2408">
        <v>50</v>
      </c>
      <c r="F14" s="2408"/>
      <c r="G14" s="2408"/>
      <c r="H14" s="2408"/>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38</v>
      </c>
      <c r="F15" s="2410" t="str">
        <f>IF(A13="出让",IF(F13="","",ROUNDDOWN(MIN((F13-$D$3)/365,F14),2)),F14)</f>
        <v/>
      </c>
      <c r="G15" s="2410" t="str">
        <f>IF(A13="出让",IF(G13="","",ROUNDDOWN(MIN((G13-$D$3)/365,G14),2)),G14)</f>
        <v/>
      </c>
      <c r="H15" s="2410" t="str">
        <f>IF(A13="出让",IF(H13="","",ROUNDDOWN(MIN((H13-$D$3)/365,H14),2)),H14)</f>
        <v/>
      </c>
      <c r="I15" s="2410">
        <f>IF(A13="出让",IF(I13="","",ROUNDDOWN(MIN((I13-$D$3)/365,I14),2)),I14)</f>
        <v>2.81</v>
      </c>
      <c r="J15" s="3062"/>
      <c r="K15" s="2451"/>
      <c r="L15" s="2451"/>
      <c r="M15" s="2507"/>
      <c r="N15" s="2451"/>
      <c r="O15" s="2507"/>
      <c r="P15" s="2439"/>
      <c r="Q15" s="2439"/>
      <c r="AD15" s="1745"/>
    </row>
    <row r="16" spans="1:30">
      <c r="A16" s="2400" t="s">
        <v>2193</v>
      </c>
      <c r="B16" s="3512"/>
      <c r="C16" s="3513"/>
      <c r="D16" s="3514"/>
      <c r="E16" s="2413" t="s">
        <v>2194</v>
      </c>
      <c r="F16" s="3515"/>
      <c r="G16" s="3516"/>
      <c r="H16" s="3516"/>
      <c r="I16" s="3517"/>
      <c r="J16" s="2439"/>
      <c r="K16" s="2615"/>
      <c r="L16" s="2451"/>
      <c r="M16" s="2451"/>
      <c r="N16" s="2507"/>
      <c r="O16" s="2451"/>
      <c r="P16" s="2507"/>
      <c r="Q16" s="2439"/>
      <c r="R16" s="2439"/>
    </row>
    <row r="17" spans="1:28">
      <c r="A17" s="313" t="s">
        <v>2195</v>
      </c>
      <c r="B17" s="302" t="s">
        <v>2196</v>
      </c>
      <c r="C17" s="8">
        <f>'数据-汇总表'!E3</f>
        <v>1718.77</v>
      </c>
      <c r="D17" s="2322" t="s">
        <v>2197</v>
      </c>
      <c r="E17" s="3518" t="s">
        <v>2198</v>
      </c>
      <c r="F17" s="3519"/>
      <c r="G17" s="3519"/>
      <c r="H17" s="3519"/>
      <c r="I17" s="3520"/>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27621.77</v>
      </c>
      <c r="D18" s="1092" t="s">
        <v>2201</v>
      </c>
      <c r="E18" s="3521" t="s">
        <v>2202</v>
      </c>
      <c r="F18" s="3522"/>
      <c r="G18" s="3522"/>
      <c r="H18" s="3522"/>
      <c r="I18" s="3523"/>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08" t="s">
        <v>2206</v>
      </c>
      <c r="C20" s="3509"/>
      <c r="D20" s="3510" t="s">
        <v>2207</v>
      </c>
      <c r="E20" s="3511"/>
      <c r="F20" s="2645" t="s">
        <v>1056</v>
      </c>
      <c r="G20" s="2662"/>
      <c r="H20" s="2662"/>
      <c r="I20" s="2662"/>
      <c r="J20" s="2439"/>
      <c r="K20" s="350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25"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25"/>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25"/>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26"/>
      <c r="B30" s="302" t="s">
        <v>2218</v>
      </c>
      <c r="C30" s="3527"/>
      <c r="D30" s="3528"/>
      <c r="E30" s="2662"/>
      <c r="F30" s="2662"/>
      <c r="G30" s="2662"/>
      <c r="H30" s="2662"/>
      <c r="I30" s="2662"/>
      <c r="J30" s="2439"/>
      <c r="K30" s="2614"/>
      <c r="L30" s="2611"/>
      <c r="M30" s="2611"/>
      <c r="N30" s="2439"/>
      <c r="O30" s="2450"/>
      <c r="P30" s="2439"/>
      <c r="Q30" s="2439"/>
      <c r="R30" s="2439"/>
      <c r="S30" s="2439"/>
      <c r="T30" s="2439"/>
      <c r="U30" s="2439"/>
      <c r="V30" s="2439"/>
    </row>
    <row r="31" spans="1:28">
      <c r="A31" s="3529"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30"/>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30"/>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24" t="s">
        <v>2228</v>
      </c>
      <c r="T34" s="2428" t="str">
        <f>NUMBERSTRING(7-K34,1)&amp;"通"</f>
        <v>七通</v>
      </c>
      <c r="U34" s="2439"/>
      <c r="V34" s="2439"/>
    </row>
    <row r="35" spans="1:30">
      <c r="A35" s="2429"/>
      <c r="B35" s="3531" t="s">
        <v>2229</v>
      </c>
      <c r="C35" s="3531"/>
      <c r="D35" s="3531"/>
      <c r="E35" s="3531"/>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2575</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27621.77</v>
      </c>
      <c r="B3" s="11">
        <f>IF(C3="否",G5-AT5,G5)</f>
        <v>1718.77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1718.77</v>
      </c>
      <c r="H5" s="13">
        <f t="shared" ref="H5:AT5" si="0">SUM(H13:H656)</f>
        <v>1718.77</v>
      </c>
      <c r="I5" s="13">
        <f t="shared" si="0"/>
        <v>1718.77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1718.77</v>
      </c>
      <c r="BA5" s="15">
        <f t="shared" si="1"/>
        <v>1718.77</v>
      </c>
      <c r="BB5" s="15">
        <f t="shared" si="1"/>
        <v>1718.77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27621.77</v>
      </c>
      <c r="F6" s="13" t="s">
        <v>0</v>
      </c>
      <c r="G6" s="13" t="s">
        <v>1</v>
      </c>
      <c r="H6" s="17">
        <f>SUMIF(I$12:AB$12,"总值",I6:AB6)</f>
        <v>27621.77</v>
      </c>
      <c r="I6" s="13">
        <f t="shared" ref="I6:AB6" si="2">ROUND($A$3*I5/$B$3,2)</f>
        <v>27621.77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27621.77</v>
      </c>
      <c r="AZ6" s="13" t="s">
        <v>2</v>
      </c>
      <c r="BA6" s="13">
        <f>ROUND($AY$6*BA5/$AZ$5,2)</f>
        <v>27621.77</v>
      </c>
      <c r="BB6" s="13">
        <f>ROUND($AY$6*BB5/$AZ$5,2)</f>
        <v>27621.77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3501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3500</v>
      </c>
      <c r="E13" s="13">
        <f>IF($C$3="是",ROUND($A$3*G13/$B$3,2),ROUND($A$3*(G13-AT13)/$B$3,2))</f>
        <v>27621.77</v>
      </c>
      <c r="F13" s="29"/>
      <c r="G13" s="30">
        <f>H13+AC13+AT13</f>
        <v>1718.77</v>
      </c>
      <c r="H13" s="17">
        <f>SUMIF(I$12:AB$12,"总值",I13:AB13)</f>
        <v>1718.77</v>
      </c>
      <c r="I13" s="1626">
        <f>面积指标!E21</f>
        <v>1718.77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27621.77</v>
      </c>
      <c r="AZ13" s="13">
        <f>BA13+BL13</f>
        <v>1718.77</v>
      </c>
      <c r="BA13" s="13">
        <f>SUM(BB13:BK13)</f>
        <v>1718.77</v>
      </c>
      <c r="BB13" s="13">
        <f>IF($D13="是",I13-J13,0)</f>
        <v>1718.77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1" t="s">
        <v>1131</v>
      </c>
      <c r="B2" s="3541"/>
      <c r="C2" s="3541"/>
      <c r="D2" s="796" t="s">
        <v>1107</v>
      </c>
      <c r="E2" s="1639" t="s">
        <v>1108</v>
      </c>
      <c r="F2" s="2657"/>
      <c r="G2" s="2648"/>
      <c r="H2" s="2649"/>
      <c r="I2" s="2325" t="s">
        <v>1132</v>
      </c>
      <c r="J2" s="2657"/>
      <c r="K2" s="2657"/>
      <c r="L2" s="2657"/>
      <c r="M2" s="2657"/>
      <c r="N2" s="2659"/>
      <c r="O2" s="2657"/>
      <c r="P2" s="2657"/>
    </row>
    <row r="3" spans="1:16" ht="15.75" thickBot="1">
      <c r="A3" s="3542" t="s">
        <v>1105</v>
      </c>
      <c r="B3" s="3542"/>
      <c r="C3" s="3542"/>
      <c r="D3" s="43">
        <f>'数据-基础表'!AY6</f>
        <v>27621.77</v>
      </c>
      <c r="E3" s="43">
        <f>'数据-基础表'!AZ5</f>
        <v>1718.77</v>
      </c>
      <c r="F3" s="2657"/>
      <c r="G3" s="1145"/>
      <c r="H3" s="1026" t="s">
        <v>1106</v>
      </c>
      <c r="I3" s="855">
        <f>ROUND('数据-基础表'!B3/'数据-基础表'!A3,2)</f>
        <v>0.06</v>
      </c>
      <c r="J3" s="2657"/>
      <c r="K3" s="2657"/>
      <c r="L3" s="2657"/>
      <c r="M3" s="2657"/>
      <c r="N3" s="2659"/>
      <c r="O3" s="2657"/>
      <c r="P3" s="2657"/>
    </row>
    <row r="4" spans="1:16" ht="15">
      <c r="A4" s="3543"/>
      <c r="B4" s="3544"/>
      <c r="C4" s="3545"/>
      <c r="D4" s="1641" t="s">
        <v>1107</v>
      </c>
      <c r="E4" s="1642" t="s">
        <v>1108</v>
      </c>
      <c r="F4" s="2657"/>
      <c r="G4" s="2650" t="s">
        <v>1133</v>
      </c>
      <c r="H4" s="1026" t="s">
        <v>1113</v>
      </c>
      <c r="I4" s="855">
        <f>ROUND(SUMIF('数据-基础表'!I9:AS9,"地上",'数据-基础表'!I5:AS5)/'数据-基础表'!A3,2)</f>
        <v>0.06</v>
      </c>
      <c r="J4" s="2657"/>
      <c r="K4" s="2657"/>
      <c r="L4" s="2657"/>
      <c r="M4" s="2657"/>
      <c r="N4" s="2659"/>
      <c r="O4" s="2657"/>
      <c r="P4" s="2657"/>
    </row>
    <row r="5" spans="1:16">
      <c r="A5" s="44" t="s">
        <v>1109</v>
      </c>
      <c r="B5" s="3546" t="s">
        <v>1110</v>
      </c>
      <c r="C5" s="3546"/>
      <c r="D5" s="45">
        <f>ROUND($D$3*E5/$E$3,2)</f>
        <v>0</v>
      </c>
      <c r="E5" s="46">
        <f>SUMIF('数据-基础表'!$11:$11,"住宅",'数据-基础表'!$5:$5)</f>
        <v>0</v>
      </c>
      <c r="F5" s="2657"/>
      <c r="G5" s="1145"/>
      <c r="H5" s="1026" t="s">
        <v>1106</v>
      </c>
      <c r="I5" s="855">
        <f>ROUND(E31/D31,2)</f>
        <v>0.06</v>
      </c>
      <c r="J5" s="2657"/>
      <c r="K5" s="2657"/>
      <c r="L5" s="2657"/>
      <c r="M5" s="2657"/>
      <c r="N5" s="2657"/>
      <c r="O5" s="2657"/>
      <c r="P5" s="2657"/>
    </row>
    <row r="6" spans="1:16" ht="15" thickBot="1">
      <c r="A6" s="1644"/>
      <c r="B6" s="3546" t="s">
        <v>1111</v>
      </c>
      <c r="C6" s="3546"/>
      <c r="D6" s="45">
        <f>ROUND($D$3*E6/$E$3,2)</f>
        <v>27621.77</v>
      </c>
      <c r="E6" s="46">
        <f>E3-E5</f>
        <v>1718.77</v>
      </c>
      <c r="F6" s="2657"/>
      <c r="G6" s="2651" t="s">
        <v>1112</v>
      </c>
      <c r="H6" s="1146" t="s">
        <v>1113</v>
      </c>
      <c r="I6" s="2652">
        <f>ROUND(F31/D31,2)</f>
        <v>0.06</v>
      </c>
      <c r="J6" s="2657"/>
      <c r="K6" s="2657"/>
      <c r="L6" s="2657"/>
      <c r="M6" s="2657"/>
      <c r="N6" s="2657"/>
      <c r="O6" s="2657"/>
      <c r="P6" s="2657"/>
    </row>
    <row r="7" spans="1:16" ht="15.75" thickBot="1">
      <c r="A7" s="3538"/>
      <c r="B7" s="3539"/>
      <c r="C7" s="3540"/>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27621.77</v>
      </c>
      <c r="E8" s="48">
        <f>SUMIF('数据-基础表'!BB10:BK10,"地上",'数据-基础表'!BB5:BK5)</f>
        <v>1718.77</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27621.77</v>
      </c>
      <c r="E16" s="50">
        <f>SUM(E8:E15)</f>
        <v>1718.77</v>
      </c>
      <c r="F16" s="2657"/>
      <c r="G16" s="2658"/>
      <c r="H16" s="1648" t="s">
        <v>1135</v>
      </c>
      <c r="I16" s="1649"/>
      <c r="J16" s="1139"/>
      <c r="K16" s="3535" t="s">
        <v>1135</v>
      </c>
      <c r="L16" s="3536"/>
      <c r="M16" s="3536"/>
      <c r="N16" s="3536"/>
      <c r="O16" s="3536"/>
      <c r="P16" s="3537"/>
    </row>
    <row r="17" spans="1:19" ht="15">
      <c r="A17" s="1650" t="s">
        <v>1136</v>
      </c>
      <c r="B17" s="1651" t="s">
        <v>1137</v>
      </c>
      <c r="C17" s="1652" t="s">
        <v>1138</v>
      </c>
      <c r="D17" s="1653" t="s">
        <v>1126</v>
      </c>
      <c r="E17" s="1654" t="s">
        <v>1127</v>
      </c>
      <c r="F17" s="1655"/>
      <c r="G17" s="1656"/>
      <c r="H17" s="1657" t="s">
        <v>1139</v>
      </c>
      <c r="I17" s="1658" t="s">
        <v>1124</v>
      </c>
      <c r="J17" s="1139"/>
      <c r="K17" s="3532" t="s">
        <v>1140</v>
      </c>
      <c r="L17" s="3533"/>
      <c r="M17" s="3534"/>
      <c r="N17" s="3532" t="s">
        <v>1141</v>
      </c>
      <c r="O17" s="3533"/>
      <c r="P17" s="353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3503</v>
      </c>
      <c r="D19" s="45">
        <f>ROUND($D$3*E19/$E$3,2)</f>
        <v>27621.77</v>
      </c>
      <c r="E19" s="53">
        <f t="shared" ref="E19:E26" si="1">SUM(F19:G19)</f>
        <v>1718.77</v>
      </c>
      <c r="F19" s="2793">
        <f>'数据-基础表'!I13</f>
        <v>1718.77</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27621.77</v>
      </c>
      <c r="S19" s="1027">
        <f t="shared" si="5"/>
        <v>1718.77</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27621.77</v>
      </c>
      <c r="E27" s="1141">
        <f>IF(SUM(E19:E26)='数据-基础表'!BA5,SUM(E19:E26),IF(F27="地上面积有误","面积有误","地下面积有误"))</f>
        <v>1718.77</v>
      </c>
      <c r="F27" s="1140">
        <f>IF(SUM(F19:F26)=E8,SUM(F19:F26),"地上面积有误")</f>
        <v>1718.77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27621.77</v>
      </c>
      <c r="S27" s="1026">
        <f>IF(SUM(S19:S26)=$E$3,SUM(S19:S26),SUM(S19:S26)&amp;"误差"&amp;ROUND(SUM(S19:S26)-E3,2))</f>
        <v>1718.77</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27621.77</v>
      </c>
      <c r="E31" s="676">
        <f>E27+E30</f>
        <v>1718.77</v>
      </c>
      <c r="F31" s="677">
        <f>F27+F30</f>
        <v>1718.77</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AB6" sqref="AB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25" style="1682" customWidth="1"/>
    <col min="22" max="22" width="10.375" style="1682" customWidth="1"/>
    <col min="23" max="23" width="6.75" style="1682" customWidth="1"/>
    <col min="24" max="24" width="10.75" style="1682" customWidth="1"/>
    <col min="25"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45743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3506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办公-基准</v>
      </c>
      <c r="B6" s="1713" t="str">
        <f>IF(A6=0,"","经营性")</f>
        <v>经营性</v>
      </c>
      <c r="C6" s="1714" t="s">
        <v>21</v>
      </c>
      <c r="D6" s="858">
        <f>SUMIF(项目基本情况!C$12:I$12,C6,项目基本情况!C$14:I$14)</f>
        <v>50</v>
      </c>
      <c r="E6" s="857">
        <f>IF(B6="","",SUMIF(项目基本情况!C$12:I$12,C6,项目基本情况!C$13:I$13))</f>
        <v>59615</v>
      </c>
      <c r="F6" s="64">
        <f>SUMIF(项目基本情况!C$12:I$12,C6,项目基本情况!C$15:I$15)</f>
        <v>38</v>
      </c>
      <c r="G6" s="65">
        <f>IF(ISERROR(ROUND(POWER(1+H6,D6-F6)*(POWER(1+H6,F6)-1)/(POWER(1+H6,D6)-1),3)),0,ROUND(POWER(1+H6,D6-F6)*(POWER(1+H6,F6)-1)/(POWER(1+H6,D6)-1),3))</f>
        <v>0.92400000000000004</v>
      </c>
      <c r="H6" s="732">
        <v>0.05</v>
      </c>
      <c r="I6" s="732">
        <v>5.5E-2</v>
      </c>
      <c r="J6" s="66">
        <v>7.0000000000000007E-2</v>
      </c>
      <c r="K6" s="1030">
        <f>SUMIF('数据-汇总表'!C$19:C$33,A6,'数据-汇总表'!E$19:E$33)</f>
        <v>1718.77</v>
      </c>
      <c r="L6" s="733">
        <v>4500</v>
      </c>
      <c r="M6" s="67">
        <f t="shared" ref="M6:M14" si="0">ROUND(K6*L6/10000,0)</f>
        <v>773</v>
      </c>
      <c r="N6" s="731">
        <f>N19</f>
        <v>0.83</v>
      </c>
      <c r="O6" s="67" t="str">
        <f>IF($N$5="成新度","——",ROUND(M6*N6,0))</f>
        <v>——</v>
      </c>
      <c r="P6" s="68" t="str">
        <f>IF($N$5="成新度","——",M6-O6)</f>
        <v>——</v>
      </c>
      <c r="Q6" s="734">
        <v>0.15</v>
      </c>
      <c r="R6" s="69">
        <f ca="1">SUMIF('数据-汇总表'!C$19:C$33,A6,'数据-汇总表'!R$19:R$27)</f>
        <v>27621.77</v>
      </c>
      <c r="S6" s="51">
        <f>IF('数据-汇总表'!$I$17="按面积比例",SUMIF('数据-汇总表'!C$19:C$33,A6,'数据-汇总表'!K$19:K$33),SUMIF('数据-汇总表'!C$19:C$33,A6,'数据-汇总表'!N$19:N$33))</f>
        <v>0</v>
      </c>
      <c r="T6" s="1172">
        <f>ROUND($L$14*S6/10000,0)</f>
        <v>0</v>
      </c>
      <c r="U6" s="3426">
        <f>V27</f>
        <v>4.28</v>
      </c>
      <c r="V6" s="70">
        <v>0</v>
      </c>
      <c r="W6" s="70">
        <v>0</v>
      </c>
      <c r="X6" s="1040"/>
      <c r="Y6" s="71">
        <f>N6</f>
        <v>0.83</v>
      </c>
      <c r="Z6" s="72">
        <f>ROUND(U29*(1+AA6)^AF6,1)</f>
        <v>7.2</v>
      </c>
      <c r="AA6" s="66">
        <v>1.4999999999999999E-2</v>
      </c>
      <c r="AB6" s="66">
        <v>0.1</v>
      </c>
      <c r="AC6" s="1040"/>
      <c r="AD6" s="73">
        <v>0.75</v>
      </c>
      <c r="AE6" s="1041">
        <f ca="1">IF(AN6="",0,SUMIF(INDIRECT("'"&amp;AN6&amp;"'"&amp;"!E:E"),$AE$5,INDIRECT("'"&amp;AN6&amp;"'"&amp;"!F:F")))</f>
        <v>38</v>
      </c>
      <c r="AF6" s="1348">
        <f>W27</f>
        <v>11.81</v>
      </c>
      <c r="AG6" s="138">
        <f ca="1">IF(AF6="",0,AE6-AF6)</f>
        <v>26.189999999999998</v>
      </c>
      <c r="AH6" s="74"/>
      <c r="AI6" s="76">
        <v>365</v>
      </c>
      <c r="AJ6" s="77"/>
      <c r="AK6" s="78">
        <v>5.0000000000000001E-3</v>
      </c>
      <c r="AL6" s="79">
        <v>1E-3</v>
      </c>
      <c r="AM6" s="80">
        <v>0.01</v>
      </c>
      <c r="AN6" s="1715" t="s">
        <v>3507</v>
      </c>
      <c r="AO6" s="52">
        <f ca="1">SUMIF(INDIRECT("'"&amp;AN6&amp;"'"&amp;"!A:A"),"总价",INDIRECT("'"&amp;AN6&amp;"'"&amp;"!B:B"))</f>
        <v>4071.1023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0.92400000000000004</v>
      </c>
      <c r="H16" s="90">
        <f>ROUND(SUMPRODUCT(H6:H13,K6:K13)/SUMPRODUCT((H6:H13&gt;0)*(K6:K13)),3)</f>
        <v>0.05</v>
      </c>
      <c r="I16" s="91"/>
      <c r="J16" s="91"/>
      <c r="K16" s="92">
        <f>SUM(K6:K15)</f>
        <v>1718.77</v>
      </c>
      <c r="L16" s="93">
        <f>ROUND(M16*10000/SUM(K6:K14),0)</f>
        <v>4497</v>
      </c>
      <c r="M16" s="93">
        <f>SUM(M6:M14)</f>
        <v>773</v>
      </c>
      <c r="N16" s="94">
        <f>ROUND(SUMPRODUCT(M6:M14,N6:N14)/M16,3)</f>
        <v>0.83</v>
      </c>
      <c r="O16" s="93">
        <f>SUM(O6:O14)</f>
        <v>0</v>
      </c>
      <c r="P16" s="93">
        <f>SUM(P6:P14)</f>
        <v>0</v>
      </c>
      <c r="Q16" s="95">
        <f>ROUND(SUMPRODUCT(Q6:Q13,K6:K13)/SUMPRODUCT((Q6:Q13&gt;0)*(K6:K13)),2)</f>
        <v>0.15</v>
      </c>
      <c r="R16" s="1034">
        <f ca="1">SUM(R6:R13)</f>
        <v>27621.77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3457" t="s">
        <v>3504</v>
      </c>
      <c r="N18" s="2669">
        <v>2015</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2298</v>
      </c>
      <c r="D19" s="2674"/>
      <c r="E19" s="2671"/>
      <c r="F19" s="2671"/>
      <c r="G19" s="2671"/>
      <c r="H19" s="2671"/>
      <c r="I19" s="2671"/>
      <c r="J19" s="2671"/>
      <c r="K19" s="2670"/>
      <c r="L19" s="2670"/>
      <c r="M19" s="3457" t="s">
        <v>3505</v>
      </c>
      <c r="N19" s="2669">
        <f>ROUND(1-(1-0)*(2025-N18)/60,2)</f>
        <v>0.83</v>
      </c>
      <c r="O19" s="2669"/>
      <c r="P19" s="2669"/>
      <c r="Q19" s="2669"/>
      <c r="R19" s="2669"/>
      <c r="S19" s="2669"/>
      <c r="T19" s="3457" t="s">
        <v>3489</v>
      </c>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2296</v>
      </c>
      <c r="D20" s="2674"/>
      <c r="E20" s="2671"/>
      <c r="F20" s="2671"/>
      <c r="G20" s="2671"/>
      <c r="H20" s="2671"/>
      <c r="I20" s="2671"/>
      <c r="J20" s="2671"/>
      <c r="K20" s="2670"/>
      <c r="L20" s="2670"/>
      <c r="M20" s="2669"/>
      <c r="N20" s="2669"/>
      <c r="O20" s="2669"/>
      <c r="P20" s="2669"/>
      <c r="Q20" s="2669"/>
      <c r="R20" s="2669"/>
      <c r="S20" s="2669"/>
      <c r="T20" s="3457" t="s">
        <v>3490</v>
      </c>
      <c r="U20" s="3457" t="s">
        <v>3491</v>
      </c>
      <c r="V20" s="3457" t="s">
        <v>3492</v>
      </c>
      <c r="W20" s="3457" t="s">
        <v>3493</v>
      </c>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f>B20</f>
        <v>2</v>
      </c>
      <c r="C21" s="2671"/>
      <c r="D21" s="2674"/>
      <c r="E21" s="2671"/>
      <c r="F21" s="2671"/>
      <c r="G21" s="2671"/>
      <c r="H21" s="2671"/>
      <c r="I21" s="2671"/>
      <c r="J21" s="2671"/>
      <c r="K21" s="2670"/>
      <c r="L21" s="2670"/>
      <c r="M21" s="2669"/>
      <c r="N21" s="2669"/>
      <c r="O21" s="2669"/>
      <c r="P21" s="2669"/>
      <c r="Q21" s="2669"/>
      <c r="R21" s="2669"/>
      <c r="S21" s="2669"/>
      <c r="T21" s="3459">
        <v>43770</v>
      </c>
      <c r="U21" s="3459">
        <v>50059</v>
      </c>
      <c r="V21" s="2679">
        <v>56965053.600000001</v>
      </c>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3459">
        <v>44581</v>
      </c>
      <c r="U22" s="3459">
        <v>45676</v>
      </c>
      <c r="V22" s="2679">
        <f>ROUND(V21*1.05,0)</f>
        <v>59813306</v>
      </c>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3458">
        <v>45677</v>
      </c>
      <c r="U23" s="3458">
        <v>46771</v>
      </c>
      <c r="V23" s="2669">
        <f>ROUND(V22*1.05,0)</f>
        <v>62803971</v>
      </c>
      <c r="W23" s="2669">
        <v>2.81</v>
      </c>
      <c r="X23" s="2669">
        <f>V23*W23</f>
        <v>176479158.50999999</v>
      </c>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3458">
        <v>46772</v>
      </c>
      <c r="U24" s="3458">
        <v>47867</v>
      </c>
      <c r="V24" s="2669">
        <f>ROUND(V23*1.05,0)</f>
        <v>65944170</v>
      </c>
      <c r="W24" s="2669">
        <v>3</v>
      </c>
      <c r="X24" s="2669">
        <f>V24*W24</f>
        <v>197832510</v>
      </c>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3458">
        <v>47868</v>
      </c>
      <c r="U25" s="3458">
        <v>48963</v>
      </c>
      <c r="V25" s="2669">
        <f>ROUND(V24*1.05,0)</f>
        <v>69241379</v>
      </c>
      <c r="W25" s="2669">
        <v>3</v>
      </c>
      <c r="X25" s="2669">
        <f>V25*W25</f>
        <v>207724137</v>
      </c>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3458">
        <v>48964</v>
      </c>
      <c r="U26" s="3458">
        <v>50059</v>
      </c>
      <c r="V26" s="2669">
        <f>ROUND(V25*1.05,0)</f>
        <v>72703448</v>
      </c>
      <c r="W26" s="2669">
        <v>3</v>
      </c>
      <c r="X26" s="2669">
        <f>V26*W26</f>
        <v>218110344</v>
      </c>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2300</v>
      </c>
      <c r="D27" s="2677"/>
      <c r="E27" s="2659"/>
      <c r="F27" s="2659"/>
      <c r="G27" s="2671"/>
      <c r="H27" s="2671"/>
      <c r="I27" s="2671"/>
      <c r="J27" s="2671"/>
      <c r="K27" s="2670"/>
      <c r="L27" s="2670"/>
      <c r="M27" s="2669"/>
      <c r="N27" s="2669"/>
      <c r="O27" s="2669"/>
      <c r="P27" s="2669"/>
      <c r="Q27" s="2669"/>
      <c r="R27" s="2669"/>
      <c r="S27" s="2669"/>
      <c r="T27" s="2669"/>
      <c r="U27" s="2669"/>
      <c r="V27" s="2669">
        <f>ROUND(X27/W27/365/面积指标!E30,2)</f>
        <v>4.28</v>
      </c>
      <c r="W27" s="2669">
        <f>SUM(W23:W26)</f>
        <v>11.81</v>
      </c>
      <c r="X27" s="2669">
        <f>SUM(X23:X26)</f>
        <v>800146149.50999999</v>
      </c>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f>V26/365/面积指标!E30</f>
        <v>4.594613649235642</v>
      </c>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2290</v>
      </c>
      <c r="D29" s="2677"/>
      <c r="E29" s="2659"/>
      <c r="F29" s="2659"/>
      <c r="G29" s="2671"/>
      <c r="H29" s="2671"/>
      <c r="I29" s="2671"/>
      <c r="J29" s="2671"/>
      <c r="K29" s="2670"/>
      <c r="L29" s="2670"/>
      <c r="M29" s="2669"/>
      <c r="N29" s="2669"/>
      <c r="O29" s="2669"/>
      <c r="P29" s="2669"/>
      <c r="Q29" s="2669"/>
      <c r="R29" s="2669"/>
      <c r="S29" s="2669"/>
      <c r="T29" s="3457" t="s">
        <v>3525</v>
      </c>
      <c r="U29" s="2669">
        <v>6</v>
      </c>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1" t="s">
        <v>3382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2291</v>
      </c>
      <c r="D34" s="2682" t="s">
        <v>2297</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801" t="s">
        <v>2292</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1" t="s">
        <v>3400</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0.01</v>
      </c>
      <c r="C37" s="2801" t="s">
        <v>3383</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0.03</v>
      </c>
      <c r="C38" s="2801" t="s">
        <v>3384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2306</v>
      </c>
      <c r="B40" s="1078">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3385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2293</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2294</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2301</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2293</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2295</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12</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110</v>
      </c>
      <c r="C53" s="2659" t="s">
        <v>1246</v>
      </c>
      <c r="D53" s="2802" t="s">
        <v>2299</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f>C57</f>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7" t="s">
        <v>2282</v>
      </c>
      <c r="B1" s="3548"/>
      <c r="C1" s="3548"/>
      <c r="D1" s="3548"/>
      <c r="E1" s="3548"/>
      <c r="F1" s="3548"/>
      <c r="G1" s="354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3799" t="s">
        <v>3508</v>
      </c>
      <c r="D3" s="2464"/>
      <c r="E3" s="2442" t="s">
        <v>2280</v>
      </c>
      <c r="F3" s="2465" t="s">
        <v>2253</v>
      </c>
      <c r="G3" s="2466" t="s">
        <v>2281</v>
      </c>
      <c r="H3" s="799"/>
      <c r="I3" s="799"/>
      <c r="J3" s="799"/>
      <c r="K3" s="799"/>
      <c r="L3" s="799"/>
      <c r="M3" s="799"/>
      <c r="N3" s="799"/>
      <c r="O3" s="799"/>
      <c r="P3" s="799"/>
      <c r="Q3" s="799"/>
      <c r="R3" s="799"/>
    </row>
    <row r="4" spans="1:29" ht="36">
      <c r="A4" s="2442"/>
      <c r="B4" s="323" t="s">
        <v>2254</v>
      </c>
      <c r="C4" s="3800" t="s">
        <v>3509</v>
      </c>
      <c r="D4" s="2464"/>
      <c r="E4" s="2467"/>
      <c r="F4" s="1373" t="s">
        <v>2255</v>
      </c>
      <c r="G4" s="2468" t="s">
        <v>2256</v>
      </c>
      <c r="H4" s="799"/>
      <c r="I4" s="799"/>
      <c r="J4" s="799"/>
      <c r="K4" s="799"/>
      <c r="L4" s="799"/>
      <c r="M4" s="799"/>
      <c r="N4" s="799"/>
      <c r="O4" s="799"/>
      <c r="P4" s="799"/>
      <c r="Q4" s="799"/>
      <c r="R4" s="799"/>
    </row>
    <row r="5" spans="1:29" ht="24">
      <c r="A5" s="2442"/>
      <c r="B5" s="323" t="s">
        <v>2257</v>
      </c>
      <c r="C5" s="3800" t="s">
        <v>3510</v>
      </c>
      <c r="D5" s="2464"/>
      <c r="E5" s="2467"/>
      <c r="F5" s="323" t="s">
        <v>2258</v>
      </c>
      <c r="G5" s="2468" t="s">
        <v>2259</v>
      </c>
      <c r="H5" s="799"/>
      <c r="I5" s="799"/>
      <c r="J5" s="799"/>
      <c r="K5" s="799"/>
      <c r="L5" s="799"/>
      <c r="M5" s="799"/>
      <c r="N5" s="799"/>
      <c r="O5" s="799"/>
      <c r="P5" s="799"/>
      <c r="Q5" s="799"/>
      <c r="R5" s="799"/>
    </row>
    <row r="6" spans="1:29">
      <c r="A6" s="2442"/>
      <c r="B6" s="323" t="s">
        <v>2260</v>
      </c>
      <c r="C6" s="3801" t="s">
        <v>3511</v>
      </c>
      <c r="D6" s="2464"/>
      <c r="E6" s="2467"/>
      <c r="F6" s="323" t="s">
        <v>2261</v>
      </c>
      <c r="G6" s="2468" t="s">
        <v>2262</v>
      </c>
      <c r="H6" s="799"/>
      <c r="I6" s="799"/>
      <c r="J6" s="799"/>
      <c r="K6" s="799"/>
      <c r="L6" s="799"/>
      <c r="M6" s="799"/>
      <c r="N6" s="799"/>
      <c r="O6" s="799"/>
      <c r="P6" s="799"/>
      <c r="Q6" s="799"/>
      <c r="R6" s="799"/>
    </row>
    <row r="7" spans="1:29" ht="24.75" thickBot="1">
      <c r="A7" s="2442"/>
      <c r="B7" s="323" t="s">
        <v>2258</v>
      </c>
      <c r="C7" s="3801" t="s">
        <v>3512</v>
      </c>
      <c r="D7" s="2469"/>
      <c r="E7" s="2470"/>
      <c r="F7" s="2471" t="s">
        <v>2263</v>
      </c>
      <c r="G7" s="2472" t="s">
        <v>2264</v>
      </c>
      <c r="H7" s="799"/>
      <c r="I7" s="799"/>
      <c r="J7" s="799"/>
      <c r="K7" s="799"/>
      <c r="L7" s="799"/>
      <c r="M7" s="799"/>
      <c r="N7" s="799"/>
      <c r="O7" s="799"/>
      <c r="P7" s="799"/>
      <c r="Q7" s="799"/>
      <c r="R7" s="799"/>
    </row>
    <row r="8" spans="1:29">
      <c r="A8" s="2442"/>
      <c r="B8" s="323" t="s">
        <v>2261</v>
      </c>
      <c r="C8" s="3801" t="s">
        <v>3513</v>
      </c>
      <c r="D8" s="2469"/>
      <c r="E8" s="2469"/>
      <c r="F8" s="2473"/>
      <c r="G8" s="2473"/>
      <c r="H8" s="799"/>
      <c r="I8" s="799"/>
      <c r="J8" s="799"/>
      <c r="K8" s="799"/>
      <c r="L8" s="799"/>
      <c r="M8" s="799"/>
      <c r="N8" s="799"/>
      <c r="O8" s="799"/>
      <c r="P8" s="799"/>
      <c r="Q8" s="799"/>
      <c r="R8" s="799"/>
    </row>
    <row r="9" spans="1:29">
      <c r="A9" s="2442"/>
      <c r="B9" s="323" t="s">
        <v>2265</v>
      </c>
      <c r="C9" s="3800" t="s">
        <v>3512</v>
      </c>
      <c r="D9" s="2464"/>
      <c r="E9" s="2469"/>
      <c r="F9" s="2473"/>
      <c r="G9" s="2473"/>
      <c r="H9" s="799"/>
      <c r="I9" s="799"/>
      <c r="J9" s="799"/>
      <c r="K9" s="799"/>
      <c r="L9" s="799"/>
      <c r="M9" s="799"/>
      <c r="N9" s="799"/>
      <c r="O9" s="799"/>
      <c r="P9" s="799"/>
      <c r="Q9" s="799"/>
      <c r="R9" s="799"/>
    </row>
    <row r="10" spans="1:29" s="2479" customFormat="1" ht="15" thickBot="1">
      <c r="A10" s="2443"/>
      <c r="B10" s="2474" t="s">
        <v>2266</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2283</v>
      </c>
      <c r="B13" s="2482"/>
      <c r="C13" s="2482"/>
      <c r="D13" s="2480"/>
      <c r="E13" s="2482"/>
      <c r="F13" s="2482"/>
      <c r="G13" s="2482"/>
    </row>
    <row r="14" spans="1:29" ht="15" thickBot="1">
      <c r="A14" s="2492"/>
      <c r="B14" s="2492"/>
      <c r="C14" s="2493" t="s">
        <v>2267</v>
      </c>
      <c r="D14" s="2464"/>
      <c r="E14" s="2494"/>
      <c r="F14" s="2494"/>
      <c r="G14" s="2460" t="s">
        <v>2268</v>
      </c>
    </row>
    <row r="15" spans="1:29" ht="51">
      <c r="A15" s="2444" t="s">
        <v>2269</v>
      </c>
      <c r="B15" s="2495" t="s">
        <v>2252</v>
      </c>
      <c r="C15" s="2496" t="str">
        <f>C3</f>
        <v>较好</v>
      </c>
      <c r="D15" s="2464"/>
      <c r="E15" s="2445" t="s">
        <v>2270</v>
      </c>
      <c r="F15" s="2495" t="s">
        <v>2271</v>
      </c>
      <c r="G15" s="2497" t="str">
        <f>G3</f>
        <v>估价对象位于XX开发区，园区建设成熟度XX，产业集聚程度XX</v>
      </c>
    </row>
    <row r="16" spans="1:29" ht="38.25">
      <c r="A16" s="2446"/>
      <c r="B16" s="2498" t="s">
        <v>2254</v>
      </c>
      <c r="C16" s="2499" t="str">
        <f>C4</f>
        <v>较好</v>
      </c>
      <c r="D16" s="2464"/>
      <c r="E16" s="2447"/>
      <c r="F16" s="2500" t="s">
        <v>2255</v>
      </c>
      <c r="G16" s="2501" t="str">
        <f>G4</f>
        <v>估价对象周边道路状况、公共交通通达情况、停车便捷程度，综合评价交通便捷度较好</v>
      </c>
    </row>
    <row r="17" spans="1:18" ht="38.25">
      <c r="A17" s="2446"/>
      <c r="B17" s="2498" t="s">
        <v>2257</v>
      </c>
      <c r="C17" s="2499" t="str">
        <f>C5</f>
        <v>较好</v>
      </c>
      <c r="D17" s="2469"/>
      <c r="E17" s="2447"/>
      <c r="F17" s="2500" t="s">
        <v>2272</v>
      </c>
      <c r="G17" s="2502"/>
    </row>
    <row r="18" spans="1:18" ht="38.25">
      <c r="A18" s="2446"/>
      <c r="B18" s="2500" t="s">
        <v>2260</v>
      </c>
      <c r="C18" s="2501" t="str">
        <f>C6</f>
        <v>较好</v>
      </c>
      <c r="D18" s="2469"/>
      <c r="E18" s="2447"/>
      <c r="F18" s="2500" t="s">
        <v>2263</v>
      </c>
      <c r="G18" s="2501" t="str">
        <f>G7</f>
        <v>该园区内是否有污染型企业，绿化情况，卫生条件，整体环境状况判断</v>
      </c>
    </row>
    <row r="19" spans="1:18" ht="25.5">
      <c r="A19" s="2446"/>
      <c r="B19" s="2500" t="s">
        <v>2273</v>
      </c>
      <c r="C19" s="2502"/>
      <c r="D19" s="2464"/>
      <c r="E19" s="2447"/>
      <c r="F19" s="323" t="s">
        <v>2258</v>
      </c>
      <c r="G19" s="2501" t="str">
        <f>G5</f>
        <v>估价对象所在区域公共配套设施齐备情况</v>
      </c>
    </row>
    <row r="20" spans="1:18" ht="25.5">
      <c r="A20" s="2446"/>
      <c r="B20" s="2500" t="s">
        <v>2274</v>
      </c>
      <c r="C20" s="2499" t="str">
        <f>C9</f>
        <v>较好</v>
      </c>
      <c r="D20" s="2469"/>
      <c r="E20" s="2447"/>
      <c r="F20" s="323" t="s">
        <v>2261</v>
      </c>
      <c r="G20" s="2501" t="str">
        <f>G6</f>
        <v>估价对象所在区域基础设施水平</v>
      </c>
    </row>
    <row r="21" spans="1:18" ht="25.5">
      <c r="A21" s="2446"/>
      <c r="B21" s="323" t="s">
        <v>2258</v>
      </c>
      <c r="C21" s="2501" t="str">
        <f>C7</f>
        <v>较好</v>
      </c>
      <c r="D21" s="2464"/>
      <c r="E21" s="2447"/>
      <c r="F21" s="2500" t="s">
        <v>2275</v>
      </c>
      <c r="G21" s="2503"/>
    </row>
    <row r="22" spans="1:18" ht="13.5" customHeight="1">
      <c r="A22" s="2446"/>
      <c r="B22" s="323" t="s">
        <v>2261</v>
      </c>
      <c r="C22" s="2501" t="str">
        <f>C8</f>
        <v>七通</v>
      </c>
      <c r="D22" s="2464"/>
      <c r="E22" s="2447"/>
      <c r="F22" s="2500" t="s">
        <v>2266</v>
      </c>
      <c r="G22" s="2502"/>
    </row>
    <row r="23" spans="1:18" s="799" customFormat="1" ht="15" thickBot="1">
      <c r="A23" s="2446"/>
      <c r="B23" s="2500" t="s">
        <v>2275</v>
      </c>
      <c r="C23" s="2503"/>
      <c r="D23" s="1741"/>
      <c r="E23" s="2448"/>
      <c r="F23" s="2504" t="s">
        <v>2276</v>
      </c>
      <c r="G23" s="2505"/>
      <c r="H23" s="2489"/>
      <c r="I23" s="2490"/>
      <c r="J23" s="2489"/>
      <c r="K23" s="2489"/>
      <c r="L23" s="2490"/>
      <c r="M23" s="2489"/>
      <c r="N23" s="2489"/>
      <c r="O23" s="2490"/>
      <c r="P23" s="2489"/>
      <c r="Q23" s="2489"/>
      <c r="R23" s="2491"/>
    </row>
    <row r="24" spans="1:18" s="799" customFormat="1" ht="15" thickBot="1">
      <c r="A24" s="2449"/>
      <c r="B24" s="2504" t="s">
        <v>2277</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43352.400000000009</v>
      </c>
      <c r="C1" s="2684"/>
      <c r="D1" s="2684"/>
      <c r="E1" s="2684"/>
      <c r="F1" s="2684"/>
      <c r="G1" s="2685"/>
      <c r="H1" s="2686"/>
      <c r="I1" s="2686"/>
      <c r="J1" s="2686"/>
      <c r="K1" s="2686"/>
    </row>
    <row r="2" spans="1:11" ht="16.5">
      <c r="A2" s="2510" t="s">
        <v>653</v>
      </c>
      <c r="B2" s="2510">
        <f>SUM(C14:C23)</f>
        <v>27621.77</v>
      </c>
      <c r="C2" s="2684"/>
      <c r="D2" s="2684"/>
      <c r="E2" s="2684"/>
      <c r="F2" s="2684"/>
      <c r="G2" s="2685"/>
      <c r="H2" s="2686"/>
      <c r="I2" s="2686"/>
      <c r="J2" s="2686"/>
      <c r="K2" s="2686"/>
    </row>
    <row r="3" spans="1:11" ht="16.5">
      <c r="A3" s="2510" t="s">
        <v>662</v>
      </c>
      <c r="B3" s="2512">
        <f>项目基本情况!D3</f>
        <v>45743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136241</v>
      </c>
      <c r="C5" s="2510">
        <f ca="1">IF(B5=D14,结果表!H102,ROUND(B5*10000/$B$1,0))</f>
        <v>31348</v>
      </c>
      <c r="D5" s="2510">
        <f ca="1">ROUND(B5*10000/$B$2,0)</f>
        <v>49324</v>
      </c>
      <c r="E5" s="2684"/>
      <c r="F5" s="2685"/>
      <c r="G5" s="2685"/>
      <c r="H5" s="2686"/>
      <c r="I5" s="2686"/>
      <c r="J5" s="2686"/>
      <c r="K5" s="2686"/>
    </row>
    <row r="6" spans="1:11" ht="16.5">
      <c r="A6" s="2510" t="s">
        <v>656</v>
      </c>
      <c r="B6" s="2510">
        <f ca="1">SUM(G14:G23)</f>
        <v>136241</v>
      </c>
      <c r="C6" s="2510">
        <f ca="1">IF(B6=G14,结果表!H108,ROUND(B6*10000/$B$1,0))</f>
        <v>31348</v>
      </c>
      <c r="D6" s="2510">
        <f ca="1">ROUND(B6*10000/$B$2,0)</f>
        <v>49324</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3352</v>
      </c>
      <c r="D10" s="2510" t="s">
        <v>3353</v>
      </c>
      <c r="E10" s="3439"/>
      <c r="F10" s="3443" t="s">
        <v>3354</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43352.400000000009</v>
      </c>
      <c r="C14" s="2516">
        <f>'数据-汇总表'!D3</f>
        <v>27621.77</v>
      </c>
      <c r="D14" s="2516">
        <f ca="1">典型户型修正!S22</f>
        <v>136241</v>
      </c>
      <c r="E14" s="2516">
        <f ca="1">ROUND(D14*10000/B14,0)</f>
        <v>31426</v>
      </c>
      <c r="F14" s="2516">
        <f ca="1">ROUND(D14*10000/C14,0)</f>
        <v>49324</v>
      </c>
      <c r="G14" s="2516">
        <f ca="1">D14</f>
        <v>136241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55" sqref="V55"/>
    </sheetView>
  </sheetViews>
  <sheetFormatPr defaultColWidth="9" defaultRowHeight="12.75"/>
  <cols>
    <col min="1" max="1" width="36.125" style="130" customWidth="1"/>
    <col min="2" max="2" width="9.25" style="24" customWidth="1"/>
    <col min="3" max="3" width="9.1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5" t="s">
        <v>2084</v>
      </c>
      <c r="D1" s="3746"/>
      <c r="E1" s="3746"/>
      <c r="F1" s="3746"/>
      <c r="G1" s="3746"/>
      <c r="H1" s="3746"/>
      <c r="I1" s="3746"/>
      <c r="J1" s="3746"/>
      <c r="K1" s="3746"/>
      <c r="L1" s="3746"/>
      <c r="M1" s="3746"/>
      <c r="N1" s="3746"/>
      <c r="O1" s="3746"/>
      <c r="P1" s="3746"/>
      <c r="Q1" s="3746"/>
      <c r="R1" s="3746"/>
      <c r="S1" s="3747"/>
      <c r="T1" s="983" t="s">
        <v>2085</v>
      </c>
    </row>
    <row r="2" spans="1:45" s="655" customFormat="1">
      <c r="A2" s="984"/>
      <c r="B2" s="651" t="s">
        <v>2086</v>
      </c>
      <c r="C2" s="652" t="str">
        <f t="shared" ref="C2:L2" si="0">C3&amp;"(含)"&amp;"-"&amp;D3</f>
        <v>0(含)-100</v>
      </c>
      <c r="D2" s="653" t="str">
        <f t="shared" si="0"/>
        <v>100(含)-300</v>
      </c>
      <c r="E2" s="653" t="str">
        <f t="shared" si="0"/>
        <v>300(含)-500</v>
      </c>
      <c r="F2" s="653" t="str">
        <f t="shared" si="0"/>
        <v>500(含)-1000</v>
      </c>
      <c r="G2" s="653" t="str">
        <f t="shared" si="0"/>
        <v>1000(含)-3000</v>
      </c>
      <c r="H2" s="653" t="str">
        <f t="shared" si="0"/>
        <v>3000(含)-10000</v>
      </c>
      <c r="I2" s="653" t="str">
        <f t="shared" si="0"/>
        <v>10000(含)-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300</v>
      </c>
      <c r="F3" s="1305">
        <v>500</v>
      </c>
      <c r="G3" s="1305">
        <v>1000</v>
      </c>
      <c r="H3" s="1305">
        <v>3000</v>
      </c>
      <c r="I3" s="1305">
        <v>10000</v>
      </c>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90">
        <f>D4-2</f>
        <v>96</v>
      </c>
      <c r="D4" s="990">
        <f>E4-2</f>
        <v>98</v>
      </c>
      <c r="E4" s="990">
        <v>100</v>
      </c>
      <c r="F4" s="1309">
        <f>E4-2</f>
        <v>98</v>
      </c>
      <c r="G4" s="1309">
        <f>F4-2</f>
        <v>96</v>
      </c>
      <c r="H4" s="1309">
        <f>G4-2</f>
        <v>94</v>
      </c>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136241</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31426</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43352.400000000009</v>
      </c>
      <c r="C22" s="3742" t="s">
        <v>27</v>
      </c>
      <c r="D22" s="3743"/>
      <c r="E22" s="3743"/>
      <c r="F22" s="3743"/>
      <c r="G22" s="3743"/>
      <c r="H22" s="3743"/>
      <c r="I22" s="3743"/>
      <c r="J22" s="3743"/>
      <c r="K22" s="3743"/>
      <c r="L22" s="3743"/>
      <c r="M22" s="3743"/>
      <c r="N22" s="3743"/>
      <c r="O22" s="3743"/>
      <c r="P22" s="3743"/>
      <c r="Q22" s="3744"/>
      <c r="R22" s="663">
        <f ca="1">ROUND(S22*10000/B22,0)</f>
        <v>31426</v>
      </c>
      <c r="S22" s="21">
        <f ca="1">SUM(S24:S10000)</f>
        <v>136241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f>'数据-汇总表'!F19</f>
        <v>1718.77</v>
      </c>
      <c r="C24" s="2808">
        <v>1</v>
      </c>
      <c r="D24" s="2809"/>
      <c r="E24" s="2808">
        <v>1</v>
      </c>
      <c r="F24" s="2809"/>
      <c r="G24" s="2808">
        <v>1</v>
      </c>
      <c r="H24" s="2809"/>
      <c r="I24" s="2808">
        <v>1</v>
      </c>
      <c r="J24" s="2809"/>
      <c r="K24" s="2808">
        <v>1</v>
      </c>
      <c r="L24" s="2809"/>
      <c r="M24" s="2808">
        <v>1</v>
      </c>
      <c r="N24" s="2809"/>
      <c r="O24" s="2808">
        <v>1</v>
      </c>
      <c r="P24" s="2809"/>
      <c r="Q24" s="2808">
        <v>1</v>
      </c>
      <c r="R24" s="668">
        <f ca="1">结果表!G20</f>
        <v>31348</v>
      </c>
      <c r="S24" s="666">
        <f t="shared" ref="S24:S54" ca="1" si="11">ROUND(R24*B24/10000,0)</f>
        <v>5388</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tr">
        <f>面积指标!C2</f>
        <v>北京市丰台区丰台北路18号院3号楼22层2201</v>
      </c>
      <c r="B25" s="54">
        <f>面积指标!E2</f>
        <v>1898.88</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31348</v>
      </c>
      <c r="S25" s="316">
        <f t="shared" ca="1" si="11"/>
        <v>5953</v>
      </c>
    </row>
    <row r="26" spans="1:45">
      <c r="A26" s="150" t="str">
        <f>面积指标!C3</f>
        <v>北京市丰台区丰台北路18号院3号楼21层2101</v>
      </c>
      <c r="B26" s="54">
        <f>面积指标!E3</f>
        <v>1898.88</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31348</v>
      </c>
      <c r="S26" s="316">
        <f t="shared" ca="1" si="11"/>
        <v>5953</v>
      </c>
    </row>
    <row r="27" spans="1:45">
      <c r="A27" s="150" t="str">
        <f>面积指标!C4</f>
        <v>北京市丰台区丰台北路18号院3号楼20层2001</v>
      </c>
      <c r="B27" s="54">
        <f>面积指标!E4</f>
        <v>1898.88</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31348</v>
      </c>
      <c r="S27" s="316">
        <f t="shared" ca="1" si="11"/>
        <v>5953</v>
      </c>
    </row>
    <row r="28" spans="1:45">
      <c r="A28" s="150" t="str">
        <f>面积指标!C5</f>
        <v>北京市丰台区丰台北路18号院3号楼19层1901</v>
      </c>
      <c r="B28" s="54">
        <f>面积指标!E5</f>
        <v>1898.88</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31348</v>
      </c>
      <c r="S28" s="316">
        <f t="shared" ca="1" si="11"/>
        <v>5953</v>
      </c>
    </row>
    <row r="29" spans="1:45">
      <c r="A29" s="150" t="str">
        <f>面积指标!C6</f>
        <v>北京市丰台区丰台北路18号院3号楼18层1801</v>
      </c>
      <c r="B29" s="54">
        <f>面积指标!E6</f>
        <v>1898.88</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31348</v>
      </c>
      <c r="S29" s="316">
        <f t="shared" ca="1" si="11"/>
        <v>5953</v>
      </c>
    </row>
    <row r="30" spans="1:45">
      <c r="A30" s="150" t="str">
        <f>面积指标!C7</f>
        <v>北京市丰台区丰台北路18号院3号楼17层1701</v>
      </c>
      <c r="B30" s="54">
        <f>面积指标!E7</f>
        <v>1898.88</v>
      </c>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ca="1" si="20"/>
        <v>31348</v>
      </c>
      <c r="S30" s="316">
        <f t="shared" ca="1" si="11"/>
        <v>5953</v>
      </c>
    </row>
    <row r="31" spans="1:45">
      <c r="A31" s="150" t="str">
        <f>面积指标!C8</f>
        <v>北京市丰台区丰台北路18号院3号楼16层1601</v>
      </c>
      <c r="B31" s="54">
        <f>面积指标!E8</f>
        <v>1898.88</v>
      </c>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ca="1" si="20"/>
        <v>31348</v>
      </c>
      <c r="S31" s="316">
        <f t="shared" ca="1" si="11"/>
        <v>5953</v>
      </c>
    </row>
    <row r="32" spans="1:45">
      <c r="A32" s="150" t="str">
        <f>面积指标!C9</f>
        <v>北京市丰台区丰台北路18号院3号楼15层1501</v>
      </c>
      <c r="B32" s="54">
        <f>面积指标!E9</f>
        <v>1898.88</v>
      </c>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ca="1" si="20"/>
        <v>31348</v>
      </c>
      <c r="S32" s="316">
        <f t="shared" ca="1" si="11"/>
        <v>5953</v>
      </c>
    </row>
    <row r="33" spans="1:19">
      <c r="A33" s="150" t="str">
        <f>面积指标!C10</f>
        <v>北京市丰台区丰台北路18号院3号楼14层1401</v>
      </c>
      <c r="B33" s="54">
        <f>面积指标!E10</f>
        <v>1898.88</v>
      </c>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ca="1" si="20"/>
        <v>31348</v>
      </c>
      <c r="S33" s="316">
        <f t="shared" ca="1" si="11"/>
        <v>5953</v>
      </c>
    </row>
    <row r="34" spans="1:19">
      <c r="A34" s="150" t="str">
        <f>面积指标!C11</f>
        <v>北京市丰台区丰台北路18号院3号楼13层1301</v>
      </c>
      <c r="B34" s="54">
        <f>面积指标!E11</f>
        <v>1898.88</v>
      </c>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ca="1" si="20"/>
        <v>31348</v>
      </c>
      <c r="S34" s="316">
        <f t="shared" ca="1" si="11"/>
        <v>5953</v>
      </c>
    </row>
    <row r="35" spans="1:19">
      <c r="A35" s="150" t="str">
        <f>面积指标!C12</f>
        <v>北京市丰台区丰台北路18号院3号楼12层1201</v>
      </c>
      <c r="B35" s="54">
        <f>面积指标!E12</f>
        <v>1898.88</v>
      </c>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ca="1" si="20"/>
        <v>31348</v>
      </c>
      <c r="S35" s="316">
        <f t="shared" ca="1" si="11"/>
        <v>5953</v>
      </c>
    </row>
    <row r="36" spans="1:19">
      <c r="A36" s="150" t="str">
        <f>面积指标!C13</f>
        <v>北京市丰台区丰台北路18号院3号楼11层1101</v>
      </c>
      <c r="B36" s="54">
        <f>面积指标!E13</f>
        <v>1898.88</v>
      </c>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ca="1" si="20"/>
        <v>31348</v>
      </c>
      <c r="S36" s="316">
        <f t="shared" ca="1" si="11"/>
        <v>5953</v>
      </c>
    </row>
    <row r="37" spans="1:19">
      <c r="A37" s="150" t="str">
        <f>面积指标!C14</f>
        <v>北京市丰台区丰台北路18号院3号楼10层1001</v>
      </c>
      <c r="B37" s="54">
        <f>面积指标!E14</f>
        <v>1898.88</v>
      </c>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ca="1" si="20"/>
        <v>31348</v>
      </c>
      <c r="S37" s="316">
        <f t="shared" ca="1" si="11"/>
        <v>5953</v>
      </c>
    </row>
    <row r="38" spans="1:19">
      <c r="A38" s="150" t="str">
        <f>面积指标!C15</f>
        <v>北京市丰台区丰台北路18号院3号楼9层901</v>
      </c>
      <c r="B38" s="54">
        <f>面积指标!E15</f>
        <v>1898.88</v>
      </c>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ca="1" si="20"/>
        <v>31348</v>
      </c>
      <c r="S38" s="316">
        <f t="shared" ca="1" si="11"/>
        <v>5953</v>
      </c>
    </row>
    <row r="39" spans="1:19">
      <c r="A39" s="150" t="str">
        <f>面积指标!C16</f>
        <v>北京市丰台区丰台北路18号院3号楼8层801</v>
      </c>
      <c r="B39" s="54">
        <f>面积指标!E16</f>
        <v>1898.88</v>
      </c>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ca="1" si="20"/>
        <v>31348</v>
      </c>
      <c r="S39" s="316">
        <f t="shared" ca="1" si="11"/>
        <v>5953</v>
      </c>
    </row>
    <row r="40" spans="1:19">
      <c r="A40" s="150" t="str">
        <f>面积指标!C17</f>
        <v>北京市丰台区丰台北路18号院3号楼7层701</v>
      </c>
      <c r="B40" s="54">
        <f>面积指标!E17</f>
        <v>1898.88</v>
      </c>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ca="1" si="20"/>
        <v>31348</v>
      </c>
      <c r="S40" s="316">
        <f t="shared" ca="1" si="11"/>
        <v>5953</v>
      </c>
    </row>
    <row r="41" spans="1:19">
      <c r="A41" s="150" t="str">
        <f>面积指标!C18</f>
        <v>北京市丰台区丰台北路18号院3号楼6层601</v>
      </c>
      <c r="B41" s="54">
        <f>面积指标!E18</f>
        <v>1898.88</v>
      </c>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ca="1" si="20"/>
        <v>31348</v>
      </c>
      <c r="S41" s="316">
        <f t="shared" ca="1" si="11"/>
        <v>5953</v>
      </c>
    </row>
    <row r="42" spans="1:19">
      <c r="A42" s="150" t="str">
        <f>面积指标!C19</f>
        <v>北京市丰台区丰台北路18号院3号楼5层501</v>
      </c>
      <c r="B42" s="54">
        <f>面积指标!E19</f>
        <v>937.55</v>
      </c>
      <c r="C42" s="21">
        <f t="shared" si="12"/>
        <v>1.02</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ca="1" si="20"/>
        <v>31975</v>
      </c>
      <c r="S42" s="316">
        <f t="shared" ca="1" si="11"/>
        <v>2998</v>
      </c>
    </row>
    <row r="43" spans="1:19">
      <c r="A43" s="150" t="str">
        <f>面积指标!C20</f>
        <v>北京市丰台区丰台北路18号院3号楼5层502</v>
      </c>
      <c r="B43" s="54">
        <f>面积指标!E20</f>
        <v>883.81</v>
      </c>
      <c r="C43" s="21">
        <f t="shared" si="12"/>
        <v>1.02</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ca="1" si="20"/>
        <v>31975</v>
      </c>
      <c r="S43" s="316">
        <f t="shared" ca="1" si="11"/>
        <v>2826</v>
      </c>
    </row>
    <row r="44" spans="1:19">
      <c r="A44" s="150" t="str">
        <f>面积指标!C22</f>
        <v>北京市丰台区丰台北路18号院3号楼4层403</v>
      </c>
      <c r="B44" s="54">
        <f>面积指标!E22</f>
        <v>2128.35</v>
      </c>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ca="1" si="20"/>
        <v>31348</v>
      </c>
      <c r="S44" s="316">
        <f t="shared" ca="1" si="11"/>
        <v>6672</v>
      </c>
    </row>
    <row r="45" spans="1:19">
      <c r="A45" s="150" t="str">
        <f>面积指标!C23</f>
        <v>北京市丰台区丰台北路18号院3号楼3层301</v>
      </c>
      <c r="B45" s="54">
        <f>面积指标!E23</f>
        <v>1616.73</v>
      </c>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ca="1" si="20"/>
        <v>31348</v>
      </c>
      <c r="S45" s="316">
        <f t="shared" ca="1" si="11"/>
        <v>5068</v>
      </c>
    </row>
    <row r="46" spans="1:19">
      <c r="A46" s="150" t="str">
        <f>面积指标!C24</f>
        <v>北京市丰台区丰台北路18号院3号楼3层302</v>
      </c>
      <c r="B46" s="54">
        <f>面积指标!E24</f>
        <v>2143.4499999999998</v>
      </c>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ca="1" si="20"/>
        <v>31348</v>
      </c>
      <c r="S46" s="316">
        <f t="shared" ca="1" si="11"/>
        <v>6719</v>
      </c>
    </row>
    <row r="47" spans="1:19">
      <c r="A47" s="150" t="str">
        <f>面积指标!C25</f>
        <v>北京市丰台区丰台北路18号院3号楼2层201</v>
      </c>
      <c r="B47" s="54">
        <f>面积指标!E25</f>
        <v>564.41999999999996</v>
      </c>
      <c r="C47" s="21">
        <f t="shared" si="12"/>
        <v>1.02</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ca="1" si="20"/>
        <v>31975</v>
      </c>
      <c r="S47" s="316">
        <f t="shared" ca="1" si="11"/>
        <v>1805</v>
      </c>
    </row>
    <row r="48" spans="1:19">
      <c r="A48" s="150" t="str">
        <f>面积指标!C26</f>
        <v>北京市丰台区丰台北路18号院3号楼2层202</v>
      </c>
      <c r="B48" s="54">
        <f>面积指标!E26</f>
        <v>729.08</v>
      </c>
      <c r="C48" s="21">
        <f t="shared" si="12"/>
        <v>1.02</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ca="1" si="20"/>
        <v>31975</v>
      </c>
      <c r="S48" s="316">
        <f t="shared" ca="1" si="11"/>
        <v>2331</v>
      </c>
    </row>
    <row r="49" spans="1:19">
      <c r="A49" s="150" t="str">
        <f>面积指标!C27</f>
        <v>北京市丰台区丰台北路18号院3号楼2层203</v>
      </c>
      <c r="B49" s="54">
        <f>面积指标!E27</f>
        <v>91.7</v>
      </c>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ca="1" si="20"/>
        <v>31348</v>
      </c>
      <c r="S49" s="316">
        <f t="shared" ca="1" si="11"/>
        <v>287</v>
      </c>
    </row>
    <row r="50" spans="1:19">
      <c r="A50" s="150" t="str">
        <f>面积指标!C28</f>
        <v>北京市丰台区丰台北路18号院3号楼1层102</v>
      </c>
      <c r="B50" s="54">
        <f>面积指标!E28</f>
        <v>217.82</v>
      </c>
      <c r="C50" s="21">
        <f t="shared" si="12"/>
        <v>1.02</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ca="1">IF(B49="",0,ROUND($R$24*C50*E50*G50*I50*K50*M50*O50*Q50,0))</f>
        <v>31975</v>
      </c>
      <c r="S50" s="316">
        <f t="shared" ca="1" si="11"/>
        <v>696</v>
      </c>
    </row>
    <row r="51" spans="1:19">
      <c r="A51" s="150" t="str">
        <f>面积指标!C29</f>
        <v>北京市丰台区丰台北路18号院3号楼1层101</v>
      </c>
      <c r="B51" s="54">
        <f>面积指标!E29</f>
        <v>39.76</v>
      </c>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ca="1">IF(B50="",0,ROUND($R$24*C51*E51*G51*I51*K51*M51*O51*Q51,0))</f>
        <v>31348</v>
      </c>
      <c r="S51" s="316">
        <f t="shared" ca="1" si="11"/>
        <v>125</v>
      </c>
    </row>
    <row r="52" spans="1:19">
      <c r="C52" s="21">
        <f>IF(B51="",1,(LOOKUP(B51,$3:$3,$4:$4)-LOOKUP($B$24,$3:$3,$4:$4)+100)/100)</f>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ca="1">IF(B51="",0,ROUND($R$24*C52*E52*G52*I52*K52*M52*O52*Q52,0))</f>
        <v>31348</v>
      </c>
      <c r="S52" s="316">
        <f ca="1">ROUND(R52*B51/10000,0)</f>
        <v>125</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algorithmName="SHA-512" hashValue="RLZTSa4SzePl5JVQ2jQVR3jo+e8KFjL9ryfmG6ls3CRvne7AXl8KErkt9nEhDJ5wdn4li7+zkhir16Uv7M/3Ew==" saltValue="4EuG1CrAk04wQ6JhlarvnQ==" spinCount="100000" sheet="1" objects="1" scenarios="1" formatCells="0" formatColumns="0" formatRows="0"/>
  <mergeCells count="2">
    <mergeCell ref="C22:Q22"/>
    <mergeCell ref="C1:S1"/>
  </mergeCells>
  <phoneticPr fontId="24" type="noConversion"/>
  <conditionalFormatting sqref="E24:E524 G24:G524 I24:I524 K24:K524 M24:M524 O24:O524 Q24:Q524 C24:C524">
    <cfRule type="cellIs" dxfId="17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6" t="str">
        <f>项目基本情况!S2</f>
        <v>房地产</v>
      </c>
      <c r="B2" s="3617"/>
      <c r="C2" s="3617"/>
      <c r="D2" s="3617"/>
      <c r="E2" s="3617"/>
      <c r="F2" s="3617"/>
      <c r="G2" s="3617"/>
      <c r="H2" s="3617"/>
      <c r="I2" s="3618"/>
    </row>
    <row r="3" spans="1:12" ht="12.75">
      <c r="A3" s="3620" t="s">
        <v>1264</v>
      </c>
      <c r="B3" s="3621"/>
      <c r="C3" s="3621"/>
      <c r="D3" s="3621"/>
      <c r="E3" s="3621"/>
      <c r="F3" s="3621"/>
      <c r="G3" s="3621"/>
      <c r="H3" s="3621"/>
      <c r="I3" s="3621"/>
    </row>
    <row r="4" spans="1:12" ht="14.25">
      <c r="A4" s="1754" t="s">
        <v>1265</v>
      </c>
      <c r="B4" s="1755" t="s">
        <v>1266</v>
      </c>
      <c r="C4" s="1756" t="s">
        <v>3523</v>
      </c>
      <c r="D4" s="1756" t="s">
        <v>3507</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619">
        <v>25</v>
      </c>
      <c r="C5" s="3622"/>
      <c r="D5" s="3610"/>
      <c r="E5" s="131" t="s">
        <v>1269</v>
      </c>
      <c r="F5" s="1757"/>
      <c r="G5" s="1757"/>
      <c r="H5" s="1757"/>
      <c r="I5" s="1373"/>
    </row>
    <row r="6" spans="1:12" ht="12.75">
      <c r="A6" s="3564"/>
      <c r="B6" s="3619"/>
      <c r="C6" s="3624"/>
      <c r="D6" s="3610"/>
      <c r="E6" s="131" t="s">
        <v>1270</v>
      </c>
      <c r="F6" s="1757"/>
      <c r="G6" s="1757"/>
      <c r="H6" s="1757"/>
      <c r="I6" s="1373"/>
    </row>
    <row r="7" spans="1:12" ht="12.75">
      <c r="A7" s="3564"/>
      <c r="B7" s="3619"/>
      <c r="C7" s="3623"/>
      <c r="D7" s="3610"/>
      <c r="E7" s="131" t="s">
        <v>1271</v>
      </c>
      <c r="F7" s="1757"/>
      <c r="G7" s="1757"/>
      <c r="H7" s="1757"/>
      <c r="I7" s="1373"/>
    </row>
    <row r="8" spans="1:12" ht="12.75">
      <c r="A8" s="3564" t="s">
        <v>1272</v>
      </c>
      <c r="B8" s="3619">
        <v>15</v>
      </c>
      <c r="C8" s="3622"/>
      <c r="D8" s="3610"/>
      <c r="E8" s="131" t="s">
        <v>1273</v>
      </c>
      <c r="F8" s="1757"/>
      <c r="G8" s="1757"/>
      <c r="H8" s="1757"/>
      <c r="I8" s="1373"/>
    </row>
    <row r="9" spans="1:12" ht="12.75">
      <c r="A9" s="3564"/>
      <c r="B9" s="3619"/>
      <c r="C9" s="3623"/>
      <c r="D9" s="3610"/>
      <c r="E9" s="131" t="s">
        <v>1274</v>
      </c>
      <c r="F9" s="1757"/>
      <c r="G9" s="1757"/>
      <c r="H9" s="1757"/>
      <c r="I9" s="1373"/>
    </row>
    <row r="10" spans="1:12" ht="12.75">
      <c r="A10" s="3564" t="s">
        <v>1275</v>
      </c>
      <c r="B10" s="3619">
        <v>15</v>
      </c>
      <c r="C10" s="3622"/>
      <c r="D10" s="3610"/>
      <c r="E10" s="131" t="s">
        <v>1276</v>
      </c>
      <c r="F10" s="1757"/>
      <c r="G10" s="1757"/>
      <c r="H10" s="1757"/>
      <c r="I10" s="1373"/>
    </row>
    <row r="11" spans="1:12" ht="12.75">
      <c r="A11" s="3564"/>
      <c r="B11" s="3619"/>
      <c r="C11" s="3623"/>
      <c r="D11" s="3610"/>
      <c r="E11" s="131" t="s">
        <v>1277</v>
      </c>
      <c r="F11" s="1757"/>
      <c r="G11" s="1757"/>
      <c r="H11" s="1757"/>
      <c r="I11" s="1373"/>
    </row>
    <row r="12" spans="1:12" ht="12.75">
      <c r="A12" s="3564" t="s">
        <v>1278</v>
      </c>
      <c r="B12" s="3619">
        <v>15</v>
      </c>
      <c r="C12" s="3622"/>
      <c r="D12" s="3610"/>
      <c r="E12" s="131" t="s">
        <v>1279</v>
      </c>
      <c r="F12" s="1757"/>
      <c r="G12" s="1757"/>
      <c r="H12" s="1757"/>
      <c r="I12" s="1373"/>
    </row>
    <row r="13" spans="1:12" ht="12.75">
      <c r="A13" s="3564"/>
      <c r="B13" s="3619"/>
      <c r="C13" s="3623"/>
      <c r="D13" s="3610"/>
      <c r="E13" s="131" t="s">
        <v>1280</v>
      </c>
      <c r="F13" s="1757"/>
      <c r="G13" s="1757"/>
      <c r="H13" s="1757"/>
      <c r="I13" s="1373"/>
    </row>
    <row r="14" spans="1:12" ht="12.75">
      <c r="A14" s="3564" t="s">
        <v>1281</v>
      </c>
      <c r="B14" s="3619">
        <v>30</v>
      </c>
      <c r="C14" s="3622">
        <v>7</v>
      </c>
      <c r="D14" s="3610">
        <f>10-C14</f>
        <v>3</v>
      </c>
      <c r="E14" s="131" t="s">
        <v>1282</v>
      </c>
      <c r="F14" s="1757"/>
      <c r="G14" s="1757"/>
      <c r="H14" s="1757"/>
      <c r="I14" s="1373"/>
    </row>
    <row r="15" spans="1:12" ht="12.75">
      <c r="A15" s="3564"/>
      <c r="B15" s="3619"/>
      <c r="C15" s="3624"/>
      <c r="D15" s="3610"/>
      <c r="E15" s="131" t="s">
        <v>1283</v>
      </c>
      <c r="F15" s="1757"/>
      <c r="G15" s="1757"/>
      <c r="H15" s="1757"/>
      <c r="I15" s="1373"/>
    </row>
    <row r="16" spans="1:12" ht="12.75">
      <c r="A16" s="3564"/>
      <c r="B16" s="3619"/>
      <c r="C16" s="3623"/>
      <c r="D16" s="3610"/>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41" t="s">
        <v>2131</v>
      </c>
      <c r="F18" s="3642"/>
      <c r="G18" s="3642"/>
      <c r="H18" s="3642"/>
      <c r="I18" s="3642"/>
      <c r="K18" s="302" t="s">
        <v>1289</v>
      </c>
      <c r="L18" s="302">
        <f>IF(C1="",'数据-汇总表'!E3,SUMIF(项目类型,C1,'数据-汇总表'!E17:E26)+SUMIF(项目类型,C1,'数据-汇总表'!I17:I26))</f>
        <v>1718.77</v>
      </c>
      <c r="M18" s="302">
        <f>IF(C1="",'数据-汇总表'!E3,SUMIF(项目类型,C1,'数据-汇总表'!E17:E26))</f>
        <v>1718.77</v>
      </c>
    </row>
    <row r="19" spans="1:36" ht="15">
      <c r="A19" s="1761" t="s">
        <v>1290</v>
      </c>
      <c r="B19" s="1762" t="s">
        <v>1291</v>
      </c>
      <c r="C19" s="134">
        <f ca="1">SUMIF(INDIRECT("'"&amp;C4&amp;"'"&amp;"!A:A"),结果表!B19,INDIRECT("'"&amp;C4&amp;"'"&amp;"!B:B"))</f>
        <v>5952.4638999999997</v>
      </c>
      <c r="D19" s="135">
        <f ca="1">SUMIF(INDIRECT("'"&amp;D4&amp;"'"&amp;"!A:A"),结果表!B19,INDIRECT("'"&amp;D4&amp;"'"&amp;"!B:B"))</f>
        <v>4071.1023</v>
      </c>
      <c r="E19" s="1761" t="s">
        <v>1292</v>
      </c>
      <c r="F19" s="1762" t="s">
        <v>1291</v>
      </c>
      <c r="G19" s="136">
        <f ca="1">ROUND(C19*$C$18+D19*$D$18,0)</f>
        <v>5388</v>
      </c>
      <c r="H19" s="1763" t="s">
        <v>1293</v>
      </c>
      <c r="I19" s="129"/>
      <c r="K19" s="302" t="s">
        <v>1294</v>
      </c>
      <c r="L19" s="302">
        <f>IF(C1="",'数据-汇总表'!D3,SUMIF(项目类型,C1,'数据-汇总表'!D17:D26)+SUMIF(项目类型,C1,'数据-汇总表'!H17:H27))</f>
        <v>27621.77</v>
      </c>
      <c r="M19" s="302">
        <f>IF(C1="",'数据-汇总表'!D3,SUMIF(项目类型,C1,'数据-汇总表'!D17:D26))</f>
        <v>27621.77</v>
      </c>
    </row>
    <row r="20" spans="1:36" ht="15">
      <c r="A20" s="1764"/>
      <c r="B20" s="1026" t="s">
        <v>1295</v>
      </c>
      <c r="C20" s="137">
        <f ca="1">SUMIF(INDIRECT("'"&amp;C4&amp;"'"&amp;"!A:A"),结果表!B20,INDIRECT("'"&amp;C4&amp;"'"&amp;"!B:B"))</f>
        <v>34632</v>
      </c>
      <c r="D20" s="138">
        <f ca="1">SUMIF(INDIRECT("'"&amp;D4&amp;"'"&amp;"!A:A"),结果表!B20,INDIRECT("'"&amp;D4&amp;"'"&amp;"!B:B"))</f>
        <v>23686</v>
      </c>
      <c r="E20" s="1764"/>
      <c r="F20" s="1026" t="s">
        <v>1295</v>
      </c>
      <c r="G20" s="139">
        <f ca="1">ROUND(C20*$C$18+D20*$D$18,0)</f>
        <v>31348</v>
      </c>
      <c r="H20" s="808" t="s">
        <v>1296</v>
      </c>
      <c r="I20" s="129"/>
    </row>
    <row r="21" spans="1:36" ht="15" customHeight="1" thickBot="1">
      <c r="A21" s="828"/>
      <c r="B21" s="1765" t="s">
        <v>1297</v>
      </c>
      <c r="C21" s="719">
        <f ca="1">ROUND(C19*10000/L19,0)</f>
        <v>2155</v>
      </c>
      <c r="D21" s="720">
        <f ca="1">ROUND(D19*10000/L19,0)</f>
        <v>1474</v>
      </c>
      <c r="E21" s="828"/>
      <c r="F21" s="1765" t="s">
        <v>1297</v>
      </c>
      <c r="G21" s="140">
        <f ca="1">ROUND(G19*10000/L19,0)</f>
        <v>1951</v>
      </c>
      <c r="H21" s="1766" t="s">
        <v>1296</v>
      </c>
      <c r="I21" s="129"/>
    </row>
    <row r="22" spans="1:36" ht="15" thickBot="1">
      <c r="A22" s="1688" t="s">
        <v>1298</v>
      </c>
      <c r="B22" s="1767"/>
      <c r="C22" s="1768"/>
      <c r="D22" s="721">
        <f ca="1">IF(C19&lt;D19,D19/C19-1,C19/D19-1)</f>
        <v>0.4621258473411487</v>
      </c>
      <c r="E22" s="129"/>
      <c r="F22" s="129"/>
      <c r="G22" s="129"/>
      <c r="H22" s="129"/>
      <c r="I22" s="129"/>
    </row>
    <row r="23" spans="1:36" ht="13.5" thickBot="1">
      <c r="A23" s="1747"/>
      <c r="B23" s="1747"/>
      <c r="C23" s="1747"/>
      <c r="D23" s="1747"/>
      <c r="E23" s="129"/>
      <c r="F23" s="129"/>
      <c r="G23" s="129"/>
      <c r="H23" s="129"/>
      <c r="I23" s="129"/>
    </row>
    <row r="24" spans="1:36" ht="14.25">
      <c r="A24" s="3634" t="s">
        <v>1299</v>
      </c>
      <c r="B24" s="1762" t="s">
        <v>1291</v>
      </c>
      <c r="C24" s="136">
        <f>IF(B30=0,0,D30)</f>
        <v>0</v>
      </c>
      <c r="D24" s="1769"/>
      <c r="E24" s="129"/>
      <c r="F24" s="129"/>
      <c r="G24" s="129"/>
      <c r="H24" s="129"/>
      <c r="I24" s="129"/>
    </row>
    <row r="25" spans="1:36" ht="14.25">
      <c r="A25" s="363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31348</v>
      </c>
      <c r="D32" s="1775" t="s">
        <v>3524</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1" t="s">
        <v>1312</v>
      </c>
      <c r="B36" s="1787" t="s">
        <v>1313</v>
      </c>
      <c r="C36" s="145"/>
      <c r="D36" s="1788"/>
      <c r="E36" s="1789"/>
      <c r="F36" s="1790"/>
      <c r="G36" s="129"/>
      <c r="H36" s="129"/>
      <c r="I36" s="129"/>
    </row>
    <row r="37" spans="1:15" ht="15.75" thickBot="1">
      <c r="A37" s="3612"/>
      <c r="B37" s="1674" t="s">
        <v>1314</v>
      </c>
      <c r="C37" s="147"/>
      <c r="D37" s="1139"/>
      <c r="E37" s="1139"/>
      <c r="F37" s="1790"/>
      <c r="G37" s="129"/>
      <c r="H37" s="129"/>
      <c r="I37" s="129"/>
    </row>
    <row r="38" spans="1:15" ht="15.75" thickBot="1">
      <c r="A38" s="361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1" t="s">
        <v>1326</v>
      </c>
      <c r="B45" s="3632"/>
      <c r="C45" s="3633"/>
      <c r="D45" s="155">
        <f ca="1">ROUND(H101*F45,0)</f>
        <v>5388</v>
      </c>
      <c r="E45" s="156" t="s">
        <v>1327</v>
      </c>
      <c r="F45" s="157">
        <v>1</v>
      </c>
      <c r="G45" s="158" t="s">
        <v>1328</v>
      </c>
      <c r="H45" s="129"/>
      <c r="I45" s="129"/>
      <c r="J45" s="3551" t="s">
        <v>1329</v>
      </c>
      <c r="K45" s="3551"/>
      <c r="L45" s="3551"/>
      <c r="M45" s="3551"/>
      <c r="N45" s="3551"/>
      <c r="O45" s="3551"/>
    </row>
    <row r="46" spans="1:15" ht="14.25" customHeight="1">
      <c r="A46" s="3628" t="s">
        <v>1330</v>
      </c>
      <c r="B46" s="3629"/>
      <c r="C46" s="3629"/>
      <c r="D46" s="3629"/>
      <c r="E46" s="3629"/>
      <c r="F46" s="3629"/>
      <c r="G46" s="3630"/>
      <c r="H46" s="1806"/>
      <c r="I46" s="159"/>
      <c r="J46" s="2521">
        <v>1</v>
      </c>
      <c r="K46" s="3552" t="s">
        <v>1331</v>
      </c>
      <c r="L46" s="3552"/>
      <c r="M46" s="3553"/>
      <c r="N46" s="3553"/>
      <c r="O46" s="3553"/>
    </row>
    <row r="47" spans="1:15" ht="12" customHeight="1">
      <c r="A47" s="160" t="s">
        <v>1332</v>
      </c>
      <c r="B47" s="161"/>
      <c r="C47" s="162"/>
      <c r="D47" s="1087" t="s">
        <v>1333</v>
      </c>
      <c r="E47" s="302" t="s">
        <v>1334</v>
      </c>
      <c r="F47" s="163" t="s">
        <v>1335</v>
      </c>
      <c r="G47" s="2544" t="s">
        <v>1336</v>
      </c>
      <c r="H47" s="2545"/>
      <c r="I47" s="159"/>
      <c r="J47" s="2521">
        <v>2</v>
      </c>
      <c r="K47" s="3552" t="s">
        <v>1337</v>
      </c>
      <c r="L47" s="3552"/>
      <c r="M47" s="3554">
        <f>'数据-取费表'!B2</f>
        <v>45743</v>
      </c>
      <c r="N47" s="3554"/>
      <c r="O47" s="3554"/>
    </row>
    <row r="48" spans="1:15" ht="25.5">
      <c r="A48" s="3614" t="s">
        <v>1338</v>
      </c>
      <c r="B48" s="3615"/>
      <c r="C48" s="3615"/>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552" t="s">
        <v>1340</v>
      </c>
      <c r="L48" s="3552"/>
      <c r="M48" s="3555">
        <f ca="1">H101</f>
        <v>5388</v>
      </c>
      <c r="N48" s="3555"/>
      <c r="O48" s="3555"/>
    </row>
    <row r="49" spans="1:35" ht="25.5" customHeight="1">
      <c r="A49" s="2333" t="s">
        <v>1341</v>
      </c>
      <c r="B49" s="3600" t="s">
        <v>1342</v>
      </c>
      <c r="C49" s="3600"/>
      <c r="D49" s="1590">
        <v>0</v>
      </c>
      <c r="E49" s="324" t="s">
        <v>1343</v>
      </c>
      <c r="F49" s="2424" t="s">
        <v>28</v>
      </c>
      <c r="G49" s="3583"/>
      <c r="H49" s="2310" t="s">
        <v>2134</v>
      </c>
      <c r="I49" s="2311"/>
      <c r="J49" s="2521">
        <v>4</v>
      </c>
      <c r="K49" s="3552" t="str">
        <f>IF(项目基本情况!E8="房地产抵押价值","房地产抵押价值","抵押担保权已注销时的房地产抵押价值")</f>
        <v>抵押担保权已注销时的房地产抵押价值</v>
      </c>
      <c r="L49" s="3552"/>
      <c r="M49" s="3555" t="str">
        <f>IF(项目基本情况!E8="房地产抵押价值",H107,H109)</f>
        <v>——</v>
      </c>
      <c r="N49" s="3555"/>
      <c r="O49" s="3555"/>
    </row>
    <row r="50" spans="1:35" ht="25.5" customHeight="1">
      <c r="A50" s="2549"/>
      <c r="B50" s="3600" t="s">
        <v>1344</v>
      </c>
      <c r="C50" s="3600"/>
      <c r="D50" s="2550"/>
      <c r="E50" s="332"/>
      <c r="F50" s="2424"/>
      <c r="G50" s="3584"/>
      <c r="H50" s="2312" t="s">
        <v>2135</v>
      </c>
      <c r="I50" s="2311"/>
      <c r="J50" s="3551" t="s">
        <v>1345</v>
      </c>
      <c r="K50" s="3551"/>
      <c r="L50" s="3551"/>
      <c r="M50" s="3551"/>
      <c r="N50" s="3551"/>
      <c r="O50" s="3551"/>
    </row>
    <row r="51" spans="1:35" ht="20.45" customHeight="1">
      <c r="A51" s="2551"/>
      <c r="B51" s="3600" t="s">
        <v>1346</v>
      </c>
      <c r="C51" s="3600"/>
      <c r="D51" s="1087"/>
      <c r="E51" s="327"/>
      <c r="F51" s="2424"/>
      <c r="G51" s="3585"/>
      <c r="H51" s="2312" t="s">
        <v>2136</v>
      </c>
      <c r="I51" s="2311"/>
      <c r="J51" s="2522" t="s">
        <v>1347</v>
      </c>
      <c r="K51" s="3552" t="s">
        <v>1348</v>
      </c>
      <c r="L51" s="3552"/>
      <c r="M51" s="2522" t="s">
        <v>1349</v>
      </c>
      <c r="N51" s="2522" t="s">
        <v>1350</v>
      </c>
      <c r="O51" s="2522" t="s">
        <v>1351</v>
      </c>
    </row>
    <row r="52" spans="1:35" ht="24" customHeight="1">
      <c r="A52" s="2335" t="s">
        <v>1352</v>
      </c>
      <c r="B52" s="3600" t="s">
        <v>1353</v>
      </c>
      <c r="C52" s="3600"/>
      <c r="D52" s="1087">
        <f ca="1">ROUND(D45*'数据-取费表'!B41/(1+'数据-取费表'!C42),0)</f>
        <v>287</v>
      </c>
      <c r="E52" s="2334" t="s">
        <v>1354</v>
      </c>
      <c r="F52" s="2552">
        <f>'数据-取费表'!B41</f>
        <v>5.6000000000000001E-2</v>
      </c>
      <c r="G52" s="2553"/>
      <c r="H52" s="2542"/>
      <c r="I52" s="1807"/>
      <c r="J52" s="2521">
        <v>1</v>
      </c>
      <c r="K52" s="3577" t="s">
        <v>1355</v>
      </c>
      <c r="L52" s="3577"/>
      <c r="M52" s="2523" t="b">
        <f>D48</f>
        <v>0</v>
      </c>
      <c r="N52" s="2521" t="str">
        <f>E48</f>
        <v>销售额×税（费）率</v>
      </c>
      <c r="O52" s="2524">
        <f>F48</f>
        <v>5.6000000000000001E-2</v>
      </c>
    </row>
    <row r="53" spans="1:35" ht="12" customHeight="1">
      <c r="A53" s="2335" t="s">
        <v>1356</v>
      </c>
      <c r="B53" s="3601" t="s">
        <v>2287</v>
      </c>
      <c r="C53" s="3602"/>
      <c r="D53" s="1087">
        <f ca="1">ROUND(D45*'数据-取费表'!B41/(1+'数据-取费表'!C42),0)</f>
        <v>287</v>
      </c>
      <c r="E53" s="2334" t="s">
        <v>1354</v>
      </c>
      <c r="F53" s="2552">
        <f>'数据-取费表'!B41</f>
        <v>5.6000000000000001E-2</v>
      </c>
      <c r="G53" s="2553"/>
      <c r="H53" s="2542"/>
      <c r="I53" s="1807"/>
      <c r="J53" s="2521">
        <v>2</v>
      </c>
      <c r="K53" s="3577" t="s">
        <v>1357</v>
      </c>
      <c r="L53" s="3577"/>
      <c r="M53" s="2523">
        <f t="shared" ref="M53:O54" ca="1" si="0">D55</f>
        <v>3</v>
      </c>
      <c r="N53" s="2521" t="str">
        <f t="shared" si="0"/>
        <v>销售额×税（费）率</v>
      </c>
      <c r="O53" s="2524" t="str">
        <f t="shared" si="0"/>
        <v>免征</v>
      </c>
    </row>
    <row r="54" spans="1:35" ht="12" customHeight="1">
      <c r="A54" s="2335" t="s">
        <v>1358</v>
      </c>
      <c r="B54" s="3601" t="s">
        <v>2288</v>
      </c>
      <c r="C54" s="3602"/>
      <c r="D54" s="1087">
        <f ca="1">C68</f>
        <v>287</v>
      </c>
      <c r="E54" s="327" t="s">
        <v>1359</v>
      </c>
      <c r="F54" s="2552">
        <f>'数据-取费表'!B41</f>
        <v>5.6000000000000001E-2</v>
      </c>
      <c r="G54" s="2553"/>
      <c r="H54" s="2554"/>
      <c r="I54" s="1807"/>
      <c r="J54" s="2521">
        <v>3</v>
      </c>
      <c r="K54" s="3577" t="s">
        <v>1360</v>
      </c>
      <c r="L54" s="3577"/>
      <c r="M54" s="2523">
        <f t="shared" ca="1" si="0"/>
        <v>3049</v>
      </c>
      <c r="N54" s="2521" t="str">
        <f t="shared" si="0"/>
        <v>增值额×税（费）率</v>
      </c>
      <c r="O54" s="2525" t="str">
        <f t="shared" si="0"/>
        <v>免征</v>
      </c>
    </row>
    <row r="55" spans="1:35" ht="24" customHeight="1">
      <c r="A55" s="3637" t="s">
        <v>1361</v>
      </c>
      <c r="B55" s="3615"/>
      <c r="C55" s="3615"/>
      <c r="D55" s="2324">
        <f ca="1">IF(H55="个人住宅",0,ROUND(D45*I55,0))</f>
        <v>3</v>
      </c>
      <c r="E55" s="2334" t="s">
        <v>1362</v>
      </c>
      <c r="F55" s="2552" t="str">
        <f>IF(H55="正常",I55,"免征")</f>
        <v>免征</v>
      </c>
      <c r="G55" s="2553"/>
      <c r="H55" s="2548"/>
      <c r="I55" s="165">
        <f>'数据-取费表'!B49</f>
        <v>5.0000000000000001E-4</v>
      </c>
      <c r="J55" s="2521">
        <f>IF(H59="非个人房产","",4)</f>
        <v>4</v>
      </c>
      <c r="K55" s="3577" t="str">
        <f>IF(H59="非个人房产","——","个人所得税")</f>
        <v>个人所得税</v>
      </c>
      <c r="L55" s="3577"/>
      <c r="M55" s="2526">
        <f ca="1">D59</f>
        <v>51</v>
      </c>
      <c r="N55" s="2040" t="str">
        <f>E59</f>
        <v>差额计税</v>
      </c>
      <c r="O55" s="2527">
        <f>F59</f>
        <v>0.01</v>
      </c>
    </row>
    <row r="56" spans="1:35" ht="24.75">
      <c r="A56" s="3637" t="s">
        <v>1363</v>
      </c>
      <c r="B56" s="3615"/>
      <c r="C56" s="3615"/>
      <c r="D56" s="2324">
        <f ca="1">IF(H56="个人住宅",D57,D58)</f>
        <v>3049</v>
      </c>
      <c r="E56" s="2334" t="s">
        <v>1364</v>
      </c>
      <c r="F56" s="2552" t="str">
        <f>IF(H56="正常",F58,"免征")</f>
        <v>免征</v>
      </c>
      <c r="G56" s="2555" t="s">
        <v>1365</v>
      </c>
      <c r="H56" s="2556"/>
      <c r="I56" s="1808"/>
      <c r="J56" s="2521" t="str">
        <f>IF(项目基本情况!K6="上海银行",IF(J55="",4,J55+1),"")</f>
        <v/>
      </c>
      <c r="K56" s="3558" t="str">
        <f>IF(项目基本情况!K6="上海银行","其他处置费用","")</f>
        <v/>
      </c>
      <c r="L56" s="3559"/>
      <c r="M56" s="2523" t="str">
        <f>IF(项目基本情况!K6="上海银行",M69,"")</f>
        <v/>
      </c>
      <c r="N56" s="3558" t="str">
        <f>IF(项目基本情况!K6="上海银行","包含处置中涉及的律师、诉讼、拍卖、评估等费用","")</f>
        <v/>
      </c>
      <c r="O56" s="3561"/>
    </row>
    <row r="57" spans="1:35" ht="12.75">
      <c r="A57" s="2335" t="s">
        <v>1341</v>
      </c>
      <c r="B57" s="3601" t="s">
        <v>1366</v>
      </c>
      <c r="C57" s="3602"/>
      <c r="D57" s="1590">
        <v>0</v>
      </c>
      <c r="E57" s="324" t="s">
        <v>1343</v>
      </c>
      <c r="F57" s="302"/>
      <c r="G57" s="2553"/>
      <c r="H57" s="2557"/>
      <c r="I57" s="1808"/>
      <c r="J57" s="3577">
        <f>IF(AND(J55="",J56=""),4,IF(项目基本情况!K6="上海银行",结果表!J56+1,结果表!J55+1))</f>
        <v>5</v>
      </c>
      <c r="K57" s="3577" t="s">
        <v>1367</v>
      </c>
      <c r="L57" s="2528" t="s">
        <v>1368</v>
      </c>
      <c r="M57" s="2529"/>
      <c r="N57" s="2530">
        <f ca="1">SUMIF(M52:M56,"&lt;9e307")</f>
        <v>3103</v>
      </c>
      <c r="O57" s="2531"/>
      <c r="P57" s="2688" t="e">
        <f ca="1">N57/M49</f>
        <v>#VALUE!</v>
      </c>
    </row>
    <row r="58" spans="1:35" ht="24.75">
      <c r="A58" s="2335" t="s">
        <v>1352</v>
      </c>
      <c r="B58" s="3601" t="s">
        <v>1369</v>
      </c>
      <c r="C58" s="3600"/>
      <c r="D58" s="2324">
        <f ca="1">IF(H58="转让取得",C81,C97)</f>
        <v>3049</v>
      </c>
      <c r="E58" s="2334" t="s">
        <v>1364</v>
      </c>
      <c r="F58" s="302" t="s">
        <v>28</v>
      </c>
      <c r="G58" s="2553"/>
      <c r="H58" s="2556"/>
      <c r="I58" s="1808"/>
      <c r="J58" s="3577"/>
      <c r="K58" s="3577"/>
      <c r="L58" s="2528" t="s">
        <v>1370</v>
      </c>
      <c r="M58" s="2532"/>
      <c r="N58" s="2533" t="str">
        <f ca="1">NUMBERSTRING(INT(N57*10000),2)&amp;"元整"</f>
        <v>叁仟壹佰零叁万元整</v>
      </c>
      <c r="O58" s="2534"/>
    </row>
    <row r="59" spans="1:35" ht="24.75" thickBot="1">
      <c r="A59" s="3581" t="s">
        <v>1371</v>
      </c>
      <c r="B59" s="3582"/>
      <c r="C59" s="3582"/>
      <c r="D59" s="2558">
        <f ca="1">IF(H59="非个人房产","——",IF(H59="个人住宅（满五唯一有凭证）",0,IF(H59="个人其他（无凭证）",ROUND(D45*F59,0),ROUND(C67*F59,0))))</f>
        <v>51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79">
        <f>J57+1</f>
        <v>6</v>
      </c>
      <c r="K59" s="3577" t="s">
        <v>1372</v>
      </c>
      <c r="L59" s="2521" t="s">
        <v>1368</v>
      </c>
      <c r="M59" s="2535"/>
      <c r="N59" s="2536" t="e">
        <f ca="1">M49-N57</f>
        <v>#VALUE!</v>
      </c>
      <c r="O59" s="2537"/>
    </row>
    <row r="60" spans="1:35" ht="12" customHeight="1">
      <c r="A60" s="1809"/>
      <c r="B60" s="1747"/>
      <c r="C60" s="1747"/>
      <c r="D60" s="1747"/>
      <c r="E60" s="1578"/>
      <c r="F60" s="1808"/>
      <c r="G60" s="1808"/>
      <c r="H60" s="1810"/>
      <c r="I60" s="129"/>
      <c r="J60" s="3580"/>
      <c r="K60" s="3577"/>
      <c r="L60" s="2528" t="s">
        <v>1370</v>
      </c>
      <c r="M60" s="2532"/>
      <c r="N60" s="2533" t="e">
        <f ca="1">NUMBERSTRING(INT(N59*10000),2)&amp;"元整"</f>
        <v>#VALUE!</v>
      </c>
      <c r="O60" s="2534"/>
    </row>
    <row r="61" spans="1:35" ht="13.5" thickBot="1">
      <c r="A61" s="3636" t="s">
        <v>1373</v>
      </c>
      <c r="B61" s="3636"/>
      <c r="C61" s="3636"/>
      <c r="D61" s="3636"/>
      <c r="E61" s="3636"/>
      <c r="F61" s="1808"/>
      <c r="G61" s="1808"/>
      <c r="H61" s="1810"/>
      <c r="I61" s="129"/>
      <c r="J61" s="2521">
        <f>J59+1</f>
        <v>7</v>
      </c>
      <c r="K61" s="3577" t="s">
        <v>1374</v>
      </c>
      <c r="L61" s="3577"/>
      <c r="M61" s="2538"/>
      <c r="N61" s="2539" t="e">
        <f ca="1">ROUND(N59*10000/'数据-汇总表'!E3,0)</f>
        <v>#VALUE!</v>
      </c>
      <c r="O61" s="2540"/>
    </row>
    <row r="62" spans="1:35" ht="12.75">
      <c r="A62" s="3596" t="s">
        <v>1375</v>
      </c>
      <c r="B62" s="3597"/>
      <c r="C62" s="2021"/>
      <c r="D62" s="2021" t="s">
        <v>1376</v>
      </c>
      <c r="E62" s="166" t="s">
        <v>1377</v>
      </c>
      <c r="F62" s="1808"/>
      <c r="G62" s="1808"/>
      <c r="H62" s="1810"/>
      <c r="I62" s="129"/>
    </row>
    <row r="63" spans="1:35" ht="12.75">
      <c r="A63" s="173" t="s">
        <v>330</v>
      </c>
      <c r="B63" s="167" t="s">
        <v>1378</v>
      </c>
      <c r="C63" s="2562">
        <f ca="1">ROUND((C64+C65)/(1+'数据-取费表'!C42),0)</f>
        <v>5131</v>
      </c>
      <c r="D63" s="167"/>
      <c r="E63" s="168"/>
      <c r="F63" s="1808"/>
      <c r="G63" s="1808"/>
      <c r="H63" s="1810"/>
      <c r="I63" s="129"/>
      <c r="J63" s="3560"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f ca="1">D45</f>
        <v>5388</v>
      </c>
      <c r="D64" s="170" t="s">
        <v>26</v>
      </c>
      <c r="E64" s="172"/>
      <c r="F64" s="1808"/>
      <c r="G64" s="1808"/>
      <c r="H64" s="1810"/>
      <c r="I64" s="129"/>
      <c r="J64" s="356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60"/>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60"/>
      <c r="K66" s="1332" t="s">
        <v>1387</v>
      </c>
      <c r="L66" s="1332" t="e">
        <f>M49*0.5%</f>
        <v>#VALUE!</v>
      </c>
      <c r="M66" s="302" t="e">
        <f>IF(L66&gt;0.5,0.5,ROUND(L66,0))</f>
        <v>#VALUE!</v>
      </c>
      <c r="N66" s="2542" t="s">
        <v>1388</v>
      </c>
      <c r="Z66" s="1752"/>
      <c r="AI66" s="1753"/>
    </row>
    <row r="67" spans="1:35" ht="14.25" customHeight="1">
      <c r="A67" s="173" t="s">
        <v>328</v>
      </c>
      <c r="B67" s="174" t="s">
        <v>1389</v>
      </c>
      <c r="C67" s="2566">
        <f ca="1">C63-C66</f>
        <v>5131</v>
      </c>
      <c r="D67" s="170" t="s">
        <v>26</v>
      </c>
      <c r="E67" s="172"/>
      <c r="F67" s="1808"/>
      <c r="G67" s="1808"/>
      <c r="H67" s="1810"/>
      <c r="I67" s="129"/>
      <c r="J67" s="356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f ca="1">IF(C67&lt;=0,0,ROUND(C67*D68,0))</f>
        <v>287</v>
      </c>
      <c r="D68" s="2568">
        <f>'数据-取费表'!B41</f>
        <v>5.6000000000000001E-2</v>
      </c>
      <c r="E68" s="178"/>
      <c r="F68" s="1808"/>
      <c r="G68" s="1808"/>
      <c r="H68" s="1810"/>
      <c r="I68" s="129"/>
      <c r="J68" s="3560"/>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60"/>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6" t="s">
        <v>1375</v>
      </c>
      <c r="B71" s="3597"/>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5131</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31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01" t="s">
        <v>1402</v>
      </c>
      <c r="F76" s="3600"/>
      <c r="G76" s="3600"/>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31</v>
      </c>
      <c r="D78" s="2575">
        <f>'数据-取费表'!B43</f>
        <v>6.000000000000001E-3</v>
      </c>
      <c r="E78" s="3593" t="s">
        <v>1406</v>
      </c>
      <c r="F78" s="3594"/>
      <c r="G78" s="3594"/>
      <c r="H78" s="35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5100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164.51612903225808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3049</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6" t="s">
        <v>1375</v>
      </c>
      <c r="B84" s="359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5131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31</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62" t="s">
        <v>2129</v>
      </c>
      <c r="H90" s="3563"/>
      <c r="I90" s="1821"/>
      <c r="J90" s="2519"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93" t="s">
        <v>1419</v>
      </c>
      <c r="F91" s="3594"/>
      <c r="G91" s="359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93" t="s">
        <v>1422</v>
      </c>
      <c r="F92" s="3594"/>
      <c r="G92" s="3594"/>
      <c r="H92" s="3595"/>
      <c r="I92" s="1821"/>
      <c r="J92" s="2520"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31</v>
      </c>
      <c r="D93" s="2575">
        <f>'数据-取费表'!B43</f>
        <v>6.000000000000001E-3</v>
      </c>
      <c r="E93" s="3593" t="s">
        <v>1406</v>
      </c>
      <c r="F93" s="3594"/>
      <c r="G93" s="3594"/>
      <c r="H93" s="35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38" t="s">
        <v>1426</v>
      </c>
      <c r="F94" s="3639"/>
      <c r="G94" s="3639"/>
      <c r="H94" s="364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5100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164.51612903225808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3049</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3" t="s">
        <v>1428</v>
      </c>
      <c r="B100" s="3544"/>
      <c r="C100" s="3544"/>
      <c r="D100" s="3578"/>
      <c r="E100" s="3544" t="s">
        <v>1429</v>
      </c>
      <c r="F100" s="3544"/>
      <c r="G100" s="3544"/>
      <c r="H100" s="3578"/>
      <c r="I100" s="129"/>
    </row>
    <row r="101" spans="1:35" ht="18.75" customHeight="1">
      <c r="A101" s="3586" t="s">
        <v>1430</v>
      </c>
      <c r="B101" s="3587"/>
      <c r="C101" s="2583" t="str">
        <f>C4</f>
        <v>比较法-办公</v>
      </c>
      <c r="D101" s="2584" t="str">
        <f>D4</f>
        <v>收益法 (元)</v>
      </c>
      <c r="E101" s="3556" t="s">
        <v>1431</v>
      </c>
      <c r="F101" s="3557"/>
      <c r="G101" s="1827" t="s">
        <v>1432</v>
      </c>
      <c r="H101" s="2593">
        <f ca="1">H118</f>
        <v>5388</v>
      </c>
      <c r="I101" s="129"/>
    </row>
    <row r="102" spans="1:35" ht="18.75" customHeight="1">
      <c r="A102" s="3588" t="s">
        <v>1433</v>
      </c>
      <c r="B102" s="2582" t="s">
        <v>1432</v>
      </c>
      <c r="C102" s="2583">
        <f ca="1">IF(D32="楼面单价",ROUND(C19,0),C19)</f>
        <v>5952</v>
      </c>
      <c r="D102" s="2584">
        <f ca="1">IF(D32="楼面单价",ROUND(D19,0),D19)</f>
        <v>4071</v>
      </c>
      <c r="E102" s="3556"/>
      <c r="F102" s="3557"/>
      <c r="G102" s="1827" t="s">
        <v>1434</v>
      </c>
      <c r="H102" s="2553">
        <f ca="1">I118</f>
        <v>31348</v>
      </c>
      <c r="I102" s="129"/>
    </row>
    <row r="103" spans="1:35" ht="42.75" customHeight="1">
      <c r="A103" s="3588"/>
      <c r="B103" s="2582" t="s">
        <v>1434</v>
      </c>
      <c r="C103" s="2585">
        <f ca="1">C20</f>
        <v>34632</v>
      </c>
      <c r="D103" s="2586">
        <f ca="1">D20</f>
        <v>23686</v>
      </c>
      <c r="E103" s="3549" t="s">
        <v>1435</v>
      </c>
      <c r="F103" s="3550"/>
      <c r="G103" s="1828" t="s">
        <v>1436</v>
      </c>
      <c r="H103" s="2593">
        <f>IF(D36="正常操作",H104+H105+H106,H105+H106)</f>
        <v>0</v>
      </c>
      <c r="I103" s="129"/>
    </row>
    <row r="104" spans="1:35" ht="18.75" customHeight="1">
      <c r="A104" s="3588" t="s">
        <v>1437</v>
      </c>
      <c r="B104" s="2587" t="s">
        <v>1432</v>
      </c>
      <c r="C104" s="2588">
        <f ca="1">H118</f>
        <v>5388</v>
      </c>
      <c r="D104" s="2589"/>
      <c r="E104" s="1674" t="s">
        <v>1438</v>
      </c>
      <c r="F104" s="1666"/>
      <c r="G104" s="1828" t="s">
        <v>1436</v>
      </c>
      <c r="H104" s="2594">
        <f>IF(D36="同一抵押权人同一抵押物续贷",C36&amp;"（续贷，未扣减，详见特别提示）",C36)</f>
        <v>0</v>
      </c>
      <c r="I104" s="129"/>
    </row>
    <row r="105" spans="1:35" ht="18.75" customHeight="1" thickBot="1">
      <c r="A105" s="3598"/>
      <c r="B105" s="2590" t="s">
        <v>1434</v>
      </c>
      <c r="C105" s="2591">
        <f ca="1">I118</f>
        <v>31348</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9" t="str">
        <f>IF(项目基本情况!E8="已注销","——","3.房地产抵押价值")</f>
        <v>3.房地产抵押价值</v>
      </c>
      <c r="F107" s="3557"/>
      <c r="G107" s="1827" t="s">
        <v>1432</v>
      </c>
      <c r="H107" s="2593">
        <f ca="1">IF(E107="——","——",H101-H103)</f>
        <v>5388</v>
      </c>
      <c r="I107" s="129"/>
    </row>
    <row r="108" spans="1:35" ht="18.75" customHeight="1">
      <c r="A108" s="129"/>
      <c r="B108" s="129"/>
      <c r="C108" s="129"/>
      <c r="D108" s="129"/>
      <c r="E108" s="3589"/>
      <c r="F108" s="3557"/>
      <c r="G108" s="1827" t="s">
        <v>1434</v>
      </c>
      <c r="H108" s="2553">
        <f ca="1">IF(H107=H101,H102,ROUND(H107*10000/'数据-汇总表'!E3,0))</f>
        <v>31348</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57"/>
      <c r="G109" s="1827" t="s">
        <v>1432</v>
      </c>
      <c r="H109" s="2596" t="str">
        <f>IF(E109="——","——",H101-H105-H106)</f>
        <v>——</v>
      </c>
      <c r="I109" s="129"/>
    </row>
    <row r="110" spans="1:35" ht="18.75" customHeight="1">
      <c r="A110" s="129"/>
      <c r="B110" s="129"/>
      <c r="C110" s="129"/>
      <c r="D110" s="129"/>
      <c r="E110" s="3589"/>
      <c r="F110" s="3557"/>
      <c r="G110" s="1827" t="s">
        <v>1434</v>
      </c>
      <c r="H110" s="2553" t="str">
        <f>IF(H109="——","——",ROUND(H109*10000/'数据-汇总表'!E3,0))</f>
        <v>——</v>
      </c>
      <c r="I110" s="129"/>
    </row>
    <row r="111" spans="1:35" ht="18.75" customHeight="1">
      <c r="A111" s="129"/>
      <c r="B111" s="129"/>
      <c r="C111" s="129"/>
      <c r="D111" s="129"/>
      <c r="E111" s="3590" t="str">
        <f>IF(项目基本情况!E9="抵押净值",IF(OR(项目基本情况!E8="已注销",项目基本情况!E8="房地产抵押价值"),"4.抵押净值","5.抵押净值"),"——")</f>
        <v>——</v>
      </c>
      <c r="F111" s="3576"/>
      <c r="G111" s="1827" t="s">
        <v>1432</v>
      </c>
      <c r="H111" s="2593" t="str">
        <f>IF(E111="——","——",N59)</f>
        <v>——</v>
      </c>
      <c r="I111" s="129"/>
    </row>
    <row r="112" spans="1:35" ht="18.75" customHeight="1" thickBot="1">
      <c r="A112" s="129"/>
      <c r="B112" s="129"/>
      <c r="C112" s="129"/>
      <c r="D112" s="129"/>
      <c r="E112" s="3591"/>
      <c r="F112" s="3592"/>
      <c r="G112" s="1830" t="s">
        <v>1434</v>
      </c>
      <c r="H112" s="2597" t="str">
        <f>IF(E111="——","——",N61)</f>
        <v>——</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7" t="s">
        <v>1442</v>
      </c>
      <c r="B115" s="3608"/>
      <c r="C115" s="3608"/>
      <c r="D115" s="3608"/>
      <c r="E115" s="3608"/>
      <c r="F115" s="3608"/>
      <c r="G115" s="3608"/>
      <c r="H115" s="3608"/>
      <c r="I115" s="3609"/>
    </row>
    <row r="116" spans="1:27" ht="27" customHeight="1">
      <c r="A116" s="3564" t="s">
        <v>1443</v>
      </c>
      <c r="B116" s="3568" t="s">
        <v>1444</v>
      </c>
      <c r="C116" s="3568" t="s">
        <v>1445</v>
      </c>
      <c r="D116" s="3574" t="s">
        <v>1446</v>
      </c>
      <c r="E116" s="3575"/>
      <c r="F116" s="3606" t="s">
        <v>1447</v>
      </c>
      <c r="G116" s="3606"/>
      <c r="H116" s="3564" t="s">
        <v>1448</v>
      </c>
      <c r="I116" s="3564"/>
    </row>
    <row r="117" spans="1:27" ht="18.75" customHeight="1">
      <c r="A117" s="3564"/>
      <c r="B117" s="3569"/>
      <c r="C117" s="3569"/>
      <c r="D117" s="2329" t="s">
        <v>1449</v>
      </c>
      <c r="E117" s="2329" t="s">
        <v>1450</v>
      </c>
      <c r="F117" s="2329" t="s">
        <v>1449</v>
      </c>
      <c r="G117" s="2329" t="s">
        <v>1451</v>
      </c>
      <c r="H117" s="2329" t="s">
        <v>1449</v>
      </c>
      <c r="I117" s="2329" t="s">
        <v>1451</v>
      </c>
    </row>
    <row r="118" spans="1:27" ht="24.75" customHeight="1">
      <c r="A118" s="2598" t="str">
        <f>项目基本情况!S2</f>
        <v>房地产</v>
      </c>
      <c r="B118" s="2329">
        <f>M18</f>
        <v>1718.77</v>
      </c>
      <c r="C118" s="2329">
        <f>M19</f>
        <v>27621.77</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5388</v>
      </c>
      <c r="I118" s="2329">
        <f ca="1">ROUND(IF(D32="楼面单价",C32,H118*10000/B118),0)</f>
        <v>31348</v>
      </c>
    </row>
    <row r="119" spans="1:27" ht="18.75" customHeight="1">
      <c r="A119" s="3564" t="s">
        <v>1452</v>
      </c>
      <c r="B119" s="3564"/>
      <c r="C119" s="3564"/>
      <c r="D119" s="3570" t="e">
        <f ca="1">NUMBERSTRING(INT(D118*10000),2)&amp;"元整"</f>
        <v>#REF!</v>
      </c>
      <c r="E119" s="3571"/>
      <c r="F119" s="3570" t="e">
        <f ca="1">NUMBERSTRING(INT(F118*10000),2)&amp;"元整"</f>
        <v>#REF!</v>
      </c>
      <c r="G119" s="3571"/>
      <c r="H119" s="3570" t="str">
        <f ca="1">NUMBERSTRING(INT(H118*10000),2)&amp;"元整"</f>
        <v>伍仟叁佰捌拾捌万元整</v>
      </c>
      <c r="I119" s="3571"/>
    </row>
    <row r="120" spans="1:27" ht="18.75" customHeight="1">
      <c r="A120" s="3565" t="str">
        <f>IF(项目基本情况!B9="房地产市场价值","",MID(E103,3,LEN(E103)-2))</f>
        <v>估价师知悉的法定优先受偿款</v>
      </c>
      <c r="B120" s="3566"/>
      <c r="C120" s="3567"/>
      <c r="D120" s="3565">
        <f>H103</f>
        <v>0</v>
      </c>
      <c r="E120" s="3566"/>
      <c r="F120" s="3566"/>
      <c r="G120" s="3566"/>
      <c r="H120" s="3566"/>
      <c r="I120" s="356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0" t="s">
        <v>1452</v>
      </c>
      <c r="B121" s="3572"/>
      <c r="C121" s="3571"/>
      <c r="D121" s="3570" t="str">
        <f>IF(D120=0,"零元整",NUMBERSTRING(INT(D120*10000),2)&amp;"元整")</f>
        <v>零元整</v>
      </c>
      <c r="E121" s="3572"/>
      <c r="F121" s="3572"/>
      <c r="G121" s="3572"/>
      <c r="H121" s="3572"/>
      <c r="I121" s="3571"/>
      <c r="AA121" s="725"/>
    </row>
    <row r="122" spans="1:27" ht="18.75" customHeight="1">
      <c r="A122" s="3576" t="str">
        <f>IF(项目基本情况!B9="房地产市场价值","",MID(E107,3,LEN(E107)-2))</f>
        <v>房地产抵押价值</v>
      </c>
      <c r="B122" s="3576"/>
      <c r="C122" s="3576"/>
      <c r="D122" s="3565">
        <f ca="1">H107</f>
        <v>5388</v>
      </c>
      <c r="E122" s="3566"/>
      <c r="F122" s="3566"/>
      <c r="G122" s="3566"/>
      <c r="H122" s="3566"/>
      <c r="I122" s="3567"/>
      <c r="AA122" s="725"/>
    </row>
    <row r="123" spans="1:27" ht="18.75" customHeight="1">
      <c r="A123" s="3564" t="s">
        <v>1452</v>
      </c>
      <c r="B123" s="3564"/>
      <c r="C123" s="3564"/>
      <c r="D123" s="3570" t="str">
        <f ca="1">NUMBERSTRING(INT(D122*10000),2)&amp;"元整"</f>
        <v>伍仟叁佰捌拾捌万元整</v>
      </c>
      <c r="E123" s="3572"/>
      <c r="F123" s="3572"/>
      <c r="G123" s="3572"/>
      <c r="H123" s="3572"/>
      <c r="I123" s="3571"/>
      <c r="AA123" s="725"/>
    </row>
    <row r="124" spans="1:27" ht="18.75" customHeight="1">
      <c r="A124" s="3576" t="str">
        <f>IF(项目基本情况!B9="房地产市场价值","",MID(E109,3,LEN(E109)-2))</f>
        <v/>
      </c>
      <c r="B124" s="3576"/>
      <c r="C124" s="3576"/>
      <c r="D124" s="3565" t="str">
        <f>H109</f>
        <v>——</v>
      </c>
      <c r="E124" s="3566"/>
      <c r="F124" s="3566"/>
      <c r="G124" s="3566"/>
      <c r="H124" s="3566"/>
      <c r="I124" s="3567"/>
      <c r="AA124" s="725"/>
    </row>
    <row r="125" spans="1:27" ht="18.75" customHeight="1">
      <c r="A125" s="3564" t="s">
        <v>1452</v>
      </c>
      <c r="B125" s="3564"/>
      <c r="C125" s="3564"/>
      <c r="D125" s="3570" t="e">
        <f>NUMBERSTRING(INT(D124*10000),2)&amp;"元整"</f>
        <v>#VALUE!</v>
      </c>
      <c r="E125" s="3572"/>
      <c r="F125" s="3572"/>
      <c r="G125" s="3572"/>
      <c r="H125" s="3572"/>
      <c r="I125" s="3571"/>
      <c r="AA125" s="725"/>
    </row>
    <row r="126" spans="1:27" ht="18.75" customHeight="1">
      <c r="A126" s="3576" t="str">
        <f>IF(项目基本情况!B9="房地产市场价值","",MID(E111,3,LEN(E111)-2))</f>
        <v/>
      </c>
      <c r="B126" s="3576"/>
      <c r="C126" s="3576"/>
      <c r="D126" s="3565" t="str">
        <f>H111</f>
        <v>——</v>
      </c>
      <c r="E126" s="3566"/>
      <c r="F126" s="3566"/>
      <c r="G126" s="3566"/>
      <c r="H126" s="3566"/>
      <c r="I126" s="3567"/>
      <c r="AA126" s="725"/>
    </row>
    <row r="127" spans="1:27" ht="18.75" customHeight="1">
      <c r="A127" s="3564" t="s">
        <v>1452</v>
      </c>
      <c r="B127" s="3564"/>
      <c r="C127" s="3564"/>
      <c r="D127" s="3570" t="e">
        <f>NUMBERSTRING(INT(D126*10000),2)&amp;"元整"</f>
        <v>#VALUE!</v>
      </c>
      <c r="E127" s="3572"/>
      <c r="F127" s="3572"/>
      <c r="G127" s="3572"/>
      <c r="H127" s="3572"/>
      <c r="I127" s="3571"/>
      <c r="AA127" s="725"/>
    </row>
    <row r="128" spans="1:27" ht="21.75" customHeight="1">
      <c r="A128" s="3573" t="s">
        <v>1453</v>
      </c>
      <c r="B128" s="3573"/>
      <c r="C128" s="3573"/>
      <c r="D128" s="3573"/>
      <c r="E128" s="3573"/>
      <c r="F128" s="3573"/>
      <c r="G128" s="3573"/>
      <c r="H128" s="3573"/>
      <c r="I128" s="357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预评估</v>
      </c>
      <c r="C37" s="3460"/>
      <c r="D37" s="3460"/>
      <c r="E37" s="3460"/>
      <c r="F37" s="3460"/>
      <c r="G37" s="3460"/>
      <c r="H37" s="3460"/>
      <c r="I37" s="34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981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5708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34</v>
      </c>
      <c r="D10" s="845">
        <f ca="1">IF(B1="",'数据-汇总表'!E6,IF(INDIRECT("'数据-取费表'!c"&amp;$G$1)="住宅",INDIRECT("'数据-取费表'!s"&amp;$G$1),INDIRECT("'数据-取费表'!k"&amp;$G$1)+INDIRECT("'数据-取费表'!s"&amp;$G$1)))</f>
        <v>1718.77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34</v>
      </c>
      <c r="D19" s="849">
        <f ca="1">D9+D10</f>
        <v>1718.77</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2</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5</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5</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861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773</v>
      </c>
      <c r="D34" s="217"/>
      <c r="E34" s="220"/>
      <c r="F34" s="257">
        <f ca="1">IF('数据-取费表'!B24=0,1,IF(B1="",'数据-取费表'!N16,INDIRECT("'数据-取费表'!n"&amp;$G$1)))</f>
        <v>1</v>
      </c>
      <c r="G34" s="219" t="s">
        <v>1526</v>
      </c>
    </row>
    <row r="35" spans="1:7" ht="13.5" customHeight="1">
      <c r="A35" s="780" t="s">
        <v>351</v>
      </c>
      <c r="B35" s="215" t="s">
        <v>1527</v>
      </c>
      <c r="C35" s="220">
        <f ca="1">ROUND(C34*F35,0)</f>
        <v>39</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v>
      </c>
      <c r="D37" s="217">
        <f ca="1">D19</f>
        <v>1718.77</v>
      </c>
      <c r="E37" s="249">
        <f>'数据-取费表'!B35</f>
        <v>200</v>
      </c>
      <c r="F37" s="259"/>
      <c r="G37" s="261" t="s">
        <v>1532</v>
      </c>
    </row>
    <row r="38" spans="1:7" ht="13.5" customHeight="1">
      <c r="A38" s="780" t="s">
        <v>354</v>
      </c>
      <c r="B38" s="215" t="s">
        <v>1533</v>
      </c>
      <c r="C38" s="220">
        <f ca="1">ROUND(C34*F38,0)</f>
        <v>15</v>
      </c>
      <c r="D38" s="220"/>
      <c r="E38" s="220"/>
      <c r="F38" s="259">
        <f>'数据-取费表'!B36</f>
        <v>0.02</v>
      </c>
      <c r="G38" s="219" t="s">
        <v>1528</v>
      </c>
    </row>
    <row r="39" spans="1:7" s="214" customFormat="1" ht="13.5" customHeight="1">
      <c r="A39" s="255" t="s">
        <v>1534</v>
      </c>
      <c r="B39" s="210" t="s">
        <v>1535</v>
      </c>
      <c r="C39" s="232">
        <f ca="1">ROUND(C33*F20,0)</f>
        <v>9</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27</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27</v>
      </c>
      <c r="D42" s="238"/>
      <c r="E42" s="238"/>
      <c r="F42" s="239"/>
      <c r="G42" s="3643" t="s">
        <v>1544</v>
      </c>
    </row>
    <row r="43" spans="1:7" ht="13.5" customHeight="1">
      <c r="A43" s="780" t="s">
        <v>347</v>
      </c>
      <c r="B43" s="215" t="s">
        <v>1545</v>
      </c>
      <c r="C43" s="238">
        <f ca="1">ROUND(IF('数据-取费表'!B22&lt;=1,C39*F22*'数据-取费表'!B21/2,C39*(POWER((1+F22),'数据-取费表'!B21/2)-1)),0)</f>
        <v>0</v>
      </c>
      <c r="D43" s="238"/>
      <c r="E43" s="238"/>
      <c r="F43" s="239"/>
      <c r="G43" s="3644"/>
    </row>
    <row r="44" spans="1:7" ht="13.5" customHeight="1">
      <c r="A44" s="780" t="s">
        <v>348</v>
      </c>
      <c r="B44" s="215" t="s">
        <v>1546</v>
      </c>
      <c r="C44" s="238">
        <f ca="1">ROUND(IF('数据-取费表'!B22&lt;=1,C40*F22*'数据-取费表'!B21/2,C40*(POWER((1+F22),'数据-取费表'!B21/2)-1)),4)</f>
        <v>8.9999999999999998E-4</v>
      </c>
      <c r="D44" s="238"/>
      <c r="E44" s="238"/>
      <c r="F44" s="239"/>
      <c r="G44" s="3645"/>
    </row>
    <row r="45" spans="1:7" s="214" customFormat="1" ht="13.5" customHeight="1">
      <c r="A45" s="255" t="s">
        <v>1547</v>
      </c>
      <c r="B45" s="244" t="s">
        <v>1513</v>
      </c>
      <c r="C45" s="245">
        <f ca="1">C46</f>
        <v>131</v>
      </c>
      <c r="D45" s="235">
        <f ca="1">C47</f>
        <v>4.4999999999999997E-3</v>
      </c>
      <c r="E45" s="236" t="s">
        <v>1539</v>
      </c>
      <c r="F45" s="246">
        <f ca="1">F27</f>
        <v>0.15</v>
      </c>
      <c r="G45" s="247" t="s">
        <v>1548</v>
      </c>
    </row>
    <row r="46" spans="1:7" s="214" customFormat="1" ht="13.5" customHeight="1">
      <c r="A46" s="780" t="s">
        <v>346</v>
      </c>
      <c r="B46" s="248" t="s">
        <v>1549</v>
      </c>
      <c r="C46" s="249">
        <f ca="1">ROUND((C33+C39)*F27,0)</f>
        <v>131</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1128</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936</v>
      </c>
      <c r="D51" s="232"/>
      <c r="E51" s="232"/>
      <c r="F51" s="264"/>
      <c r="G51" s="234" t="s">
        <v>1560</v>
      </c>
    </row>
    <row r="52" spans="1:7" s="208" customFormat="1" ht="16.5" thickBot="1">
      <c r="A52" s="265" t="s">
        <v>1561</v>
      </c>
      <c r="B52" s="266"/>
      <c r="C52" s="267">
        <f ca="1">C31+C51</f>
        <v>981</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1028.8326999999999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5986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343754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343754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343754</v>
      </c>
      <c r="D10" s="845">
        <f ca="1">IF(B1="",'数据-汇总表'!E6,IF(INDIRECT("'数据-取费表'!c"&amp;$G$1)="住宅",INDIRECT("'数据-取费表'!s"&amp;$G$1),INDIRECT("'数据-取费表'!k"&amp;$G$1)+INDIRECT("'数据-取费表'!s"&amp;$G$1)))</f>
        <v>1718.77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343754</v>
      </c>
      <c r="D19" s="849">
        <f ca="1">D9+D10</f>
        <v>1718.77</v>
      </c>
      <c r="E19" s="211">
        <f>'数据-取费表'!B31</f>
        <v>200</v>
      </c>
      <c r="F19" s="231"/>
      <c r="G19" s="1856"/>
    </row>
    <row r="20" spans="1:7" s="214" customFormat="1" ht="13.5" customHeight="1">
      <c r="A20" s="255" t="s">
        <v>1574</v>
      </c>
      <c r="B20" s="210" t="s">
        <v>1575</v>
      </c>
      <c r="C20" s="232">
        <f ca="1">ROUND((C5+C19)*F20,0)</f>
        <v>6875</v>
      </c>
      <c r="D20" s="232"/>
      <c r="E20" s="232"/>
      <c r="F20" s="233">
        <f>'数据-取费表'!B37</f>
        <v>0.01</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43499</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21643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21643</v>
      </c>
      <c r="D24" s="238"/>
      <c r="E24" s="238"/>
      <c r="F24" s="239"/>
      <c r="G24" s="240" t="s">
        <v>1586</v>
      </c>
    </row>
    <row r="25" spans="1:7" s="214" customFormat="1" ht="24">
      <c r="A25" s="780" t="s">
        <v>1476</v>
      </c>
      <c r="B25" s="215" t="s">
        <v>1587</v>
      </c>
      <c r="C25" s="1128">
        <f ca="1">ROUND(IF('数据-取费表'!B22&lt;=1,C20*F22*'数据-取费表'!B22/2,C20*(POWER((1+F22),'数据-取费表'!B22/2)-1)),0)</f>
        <v>213</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104157</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104157</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923998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8619631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7734465</v>
      </c>
      <c r="D34" s="217"/>
      <c r="E34" s="220"/>
      <c r="F34" s="257"/>
      <c r="G34" s="219"/>
    </row>
    <row r="35" spans="1:7" ht="13.5" customHeight="1">
      <c r="A35" s="780" t="s">
        <v>351</v>
      </c>
      <c r="B35" s="215" t="s">
        <v>1527</v>
      </c>
      <c r="C35" s="220">
        <f ca="1">ROUND(C34*F35,0)</f>
        <v>386723</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343754</v>
      </c>
      <c r="D37" s="217">
        <f ca="1">D19</f>
        <v>1718.77</v>
      </c>
      <c r="E37" s="249">
        <f>'数据-取费表'!B35</f>
        <v>200</v>
      </c>
      <c r="F37" s="259"/>
      <c r="G37" s="261"/>
    </row>
    <row r="38" spans="1:7" ht="13.5" customHeight="1">
      <c r="A38" s="780" t="s">
        <v>354</v>
      </c>
      <c r="B38" s="215" t="s">
        <v>1533</v>
      </c>
      <c r="C38" s="220">
        <f ca="1">ROUND(C34*F38,0)</f>
        <v>154689</v>
      </c>
      <c r="D38" s="220"/>
      <c r="E38" s="220"/>
      <c r="F38" s="259">
        <f>'数据-取费表'!B36</f>
        <v>0.02</v>
      </c>
      <c r="G38" s="219" t="s">
        <v>1528</v>
      </c>
    </row>
    <row r="39" spans="1:7" s="214" customFormat="1" ht="13.5" customHeight="1">
      <c r="A39" s="255" t="s">
        <v>1534</v>
      </c>
      <c r="B39" s="210" t="s">
        <v>1535</v>
      </c>
      <c r="C39" s="232">
        <f ca="1">ROUND(C33*F20,0)</f>
        <v>86196</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269881</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267209</v>
      </c>
      <c r="D42" s="238"/>
      <c r="E42" s="238"/>
      <c r="F42" s="239"/>
      <c r="G42" s="3643" t="s">
        <v>1591</v>
      </c>
    </row>
    <row r="43" spans="1:7" ht="13.5" customHeight="1">
      <c r="A43" s="780" t="s">
        <v>347</v>
      </c>
      <c r="B43" s="215" t="s">
        <v>1545</v>
      </c>
      <c r="C43" s="238">
        <f ca="1">ROUND(IF('数据-取费表'!B22&lt;=1,C39*F22*'数据-取费表'!B20/2,C39*(POWER((1+F22),'数据-取费表'!B20/2)-1)),0)</f>
        <v>2672</v>
      </c>
      <c r="D43" s="238"/>
      <c r="E43" s="238"/>
      <c r="F43" s="239"/>
      <c r="G43" s="3644"/>
    </row>
    <row r="44" spans="1:7" ht="13.5" customHeight="1">
      <c r="A44" s="780" t="s">
        <v>348</v>
      </c>
      <c r="B44" s="215" t="s">
        <v>1546</v>
      </c>
      <c r="C44" s="238">
        <f ca="1">ROUND(IF('数据-取费表'!B22&lt;=1,C40*F22*'数据-取费表'!B20/2,C40*(POWER((1+F22),'数据-取费表'!B20/2)-1)),4)</f>
        <v>8.9999999999999998E-4</v>
      </c>
      <c r="D44" s="238"/>
      <c r="E44" s="238"/>
      <c r="F44" s="239"/>
      <c r="G44" s="3645"/>
    </row>
    <row r="45" spans="1:7" s="214" customFormat="1" ht="13.5" customHeight="1">
      <c r="A45" s="255" t="s">
        <v>1547</v>
      </c>
      <c r="B45" s="244" t="s">
        <v>1513</v>
      </c>
      <c r="C45" s="245">
        <f ca="1">C46</f>
        <v>1305874</v>
      </c>
      <c r="D45" s="235">
        <f ca="1">C47</f>
        <v>4.4999999999999997E-3</v>
      </c>
      <c r="E45" s="236" t="s">
        <v>1539</v>
      </c>
      <c r="F45" s="246">
        <f ca="1">F27</f>
        <v>0.15</v>
      </c>
      <c r="G45" s="247" t="s">
        <v>1548</v>
      </c>
    </row>
    <row r="46" spans="1:7" s="214" customFormat="1" ht="13.5" customHeight="1">
      <c r="A46" s="780" t="s">
        <v>346</v>
      </c>
      <c r="B46" s="248" t="s">
        <v>1549</v>
      </c>
      <c r="C46" s="249">
        <f ca="1">ROUND((C33+C39)*F27,0)</f>
        <v>1305874</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11282324</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9364329</v>
      </c>
      <c r="D51" s="232"/>
      <c r="E51" s="232"/>
      <c r="F51" s="264"/>
      <c r="G51" s="234" t="s">
        <v>1560</v>
      </c>
    </row>
    <row r="52" spans="1:7" s="208" customFormat="1" ht="16.5" thickBot="1">
      <c r="A52" s="265" t="s">
        <v>1561</v>
      </c>
      <c r="B52" s="266"/>
      <c r="C52" s="267">
        <f ca="1">C31+C51</f>
        <v>10288327</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-38</v>
      </c>
      <c r="C2" s="276" t="s">
        <v>1595</v>
      </c>
      <c r="D2" s="276"/>
      <c r="E2" s="2804"/>
      <c r="F2" s="2804"/>
      <c r="G2" s="2804"/>
      <c r="H2" s="2804"/>
      <c r="I2" s="2804"/>
      <c r="J2" s="2804"/>
      <c r="K2" s="2804"/>
    </row>
    <row r="3" spans="1:33" ht="18" customHeight="1" thickBot="1">
      <c r="A3" s="203" t="s">
        <v>1464</v>
      </c>
      <c r="B3" s="204">
        <f ca="1">ROUND(B2*10000/IF(C1="",'数据-汇总表'!E3,INDIRECT("'数据-取费表'!K"&amp;$K$1)),0)</f>
        <v>-221</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1718.77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1718.77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34</v>
      </c>
      <c r="D20" s="846">
        <f ca="1">IF(C1="",'数据-汇总表'!E6,IF(INDIRECT("'数据-取费表'!c"&amp;$K$1)="住宅",INDIRECT("'数据-取费表'!s"&amp;$K$1),INDIRECT("'数据-取费表'!k"&amp;$K$1)+INDIRECT("'数据-取费表'!s"&amp;$K$1)))</f>
        <v>1718.77</v>
      </c>
      <c r="E20" s="21">
        <f>'数据-取费表'!B28</f>
        <v>200</v>
      </c>
      <c r="F20" s="804"/>
      <c r="G20" s="12"/>
      <c r="H20" s="809"/>
      <c r="I20" s="809"/>
      <c r="J20" s="809"/>
      <c r="K20" s="810"/>
    </row>
    <row r="21" spans="1:33" s="803" customFormat="1" ht="13.5" customHeight="1">
      <c r="A21" s="790" t="s">
        <v>357</v>
      </c>
      <c r="B21" s="813" t="s">
        <v>1628</v>
      </c>
      <c r="C21" s="814">
        <f ca="1">C16+C17+C18</f>
        <v>34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5</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8" t="s">
        <v>694</v>
      </c>
      <c r="C6" s="1074">
        <f ca="1">ROUND(F6*F8*F7*(1-F9)/10000,0)</f>
        <v>0</v>
      </c>
      <c r="D6" s="155" t="s">
        <v>2109</v>
      </c>
      <c r="E6" s="302" t="s">
        <v>696</v>
      </c>
      <c r="F6" s="303">
        <f ca="1">INDIRECT("'数据-取费表'!u"&amp;$G$1)</f>
        <v>0</v>
      </c>
      <c r="G6" s="1384"/>
      <c r="H6" s="1069" t="s">
        <v>398</v>
      </c>
      <c r="I6" s="3648" t="s">
        <v>694</v>
      </c>
      <c r="J6" s="301">
        <f ca="1">ROUND(M6*M8*M7*(1-M9)/10000,0)</f>
        <v>0</v>
      </c>
      <c r="K6" s="155" t="s">
        <v>2108</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0</v>
      </c>
      <c r="G7" s="1384"/>
      <c r="H7" s="304"/>
      <c r="I7" s="3649"/>
      <c r="J7" s="306"/>
      <c r="K7" s="307"/>
      <c r="L7" s="302" t="s">
        <v>697</v>
      </c>
      <c r="M7" s="303">
        <f ca="1">F7</f>
        <v>0</v>
      </c>
    </row>
    <row r="8" spans="1:37" ht="18" customHeight="1">
      <c r="A8" s="304"/>
      <c r="B8" s="3649"/>
      <c r="C8" s="306"/>
      <c r="D8" s="307"/>
      <c r="E8" s="302" t="s">
        <v>698</v>
      </c>
      <c r="F8" s="303">
        <f ca="1">INDIRECT("'数据-取费表'!ai"&amp;$G$1)</f>
        <v>0</v>
      </c>
      <c r="G8" s="1384"/>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2302</v>
      </c>
      <c r="I31" s="1398"/>
      <c r="J31" s="1399"/>
      <c r="K31" s="2473"/>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12</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6" t="s">
        <v>837</v>
      </c>
      <c r="L53" s="364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F2" sqref="F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3502</v>
      </c>
      <c r="E1" s="3431" t="s">
        <v>3521</v>
      </c>
      <c r="F1" s="1879" t="s">
        <v>3522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 ca="1">IF(E1="项目模式",IF(C2="——",ROUND(C50*D3/10000,0),ROUND(C50*D3/10000,0)-D2),IF(E1="单套模式",IF(C2="——",ROUND(C50*D3/10000,4),ROUND(C50*D3/10000,4)-D2)))</f>
        <v>5952.4638999999997</v>
      </c>
      <c r="C2" s="1881" t="s">
        <v>3526</v>
      </c>
      <c r="D2" s="1115">
        <f ca="1">IF(E1="项目模式",SUMIF(INDIRECT("'"&amp;F2&amp;"'"&amp;"!A:A"),"承租人权益价值",INDIRECT("'"&amp;F2&amp;"'"&amp;"!c:c")),SUMIF(INDIRECT("'"&amp;F2&amp;"'"&amp;"!A:A"),"承租人权益价值（单套）",INDIRECT("'"&amp;F2&amp;"'"&amp;"!c:c")))</f>
        <v>646.40980000000002</v>
      </c>
      <c r="E2" s="1882" t="s">
        <v>1463</v>
      </c>
      <c r="F2" s="1883" t="s">
        <v>3507</v>
      </c>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 ca="1">IF(C2="——",C50,ROUND(B2*10000/D3,0))</f>
        <v>34632</v>
      </c>
      <c r="C3" s="354" t="s">
        <v>1768</v>
      </c>
      <c r="D3" s="353">
        <f>IF(D1="",'数据-汇总表'!E3,SUMIF('数据-汇总表'!$C19:$C33,D1,'数据-汇总表'!$E19:$E33))</f>
        <v>1718.77</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724" t="s">
        <v>1775</v>
      </c>
      <c r="Q4" s="3725"/>
      <c r="R4" s="3719" t="s">
        <v>1771</v>
      </c>
      <c r="S4" s="3720"/>
      <c r="T4" s="3719" t="s">
        <v>1772</v>
      </c>
      <c r="U4" s="3720"/>
      <c r="V4" s="3728" t="s">
        <v>1773</v>
      </c>
      <c r="W4" s="3728"/>
      <c r="X4" s="1958"/>
      <c r="Y4" s="3719" t="s">
        <v>1775</v>
      </c>
      <c r="Z4" s="3720"/>
      <c r="AA4" s="3718" t="s">
        <v>1771</v>
      </c>
      <c r="AB4" s="3718" t="s">
        <v>1772</v>
      </c>
      <c r="AC4" s="3721" t="s">
        <v>1773</v>
      </c>
    </row>
    <row r="5" spans="1:29" ht="15">
      <c r="A5" s="358"/>
      <c r="B5" s="359"/>
      <c r="C5" s="3683" t="s">
        <v>1673</v>
      </c>
      <c r="D5" s="3684"/>
      <c r="E5" s="3802" t="s">
        <v>3518</v>
      </c>
      <c r="F5" s="3682"/>
      <c r="G5" s="3803" t="s">
        <v>3519</v>
      </c>
      <c r="H5" s="3684"/>
      <c r="I5" s="3803" t="s">
        <v>3520</v>
      </c>
      <c r="J5" s="3684"/>
      <c r="K5" s="559"/>
      <c r="L5" s="2713"/>
      <c r="M5" s="2714"/>
      <c r="N5" s="2714"/>
      <c r="O5" s="2714"/>
      <c r="P5" s="3726"/>
      <c r="Q5" s="3697"/>
      <c r="R5" s="3679"/>
      <c r="S5" s="3680"/>
      <c r="T5" s="3679"/>
      <c r="U5" s="3680"/>
      <c r="V5" s="3702"/>
      <c r="W5" s="3702"/>
      <c r="X5" s="1355"/>
      <c r="Y5" s="3679"/>
      <c r="Z5" s="3680"/>
      <c r="AA5" s="3673"/>
      <c r="AB5" s="3673"/>
      <c r="AC5" s="3722"/>
    </row>
    <row r="6" spans="1:29" ht="15.75" thickBot="1">
      <c r="A6" s="360"/>
      <c r="B6" s="361"/>
      <c r="C6" s="3685" t="s">
        <v>1677</v>
      </c>
      <c r="D6" s="3686"/>
      <c r="E6" s="3687" t="s">
        <v>1677</v>
      </c>
      <c r="F6" s="3688"/>
      <c r="G6" s="3685" t="s">
        <v>1677</v>
      </c>
      <c r="H6" s="3686"/>
      <c r="I6" s="3685" t="s">
        <v>1677</v>
      </c>
      <c r="J6" s="3686"/>
      <c r="K6" s="559" t="s">
        <v>1678</v>
      </c>
      <c r="L6" s="2713"/>
      <c r="M6" s="2714"/>
      <c r="N6" s="2714"/>
      <c r="O6" s="2714"/>
      <c r="P6" s="3727"/>
      <c r="Q6" s="3699"/>
      <c r="R6" s="3679"/>
      <c r="S6" s="3680"/>
      <c r="T6" s="3700"/>
      <c r="U6" s="3701"/>
      <c r="V6" s="3702"/>
      <c r="W6" s="3702"/>
      <c r="X6" s="1355"/>
      <c r="Y6" s="3700"/>
      <c r="Z6" s="3701"/>
      <c r="AA6" s="3674"/>
      <c r="AB6" s="3674"/>
      <c r="AC6" s="3723"/>
    </row>
    <row r="7" spans="1:29" s="108" customFormat="1" ht="15.75" thickBot="1">
      <c r="A7" s="362" t="s">
        <v>1679</v>
      </c>
      <c r="B7" s="363"/>
      <c r="C7" s="364">
        <f>'数据-取费表'!B2</f>
        <v>45743</v>
      </c>
      <c r="D7" s="365">
        <v>100</v>
      </c>
      <c r="E7" s="366">
        <f>C7</f>
        <v>45743</v>
      </c>
      <c r="F7" s="367">
        <f>SUMIF(59:59,YEAR(E7)&amp;"-"&amp;MONTH(E7),60:60)</f>
        <v>100</v>
      </c>
      <c r="G7" s="366">
        <f>C7</f>
        <v>45743</v>
      </c>
      <c r="H7" s="365">
        <f>SUMIF(59:59,YEAR(G7)&amp;"-"&amp;MONTH(G7),60:60)</f>
        <v>100</v>
      </c>
      <c r="I7" s="366">
        <f>C7</f>
        <v>45743</v>
      </c>
      <c r="J7" s="365">
        <f>SUMIF(59:59,YEAR(I7)&amp;"-"&amp;MONTH(I7),60:60)</f>
        <v>100</v>
      </c>
      <c r="K7" s="560"/>
      <c r="L7" s="2715"/>
      <c r="M7" s="2716"/>
      <c r="N7" s="2716"/>
      <c r="O7" s="2716"/>
      <c r="P7" s="3729" t="s">
        <v>1680</v>
      </c>
      <c r="Q7" s="3703"/>
      <c r="R7" s="701" t="s">
        <v>14</v>
      </c>
      <c r="S7" s="702">
        <f t="shared" ref="S7:S15" si="0">F7</f>
        <v>100</v>
      </c>
      <c r="T7" s="701" t="s">
        <v>14</v>
      </c>
      <c r="U7" s="702">
        <f t="shared" ref="U7:U15" si="1">H7</f>
        <v>100</v>
      </c>
      <c r="V7" s="701" t="s">
        <v>14</v>
      </c>
      <c r="W7" s="702">
        <f t="shared" ref="W7:W15" si="2">J7</f>
        <v>100</v>
      </c>
      <c r="X7" s="703"/>
      <c r="Y7" s="3675" t="s">
        <v>1680</v>
      </c>
      <c r="Z7" s="3676"/>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9" t="s">
        <v>1683</v>
      </c>
      <c r="Q8" s="3676"/>
      <c r="R8" s="701" t="s">
        <v>14</v>
      </c>
      <c r="S8" s="702">
        <f t="shared" si="0"/>
        <v>100</v>
      </c>
      <c r="T8" s="701" t="s">
        <v>14</v>
      </c>
      <c r="U8" s="702">
        <f t="shared" si="1"/>
        <v>100</v>
      </c>
      <c r="V8" s="701" t="s">
        <v>14</v>
      </c>
      <c r="W8" s="702">
        <f t="shared" si="2"/>
        <v>100</v>
      </c>
      <c r="X8" s="703"/>
      <c r="Y8" s="3675" t="s">
        <v>1683</v>
      </c>
      <c r="Z8" s="367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9"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9"/>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9"/>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89"/>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89"/>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89"/>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16" t="s">
        <v>1691</v>
      </c>
      <c r="Q15" s="1352" t="str">
        <f t="shared" si="6"/>
        <v>办公集聚程度</v>
      </c>
      <c r="R15" s="705" t="s">
        <v>14</v>
      </c>
      <c r="S15" s="706">
        <f t="shared" si="0"/>
        <v>100</v>
      </c>
      <c r="T15" s="705" t="s">
        <v>14</v>
      </c>
      <c r="U15" s="706">
        <f t="shared" si="1"/>
        <v>100</v>
      </c>
      <c r="V15" s="705" t="s">
        <v>14</v>
      </c>
      <c r="W15" s="706">
        <f t="shared" si="2"/>
        <v>100</v>
      </c>
      <c r="X15" s="1355"/>
      <c r="Y15" s="370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17"/>
      <c r="Q16" s="1352"/>
      <c r="R16" s="705"/>
      <c r="S16" s="706"/>
      <c r="T16" s="705"/>
      <c r="U16" s="706"/>
      <c r="V16" s="705"/>
      <c r="W16" s="706"/>
      <c r="X16" s="1355"/>
      <c r="Y16" s="3710"/>
      <c r="Z16" s="1356"/>
      <c r="AA16" s="1353">
        <v>1</v>
      </c>
      <c r="AB16" s="1353">
        <v>1</v>
      </c>
      <c r="AC16" s="1962">
        <v>1</v>
      </c>
    </row>
    <row r="17" spans="1:29" ht="71.2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17"/>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17"/>
      <c r="Q18" s="1352"/>
      <c r="R18" s="705"/>
      <c r="S18" s="706"/>
      <c r="T18" s="705"/>
      <c r="U18" s="706"/>
      <c r="V18" s="705"/>
      <c r="W18" s="706"/>
      <c r="X18" s="1355"/>
      <c r="Y18" s="3710"/>
      <c r="Z18" s="1356"/>
      <c r="AA18" s="1353">
        <v>1</v>
      </c>
      <c r="AB18" s="1353">
        <v>1</v>
      </c>
      <c r="AC18" s="1962">
        <v>1</v>
      </c>
    </row>
    <row r="19" spans="1:29" ht="42.7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17"/>
      <c r="Q19" s="1352" t="str">
        <f>B19</f>
        <v>公共配套设施</v>
      </c>
      <c r="R19" s="705" t="s">
        <v>14</v>
      </c>
      <c r="S19" s="706">
        <f>F19</f>
        <v>100</v>
      </c>
      <c r="T19" s="705" t="s">
        <v>14</v>
      </c>
      <c r="U19" s="706">
        <f>H19</f>
        <v>100</v>
      </c>
      <c r="V19" s="705" t="s">
        <v>14</v>
      </c>
      <c r="W19" s="706">
        <f>J19</f>
        <v>100</v>
      </c>
      <c r="X19" s="1355"/>
      <c r="Y19" s="371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17"/>
      <c r="Q20" s="1352"/>
      <c r="R20" s="705"/>
      <c r="S20" s="706"/>
      <c r="T20" s="705"/>
      <c r="U20" s="706"/>
      <c r="V20" s="705"/>
      <c r="W20" s="706"/>
      <c r="X20" s="1355"/>
      <c r="Y20" s="3710"/>
      <c r="Z20" s="1356"/>
      <c r="AA20" s="1353">
        <v>1</v>
      </c>
      <c r="AB20" s="1353">
        <v>1</v>
      </c>
      <c r="AC20" s="1962">
        <v>1</v>
      </c>
    </row>
    <row r="21" spans="1:29" ht="28.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17"/>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17"/>
      <c r="Q22" s="1352"/>
      <c r="R22" s="705"/>
      <c r="S22" s="706"/>
      <c r="T22" s="705"/>
      <c r="U22" s="706"/>
      <c r="V22" s="705"/>
      <c r="W22" s="706"/>
      <c r="X22" s="1355"/>
      <c r="Y22" s="3710"/>
      <c r="Z22" s="1356"/>
      <c r="AA22" s="1353">
        <v>1</v>
      </c>
      <c r="AB22" s="1353">
        <v>1</v>
      </c>
      <c r="AC22" s="1962">
        <v>1</v>
      </c>
    </row>
    <row r="23" spans="1:29" ht="42.7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17"/>
      <c r="Q23" s="1352" t="str">
        <f>B23</f>
        <v>环境质量</v>
      </c>
      <c r="R23" s="705" t="s">
        <v>14</v>
      </c>
      <c r="S23" s="706">
        <f>F23</f>
        <v>100</v>
      </c>
      <c r="T23" s="705" t="s">
        <v>14</v>
      </c>
      <c r="U23" s="706">
        <f>H23</f>
        <v>100</v>
      </c>
      <c r="V23" s="705" t="s">
        <v>14</v>
      </c>
      <c r="W23" s="706">
        <f>J23</f>
        <v>100</v>
      </c>
      <c r="X23" s="1355"/>
      <c r="Y23" s="371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17"/>
      <c r="Q24" s="1352"/>
      <c r="R24" s="705"/>
      <c r="S24" s="706"/>
      <c r="T24" s="705"/>
      <c r="U24" s="706"/>
      <c r="V24" s="705"/>
      <c r="W24" s="706"/>
      <c r="X24" s="1355"/>
      <c r="Y24" s="371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17"/>
      <c r="Q25" s="1352" t="str">
        <f>B25</f>
        <v>毗邻道路的类型与等级</v>
      </c>
      <c r="R25" s="705" t="s">
        <v>14</v>
      </c>
      <c r="S25" s="706">
        <f>F25</f>
        <v>100</v>
      </c>
      <c r="T25" s="705" t="s">
        <v>14</v>
      </c>
      <c r="U25" s="706">
        <f>H25</f>
        <v>100</v>
      </c>
      <c r="V25" s="705" t="s">
        <v>14</v>
      </c>
      <c r="W25" s="706">
        <f>J25</f>
        <v>100</v>
      </c>
      <c r="X25" s="1355"/>
      <c r="Y25" s="371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17"/>
      <c r="Q26" s="1352"/>
      <c r="R26" s="705"/>
      <c r="S26" s="706"/>
      <c r="T26" s="705"/>
      <c r="U26" s="706"/>
      <c r="V26" s="705"/>
      <c r="W26" s="706"/>
      <c r="X26" s="1355"/>
      <c r="Y26" s="371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17"/>
      <c r="Q27" s="1352" t="str">
        <f t="shared" ref="Q27:Q47" si="11">B27</f>
        <v>楼层</v>
      </c>
      <c r="R27" s="705" t="s">
        <v>14</v>
      </c>
      <c r="S27" s="706">
        <f>F27</f>
        <v>100</v>
      </c>
      <c r="T27" s="705" t="s">
        <v>14</v>
      </c>
      <c r="U27" s="706">
        <f>H27</f>
        <v>100</v>
      </c>
      <c r="V27" s="705" t="s">
        <v>14</v>
      </c>
      <c r="W27" s="706">
        <f>J27</f>
        <v>100</v>
      </c>
      <c r="X27" s="1355"/>
      <c r="Y27" s="3710"/>
      <c r="Z27" s="1356" t="str">
        <f>Q27</f>
        <v>楼层</v>
      </c>
      <c r="AA27" s="1353">
        <f t="shared" si="3"/>
        <v>1</v>
      </c>
      <c r="AB27" s="1353">
        <f t="shared" si="4"/>
        <v>1</v>
      </c>
      <c r="AC27" s="1962">
        <f t="shared" si="5"/>
        <v>1</v>
      </c>
    </row>
    <row r="28" spans="1:29" s="108" customFormat="1" ht="15.75"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17"/>
      <c r="Q28" s="1343" t="str">
        <f t="shared" si="11"/>
        <v>朝向</v>
      </c>
      <c r="R28" s="701" t="s">
        <v>14</v>
      </c>
      <c r="S28" s="702">
        <f>F28</f>
        <v>100</v>
      </c>
      <c r="T28" s="701" t="s">
        <v>14</v>
      </c>
      <c r="U28" s="702">
        <f>H28</f>
        <v>100</v>
      </c>
      <c r="V28" s="701" t="s">
        <v>14</v>
      </c>
      <c r="W28" s="702">
        <f>J28</f>
        <v>100</v>
      </c>
      <c r="X28" s="703"/>
      <c r="Y28" s="3710"/>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17"/>
      <c r="Q29" s="1352">
        <f t="shared" si="11"/>
        <v>111</v>
      </c>
      <c r="R29" s="705" t="s">
        <v>14</v>
      </c>
      <c r="S29" s="706">
        <f t="shared" ref="S29:S47" si="12">F29</f>
        <v>100</v>
      </c>
      <c r="T29" s="705" t="s">
        <v>14</v>
      </c>
      <c r="U29" s="706">
        <f t="shared" ref="U29:U47" si="13">H29</f>
        <v>100</v>
      </c>
      <c r="V29" s="705" t="s">
        <v>14</v>
      </c>
      <c r="W29" s="706">
        <f t="shared" ref="W29:W47" si="14">J29</f>
        <v>100</v>
      </c>
      <c r="X29" s="1355"/>
      <c r="Y29" s="3710"/>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17"/>
      <c r="Q30" s="1352">
        <f t="shared" si="11"/>
        <v>111</v>
      </c>
      <c r="R30" s="705" t="s">
        <v>14</v>
      </c>
      <c r="S30" s="706">
        <f t="shared" si="12"/>
        <v>100</v>
      </c>
      <c r="T30" s="705" t="s">
        <v>14</v>
      </c>
      <c r="U30" s="706">
        <f t="shared" si="13"/>
        <v>100</v>
      </c>
      <c r="V30" s="705" t="s">
        <v>14</v>
      </c>
      <c r="W30" s="706">
        <f t="shared" si="14"/>
        <v>100</v>
      </c>
      <c r="X30" s="1355"/>
      <c r="Y30" s="3710"/>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17"/>
      <c r="Q31" s="1352">
        <f t="shared" si="11"/>
        <v>111</v>
      </c>
      <c r="R31" s="705" t="s">
        <v>14</v>
      </c>
      <c r="S31" s="706">
        <f t="shared" si="12"/>
        <v>100</v>
      </c>
      <c r="T31" s="705" t="s">
        <v>14</v>
      </c>
      <c r="U31" s="706">
        <f t="shared" si="13"/>
        <v>100</v>
      </c>
      <c r="V31" s="705" t="s">
        <v>14</v>
      </c>
      <c r="W31" s="706">
        <f t="shared" si="14"/>
        <v>100</v>
      </c>
      <c r="X31" s="1355"/>
      <c r="Y31" s="3710"/>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17"/>
      <c r="Q32" s="1352">
        <f t="shared" si="11"/>
        <v>111</v>
      </c>
      <c r="R32" s="705" t="s">
        <v>14</v>
      </c>
      <c r="S32" s="706">
        <f t="shared" si="12"/>
        <v>100</v>
      </c>
      <c r="T32" s="705" t="s">
        <v>14</v>
      </c>
      <c r="U32" s="706">
        <f t="shared" si="13"/>
        <v>100</v>
      </c>
      <c r="V32" s="705" t="s">
        <v>14</v>
      </c>
      <c r="W32" s="706">
        <f t="shared" si="14"/>
        <v>100</v>
      </c>
      <c r="X32" s="1355"/>
      <c r="Y32" s="371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11" t="s">
        <v>1696</v>
      </c>
      <c r="Q33" s="1352" t="str">
        <f t="shared" si="11"/>
        <v>建筑类型</v>
      </c>
      <c r="R33" s="705" t="s">
        <v>14</v>
      </c>
      <c r="S33" s="706">
        <f t="shared" si="12"/>
        <v>100</v>
      </c>
      <c r="T33" s="705" t="s">
        <v>14</v>
      </c>
      <c r="U33" s="706">
        <f t="shared" si="13"/>
        <v>100</v>
      </c>
      <c r="V33" s="705" t="s">
        <v>14</v>
      </c>
      <c r="W33" s="706">
        <f t="shared" si="14"/>
        <v>100</v>
      </c>
      <c r="X33" s="1355"/>
      <c r="Y33" s="3714"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1718.77</v>
      </c>
      <c r="D34" s="127">
        <v>100</v>
      </c>
      <c r="E34" s="381">
        <v>108.09</v>
      </c>
      <c r="F34" s="376">
        <f>LOOKUP(E34,104:104,105:105)-LOOKUP(C34,104:104,105:105)+100</f>
        <v>102</v>
      </c>
      <c r="G34" s="380">
        <v>327.69</v>
      </c>
      <c r="H34" s="127">
        <f>LOOKUP(G34,104:104,105:105)-LOOKUP(C34,104:104,105:105)+100</f>
        <v>104</v>
      </c>
      <c r="I34" s="380">
        <v>85.58</v>
      </c>
      <c r="J34" s="127">
        <f>LOOKUP(I34,104:104,105:105)-LOOKUP(C34,104:104,105:105)+100</f>
        <v>100</v>
      </c>
      <c r="K34" s="562"/>
      <c r="L34" s="2719"/>
      <c r="M34" s="2721"/>
      <c r="N34" s="2721"/>
      <c r="O34" s="2721"/>
      <c r="P34" s="3712"/>
      <c r="Q34" s="707" t="str">
        <f t="shared" si="11"/>
        <v>项目建筑规模</v>
      </c>
      <c r="R34" s="708" t="s">
        <v>14</v>
      </c>
      <c r="S34" s="709">
        <f t="shared" si="12"/>
        <v>102</v>
      </c>
      <c r="T34" s="708" t="s">
        <v>14</v>
      </c>
      <c r="U34" s="709">
        <f t="shared" si="13"/>
        <v>104</v>
      </c>
      <c r="V34" s="708" t="s">
        <v>14</v>
      </c>
      <c r="W34" s="709">
        <f t="shared" si="14"/>
        <v>100</v>
      </c>
      <c r="X34" s="710"/>
      <c r="Y34" s="3714"/>
      <c r="Z34" s="711" t="str">
        <f t="shared" si="15"/>
        <v>项目建筑规模</v>
      </c>
      <c r="AA34" s="1353">
        <f t="shared" si="3"/>
        <v>0.98039215686274506</v>
      </c>
      <c r="AB34" s="1353">
        <f t="shared" si="4"/>
        <v>0.96153846153846156</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12"/>
      <c r="Q35" s="1352" t="str">
        <f t="shared" si="11"/>
        <v>建筑结构</v>
      </c>
      <c r="R35" s="705" t="s">
        <v>14</v>
      </c>
      <c r="S35" s="706">
        <f t="shared" si="12"/>
        <v>100</v>
      </c>
      <c r="T35" s="705" t="s">
        <v>14</v>
      </c>
      <c r="U35" s="706">
        <f t="shared" si="13"/>
        <v>100</v>
      </c>
      <c r="V35" s="705" t="s">
        <v>14</v>
      </c>
      <c r="W35" s="706">
        <f t="shared" si="14"/>
        <v>100</v>
      </c>
      <c r="X35" s="1355"/>
      <c r="Y35" s="371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12"/>
      <c r="Q36" s="1352" t="str">
        <f t="shared" si="11"/>
        <v>公共部分装修</v>
      </c>
      <c r="R36" s="705" t="s">
        <v>14</v>
      </c>
      <c r="S36" s="706">
        <f t="shared" si="12"/>
        <v>100</v>
      </c>
      <c r="T36" s="705" t="s">
        <v>14</v>
      </c>
      <c r="U36" s="706">
        <f t="shared" si="13"/>
        <v>100</v>
      </c>
      <c r="V36" s="705" t="s">
        <v>14</v>
      </c>
      <c r="W36" s="706">
        <f t="shared" si="14"/>
        <v>100</v>
      </c>
      <c r="X36" s="1355"/>
      <c r="Y36" s="3714"/>
      <c r="Z36" s="1356" t="str">
        <f t="shared" si="15"/>
        <v>公共部分装修</v>
      </c>
      <c r="AA36" s="1353">
        <f t="shared" si="3"/>
        <v>1</v>
      </c>
      <c r="AB36" s="1353">
        <f t="shared" si="4"/>
        <v>1</v>
      </c>
      <c r="AC36" s="1962">
        <f t="shared" si="5"/>
        <v>1</v>
      </c>
    </row>
    <row r="37" spans="1:29" ht="15">
      <c r="A37" s="423"/>
      <c r="B37" s="375" t="s">
        <v>1786</v>
      </c>
      <c r="C37" s="425">
        <f>'数据-取费表'!N6</f>
        <v>0.83</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20"/>
      <c r="M37" s="2714"/>
      <c r="N37" s="2714"/>
      <c r="O37" s="2714"/>
      <c r="P37" s="3712"/>
      <c r="Q37" s="1352" t="str">
        <f t="shared" si="11"/>
        <v>成新度</v>
      </c>
      <c r="R37" s="705" t="s">
        <v>14</v>
      </c>
      <c r="S37" s="706">
        <f t="shared" si="12"/>
        <v>100</v>
      </c>
      <c r="T37" s="705" t="s">
        <v>14</v>
      </c>
      <c r="U37" s="706">
        <f t="shared" si="13"/>
        <v>100</v>
      </c>
      <c r="V37" s="705" t="s">
        <v>14</v>
      </c>
      <c r="W37" s="706">
        <f t="shared" si="14"/>
        <v>100</v>
      </c>
      <c r="X37" s="1355"/>
      <c r="Y37" s="3714"/>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2"/>
      <c r="Q38" s="1343" t="str">
        <f t="shared" si="11"/>
        <v>写字楼等级</v>
      </c>
      <c r="R38" s="701" t="s">
        <v>14</v>
      </c>
      <c r="S38" s="702">
        <f t="shared" si="12"/>
        <v>100</v>
      </c>
      <c r="T38" s="701" t="s">
        <v>14</v>
      </c>
      <c r="U38" s="702">
        <f t="shared" si="13"/>
        <v>100</v>
      </c>
      <c r="V38" s="701" t="s">
        <v>14</v>
      </c>
      <c r="W38" s="702">
        <f t="shared" si="14"/>
        <v>100</v>
      </c>
      <c r="X38" s="703"/>
      <c r="Y38" s="371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12" t="s">
        <v>1696</v>
      </c>
      <c r="Q39" s="1352" t="str">
        <f t="shared" si="11"/>
        <v>物业管理</v>
      </c>
      <c r="R39" s="705" t="s">
        <v>14</v>
      </c>
      <c r="S39" s="706">
        <f t="shared" si="12"/>
        <v>100</v>
      </c>
      <c r="T39" s="705" t="s">
        <v>14</v>
      </c>
      <c r="U39" s="706">
        <f t="shared" si="13"/>
        <v>100</v>
      </c>
      <c r="V39" s="705" t="s">
        <v>14</v>
      </c>
      <c r="W39" s="706">
        <f t="shared" si="14"/>
        <v>100</v>
      </c>
      <c r="X39" s="1355"/>
      <c r="Y39" s="371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12"/>
      <c r="Q40" s="1352" t="str">
        <f t="shared" si="11"/>
        <v>市政基础设施</v>
      </c>
      <c r="R40" s="705" t="s">
        <v>14</v>
      </c>
      <c r="S40" s="706">
        <f t="shared" si="12"/>
        <v>100</v>
      </c>
      <c r="T40" s="705" t="s">
        <v>14</v>
      </c>
      <c r="U40" s="706">
        <f t="shared" si="13"/>
        <v>100</v>
      </c>
      <c r="V40" s="705" t="s">
        <v>14</v>
      </c>
      <c r="W40" s="706">
        <f t="shared" si="14"/>
        <v>100</v>
      </c>
      <c r="X40" s="1355"/>
      <c r="Y40" s="371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2"/>
      <c r="Q41" s="1352" t="str">
        <f t="shared" si="11"/>
        <v>层高</v>
      </c>
      <c r="R41" s="705" t="s">
        <v>14</v>
      </c>
      <c r="S41" s="706">
        <f t="shared" si="12"/>
        <v>100</v>
      </c>
      <c r="T41" s="705" t="s">
        <v>14</v>
      </c>
      <c r="U41" s="706">
        <f t="shared" si="13"/>
        <v>100</v>
      </c>
      <c r="V41" s="705" t="s">
        <v>14</v>
      </c>
      <c r="W41" s="706">
        <f t="shared" si="14"/>
        <v>100</v>
      </c>
      <c r="X41" s="1355"/>
      <c r="Y41" s="371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2"/>
      <c r="Q42" s="707" t="str">
        <f t="shared" si="11"/>
        <v>单套建筑面积</v>
      </c>
      <c r="R42" s="708" t="s">
        <v>14</v>
      </c>
      <c r="S42" s="709">
        <f t="shared" si="12"/>
        <v>100</v>
      </c>
      <c r="T42" s="708" t="s">
        <v>14</v>
      </c>
      <c r="U42" s="709">
        <f t="shared" si="13"/>
        <v>100</v>
      </c>
      <c r="V42" s="708" t="s">
        <v>14</v>
      </c>
      <c r="W42" s="709">
        <f t="shared" si="14"/>
        <v>100</v>
      </c>
      <c r="X42" s="710"/>
      <c r="Y42" s="371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12"/>
      <c r="Q43" s="1352" t="str">
        <f t="shared" si="11"/>
        <v>内部装修</v>
      </c>
      <c r="R43" s="705" t="s">
        <v>14</v>
      </c>
      <c r="S43" s="706">
        <f t="shared" si="12"/>
        <v>100</v>
      </c>
      <c r="T43" s="705" t="s">
        <v>14</v>
      </c>
      <c r="U43" s="706">
        <f t="shared" si="13"/>
        <v>100</v>
      </c>
      <c r="V43" s="705" t="s">
        <v>14</v>
      </c>
      <c r="W43" s="706">
        <f t="shared" si="14"/>
        <v>100</v>
      </c>
      <c r="X43" s="1355"/>
      <c r="Y43" s="3714"/>
      <c r="Z43" s="1356" t="str">
        <f t="shared" si="15"/>
        <v>内部装修</v>
      </c>
      <c r="AA43" s="1353">
        <f t="shared" si="3"/>
        <v>1</v>
      </c>
      <c r="AB43" s="1353">
        <f t="shared" si="4"/>
        <v>1</v>
      </c>
      <c r="AC43" s="1962">
        <f t="shared" si="5"/>
        <v>1</v>
      </c>
    </row>
    <row r="44" spans="1:29" ht="15.75" thickBot="1">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12"/>
      <c r="Q44" s="1352" t="str">
        <f t="shared" si="11"/>
        <v>内部装修维护情况</v>
      </c>
      <c r="R44" s="705" t="s">
        <v>14</v>
      </c>
      <c r="S44" s="706">
        <f t="shared" si="12"/>
        <v>100</v>
      </c>
      <c r="T44" s="705" t="s">
        <v>14</v>
      </c>
      <c r="U44" s="706">
        <f t="shared" si="13"/>
        <v>100</v>
      </c>
      <c r="V44" s="705" t="s">
        <v>14</v>
      </c>
      <c r="W44" s="706">
        <f t="shared" si="14"/>
        <v>100</v>
      </c>
      <c r="X44" s="1355"/>
      <c r="Y44" s="3714"/>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2"/>
      <c r="Q45" s="1343">
        <f t="shared" si="11"/>
        <v>111</v>
      </c>
      <c r="R45" s="701" t="s">
        <v>14</v>
      </c>
      <c r="S45" s="702">
        <f t="shared" si="12"/>
        <v>100</v>
      </c>
      <c r="T45" s="701" t="s">
        <v>14</v>
      </c>
      <c r="U45" s="702">
        <f t="shared" si="13"/>
        <v>100</v>
      </c>
      <c r="V45" s="701" t="s">
        <v>14</v>
      </c>
      <c r="W45" s="702">
        <f t="shared" si="14"/>
        <v>100</v>
      </c>
      <c r="X45" s="703"/>
      <c r="Y45" s="3714"/>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2"/>
      <c r="Q46" s="1352">
        <f t="shared" si="11"/>
        <v>111</v>
      </c>
      <c r="R46" s="705" t="s">
        <v>14</v>
      </c>
      <c r="S46" s="706">
        <f t="shared" si="12"/>
        <v>100</v>
      </c>
      <c r="T46" s="705" t="s">
        <v>14</v>
      </c>
      <c r="U46" s="706">
        <f t="shared" si="13"/>
        <v>100</v>
      </c>
      <c r="V46" s="705" t="s">
        <v>14</v>
      </c>
      <c r="W46" s="706">
        <f t="shared" si="14"/>
        <v>100</v>
      </c>
      <c r="X46" s="1355"/>
      <c r="Y46" s="3714"/>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3"/>
      <c r="Q47" s="1352">
        <f t="shared" si="11"/>
        <v>111</v>
      </c>
      <c r="R47" s="705" t="s">
        <v>14</v>
      </c>
      <c r="S47" s="706">
        <f t="shared" si="12"/>
        <v>100</v>
      </c>
      <c r="T47" s="705" t="s">
        <v>14</v>
      </c>
      <c r="U47" s="706">
        <f t="shared" si="13"/>
        <v>100</v>
      </c>
      <c r="V47" s="705" t="s">
        <v>14</v>
      </c>
      <c r="W47" s="706">
        <f t="shared" si="14"/>
        <v>100</v>
      </c>
      <c r="X47" s="1355"/>
      <c r="Y47" s="3715"/>
      <c r="Z47" s="1356">
        <f t="shared" si="15"/>
        <v>111</v>
      </c>
      <c r="AA47" s="1353">
        <f t="shared" si="3"/>
        <v>1</v>
      </c>
      <c r="AB47" s="1353">
        <f t="shared" si="4"/>
        <v>1</v>
      </c>
      <c r="AC47" s="1962">
        <f t="shared" si="5"/>
        <v>1</v>
      </c>
    </row>
    <row r="48" spans="1:29" ht="15">
      <c r="A48" s="430" t="s">
        <v>1708</v>
      </c>
      <c r="B48" s="431"/>
      <c r="C48" s="1154" t="s">
        <v>0</v>
      </c>
      <c r="D48" s="1155"/>
      <c r="E48" s="1156">
        <v>38000</v>
      </c>
      <c r="F48" s="1157"/>
      <c r="G48" s="1158">
        <v>41000</v>
      </c>
      <c r="H48" s="1159"/>
      <c r="I48" s="1156">
        <v>38500</v>
      </c>
      <c r="J48" s="436"/>
      <c r="K48" s="714"/>
      <c r="L48" s="2722"/>
      <c r="M48" s="2714"/>
      <c r="N48" s="2714"/>
      <c r="O48" s="2714"/>
      <c r="P48" s="3689" t="str">
        <f>A48</f>
        <v>成交单价（元/平方米）</v>
      </c>
      <c r="Q48" s="3707"/>
      <c r="R48" s="3708">
        <f>E48</f>
        <v>38000</v>
      </c>
      <c r="S48" s="3708"/>
      <c r="T48" s="3708">
        <f>G48</f>
        <v>41000</v>
      </c>
      <c r="U48" s="3708"/>
      <c r="V48" s="3708">
        <f>I48</f>
        <v>38500</v>
      </c>
      <c r="W48" s="3708"/>
      <c r="X48" s="397"/>
      <c r="Y48" s="712"/>
      <c r="Z48" s="397"/>
      <c r="AA48" s="397"/>
      <c r="AB48" s="397"/>
      <c r="AC48" s="578"/>
    </row>
    <row r="49" spans="1:29" ht="15.75" thickBot="1">
      <c r="A49" s="437" t="s">
        <v>1793</v>
      </c>
      <c r="B49" s="438"/>
      <c r="C49" s="1160">
        <f>R50</f>
        <v>38393</v>
      </c>
      <c r="D49" s="2317" t="s">
        <v>2138</v>
      </c>
      <c r="E49" s="1161">
        <f>R49</f>
        <v>37255</v>
      </c>
      <c r="F49" s="2318"/>
      <c r="G49" s="1160">
        <f>T49</f>
        <v>39423</v>
      </c>
      <c r="H49" s="2318"/>
      <c r="I49" s="1161">
        <f>V49</f>
        <v>38500</v>
      </c>
      <c r="J49" s="2318"/>
      <c r="K49" s="2320">
        <f>F49+H49+J49</f>
        <v>0</v>
      </c>
      <c r="L49" s="2722"/>
      <c r="M49" s="2714"/>
      <c r="N49" s="2714"/>
      <c r="O49" s="2714"/>
      <c r="P49" s="3689" t="str">
        <f>A49</f>
        <v>比较价值（元/平方米）</v>
      </c>
      <c r="Q49" s="3707"/>
      <c r="R49" s="3708">
        <f>IF(F1="售价",ROUND(PRODUCT(R48,AA7:AA47),0),ROUND(PRODUCT(R48,AA7:AA47),1))</f>
        <v>37255</v>
      </c>
      <c r="S49" s="3708"/>
      <c r="T49" s="3708">
        <f>IF(F1="售价",ROUND(PRODUCT(T48,AB7:AB47),0),ROUND(PRODUCT(T48,AB7:AB47),1))</f>
        <v>39423</v>
      </c>
      <c r="U49" s="3708"/>
      <c r="V49" s="3708">
        <f>IF(F1="售价",ROUND(PRODUCT(V48,AC7:AC47),0),ROUND(PRODUCT(V48,AC7:AC47),1))</f>
        <v>38500</v>
      </c>
      <c r="W49" s="3708"/>
      <c r="X49" s="397"/>
      <c r="Y49" s="397"/>
      <c r="Z49" s="397"/>
      <c r="AA49" s="397"/>
      <c r="AB49" s="397"/>
      <c r="AC49" s="578"/>
    </row>
    <row r="50" spans="1:29" ht="15.75" thickBot="1">
      <c r="A50" s="441" t="s">
        <v>1794</v>
      </c>
      <c r="B50" s="442"/>
      <c r="C50" s="1163">
        <f>R50</f>
        <v>38393</v>
      </c>
      <c r="D50" s="1163"/>
      <c r="E50" s="1163"/>
      <c r="F50" s="1163"/>
      <c r="G50" s="1163"/>
      <c r="H50" s="1163"/>
      <c r="I50" s="1163"/>
      <c r="J50" s="443"/>
      <c r="K50" s="715"/>
      <c r="L50" s="2722"/>
      <c r="M50" s="2714"/>
      <c r="N50" s="2714"/>
      <c r="O50" s="2714"/>
      <c r="P50" s="3730" t="str">
        <f>A50</f>
        <v>估价对象XX用房的比较价值（楼面单价，元/平方米）</v>
      </c>
      <c r="Q50" s="3731"/>
      <c r="R50" s="3732">
        <f>IF(F1="售价",ROUND(IF(D49="简单平均",AVERAGE(R49:V49),R49*F49+T49*H49+V49*J49),0),ROUND(IF(D49="简单平均",AVERAGE(R49:V49),R49*F49+T49*H49+V49*J49),1))</f>
        <v>38393</v>
      </c>
      <c r="S50" s="3732"/>
      <c r="T50" s="3732"/>
      <c r="U50" s="3732"/>
      <c r="V50" s="3732"/>
      <c r="W50" s="3732"/>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1.9997315796537407E-2</v>
      </c>
      <c r="F53" s="449" t="str">
        <f>IF(OR(E53&gt;=0.3,E53&lt;=-0.3),"超过30%","")</f>
        <v/>
      </c>
      <c r="G53" s="448">
        <f>IF(G48&lt;G49,G49/G48-1,G48/G49-1)</f>
        <v>4.0002029272252271E-2</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5.819353106965508E-2</v>
      </c>
      <c r="F54" s="449" t="str">
        <f>IF(OR(E54&gt;=0.2,E54&lt;=-0.2),"超过20%","")</f>
        <v/>
      </c>
      <c r="G54" s="448">
        <f>IF(G49&lt;I49,I49/G49-1,G49/I49-1)</f>
        <v>2.3974025974025981E-2</v>
      </c>
      <c r="H54" s="449" t="str">
        <f>IF(OR(G54&gt;=0.2,G54&lt;=-0.2),"超过20%","")</f>
        <v/>
      </c>
      <c r="I54" s="448">
        <f>IF(I49&lt;E49,E49/I49-1,I49/E49-1)</f>
        <v>3.3418333109649812E-2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7.8947368421052655E-2</v>
      </c>
      <c r="F55" s="449" t="str">
        <f>IF(OR(E55&gt;=0.3,E55&lt;=-0.3),"超过30%","")</f>
        <v/>
      </c>
      <c r="G55" s="448">
        <f>IF(G48&lt;I48,I48/G48-1,G48/I48-1)</f>
        <v>6.4935064935064846E-2</v>
      </c>
      <c r="H55" s="449" t="str">
        <f>IF(OR(G55&gt;=0.3,G55&lt;=-0.3),"超过30%","")</f>
        <v/>
      </c>
      <c r="I55" s="448">
        <f>IF(I48&lt;E48,E48/I48-1,I48/E48-1)</f>
        <v>1.3157894736842035E-2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2025-3</v>
      </c>
      <c r="D59" s="1185">
        <f>EDATE(C59,-1)</f>
        <v>45689</v>
      </c>
      <c r="E59" s="1185">
        <f>EDATE(D59,-1)</f>
        <v>45658</v>
      </c>
      <c r="F59" s="1185">
        <f t="shared" ref="F59:O59" si="16">EDATE(E59,-1)</f>
        <v>45627</v>
      </c>
      <c r="G59" s="1185">
        <f t="shared" si="16"/>
        <v>45597</v>
      </c>
      <c r="H59" s="1185">
        <f t="shared" si="16"/>
        <v>45566</v>
      </c>
      <c r="I59" s="1185">
        <f t="shared" si="16"/>
        <v>45536</v>
      </c>
      <c r="J59" s="1185">
        <f t="shared" si="16"/>
        <v>45505</v>
      </c>
      <c r="K59" s="1185">
        <f t="shared" si="16"/>
        <v>45474</v>
      </c>
      <c r="L59" s="1185">
        <f t="shared" si="16"/>
        <v>45444</v>
      </c>
      <c r="M59" s="1185">
        <f t="shared" si="16"/>
        <v>45413</v>
      </c>
      <c r="N59" s="1185">
        <f t="shared" si="16"/>
        <v>45383</v>
      </c>
      <c r="O59" s="1185">
        <f t="shared" si="16"/>
        <v>45352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1000(含)-3000</v>
      </c>
      <c r="H103" s="527" t="str">
        <f t="shared" si="23"/>
        <v>3000(含)-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f>典型户型修正!C3</f>
        <v>0</v>
      </c>
      <c r="D104" s="544">
        <f>典型户型修正!D3</f>
        <v>100</v>
      </c>
      <c r="E104" s="544">
        <f>典型户型修正!E3</f>
        <v>300</v>
      </c>
      <c r="F104" s="544">
        <f>典型户型修正!F3</f>
        <v>500</v>
      </c>
      <c r="G104" s="544">
        <f>典型户型修正!G3</f>
        <v>1000</v>
      </c>
      <c r="H104" s="544">
        <f>典型户型修正!H3</f>
        <v>3000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44">
        <f>典型户型修正!C4</f>
        <v>96</v>
      </c>
      <c r="D105" s="544">
        <f>典型户型修正!D4</f>
        <v>98</v>
      </c>
      <c r="E105" s="544">
        <f>典型户型修正!E4</f>
        <v>100</v>
      </c>
      <c r="F105" s="544">
        <f>典型户型修正!F4</f>
        <v>98</v>
      </c>
      <c r="G105" s="544">
        <f>典型户型修正!G4</f>
        <v>96</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W43" sqref="W43"/>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53" sqref="F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3502</v>
      </c>
      <c r="D1" s="1362" t="s">
        <v>43</v>
      </c>
      <c r="E1" s="1363" t="s">
        <v>678</v>
      </c>
      <c r="F1" s="1062">
        <f ca="1">J53</f>
        <v>38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4071.1023</v>
      </c>
      <c r="C2" s="1387" t="s">
        <v>879</v>
      </c>
      <c r="D2" s="1471">
        <f ca="1">C40+J29+L46</f>
        <v>40711023</v>
      </c>
      <c r="E2" s="1388" t="s">
        <v>880</v>
      </c>
      <c r="F2" s="1389"/>
      <c r="G2" s="2704"/>
      <c r="H2" s="2693"/>
      <c r="I2" s="2693"/>
      <c r="J2" s="2693"/>
      <c r="K2" s="2694"/>
      <c r="L2" s="2693"/>
      <c r="M2" s="2693"/>
    </row>
    <row r="3" spans="1:37" ht="18" customHeight="1" thickBot="1">
      <c r="A3" s="1390" t="s">
        <v>881</v>
      </c>
      <c r="B3" s="1391">
        <f ca="1">IF(ISERROR(D2/F43),0,ROUND(D2/F43,0))</f>
        <v>23686</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2688418</v>
      </c>
      <c r="D5" s="1364" t="s">
        <v>889</v>
      </c>
      <c r="E5" s="1071"/>
      <c r="F5" s="1072"/>
      <c r="G5" s="1384"/>
      <c r="H5" s="299">
        <v>1</v>
      </c>
      <c r="I5" s="300" t="s">
        <v>888</v>
      </c>
      <c r="J5" s="1070">
        <f ca="1">J6+J10+J12</f>
        <v>4070317</v>
      </c>
      <c r="K5" s="1364" t="s">
        <v>889</v>
      </c>
      <c r="L5" s="1071"/>
      <c r="M5" s="1072"/>
    </row>
    <row r="6" spans="1:37" ht="18" customHeight="1">
      <c r="A6" s="1069" t="s">
        <v>398</v>
      </c>
      <c r="B6" s="3648" t="s">
        <v>694</v>
      </c>
      <c r="C6" s="1074">
        <f ca="1">ROUND(F6*F8*F7*(1-F9),0)</f>
        <v>2685062</v>
      </c>
      <c r="D6" s="155" t="s">
        <v>2106</v>
      </c>
      <c r="E6" s="302" t="s">
        <v>696</v>
      </c>
      <c r="F6" s="303">
        <f ca="1">INDIRECT("'数据-取费表'!u"&amp;$G$1)</f>
        <v>4.28</v>
      </c>
      <c r="G6" s="1384"/>
      <c r="H6" s="1069" t="s">
        <v>398</v>
      </c>
      <c r="I6" s="3648" t="s">
        <v>694</v>
      </c>
      <c r="J6" s="301">
        <f ca="1">ROUND(M6*M8*M7*(1-M9),0)</f>
        <v>4065235</v>
      </c>
      <c r="K6" s="1376" t="s">
        <v>2107</v>
      </c>
      <c r="L6" s="302" t="s">
        <v>696</v>
      </c>
      <c r="M6" s="303">
        <f ca="1">INDIRECT("'数据-取费表'!z"&amp;$G$1)</f>
        <v>7.2</v>
      </c>
    </row>
    <row r="7" spans="1:37" ht="18" customHeight="1">
      <c r="A7" s="1073"/>
      <c r="B7" s="3649"/>
      <c r="C7" s="1075"/>
      <c r="D7" s="307"/>
      <c r="E7" s="1076" t="s">
        <v>697</v>
      </c>
      <c r="F7" s="303">
        <f ca="1">IF(INDIRECT("'数据-取费表'!ah"&amp;$G$1)="",INDIRECT("'数据-取费表'!k"&amp;$G$1),INDIRECT("'数据-取费表'!ah"&amp;$G$1))</f>
        <v>1718.77</v>
      </c>
      <c r="G7" s="1384"/>
      <c r="H7" s="304"/>
      <c r="I7" s="3649"/>
      <c r="J7" s="306"/>
      <c r="K7" s="307"/>
      <c r="L7" s="302" t="s">
        <v>697</v>
      </c>
      <c r="M7" s="303">
        <f ca="1">F7</f>
        <v>1718.77</v>
      </c>
    </row>
    <row r="8" spans="1:37" ht="18" customHeight="1">
      <c r="A8" s="304"/>
      <c r="B8" s="3649"/>
      <c r="C8" s="306"/>
      <c r="D8" s="307"/>
      <c r="E8" s="302" t="s">
        <v>698</v>
      </c>
      <c r="F8" s="303">
        <f ca="1">INDIRECT("'数据-取费表'!ai"&amp;$G$1)</f>
        <v>365</v>
      </c>
      <c r="G8" s="1384"/>
      <c r="H8" s="304"/>
      <c r="I8" s="3649"/>
      <c r="J8" s="306"/>
      <c r="K8" s="307"/>
      <c r="L8" s="302" t="s">
        <v>698</v>
      </c>
      <c r="M8" s="303">
        <f ca="1">INDIRECT("'数据-取费表'!ai"&amp;$G$1)</f>
        <v>365</v>
      </c>
    </row>
    <row r="9" spans="1:37" ht="18" customHeight="1">
      <c r="A9" s="304"/>
      <c r="B9" s="3650"/>
      <c r="C9" s="306"/>
      <c r="D9" s="307"/>
      <c r="E9" s="302" t="s">
        <v>699</v>
      </c>
      <c r="F9" s="312">
        <f ca="1">INDIRECT("'数据-取费表'!w"&amp;$G$1)</f>
        <v>0</v>
      </c>
      <c r="G9" s="1384"/>
      <c r="H9" s="304"/>
      <c r="I9" s="3650"/>
      <c r="J9" s="306"/>
      <c r="K9" s="307"/>
      <c r="L9" s="313" t="s">
        <v>699</v>
      </c>
      <c r="M9" s="314">
        <f ca="1">INDIRECT("'数据-取费表'!ab"&amp;$G$1)</f>
        <v>0.1</v>
      </c>
    </row>
    <row r="10" spans="1:37" ht="18" customHeight="1">
      <c r="A10" s="1069" t="s">
        <v>402</v>
      </c>
      <c r="B10" s="1365" t="s">
        <v>700</v>
      </c>
      <c r="C10" s="316">
        <f ca="1">ROUND(IF(F10="押一",C6/12*F11,IF(F10="押二",C6/12*2*F11,IF(F10="押三",C6/12*3*F11,C11*F11))),0)</f>
        <v>3356</v>
      </c>
      <c r="D10" s="1366" t="s">
        <v>2116</v>
      </c>
      <c r="E10" s="313" t="s">
        <v>701</v>
      </c>
      <c r="F10" s="1116" t="s">
        <v>3514</v>
      </c>
      <c r="G10" s="1384"/>
      <c r="H10" s="1069" t="s">
        <v>402</v>
      </c>
      <c r="I10" s="1365" t="s">
        <v>700</v>
      </c>
      <c r="J10" s="301">
        <f ca="1">ROUND(IF(M10="押一",J6/12*M11,IF(M10="押二",J6/12*2*M11,IF(M10="押三",J6/12*3*M11,J11*M11))),0)</f>
        <v>5082</v>
      </c>
      <c r="K10" s="1377" t="s">
        <v>2118</v>
      </c>
      <c r="L10" s="313" t="s">
        <v>701</v>
      </c>
      <c r="M10" s="1116" t="s">
        <v>3514</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9364329</v>
      </c>
      <c r="D13" s="1081" t="s">
        <v>705</v>
      </c>
      <c r="E13" s="1081" t="s">
        <v>706</v>
      </c>
      <c r="F13" s="1082">
        <f ca="1">INDIRECT("'数据-取费表'!y"&amp;$G$1)</f>
        <v>0.83</v>
      </c>
      <c r="G13" s="1384"/>
      <c r="H13" s="1079">
        <v>2</v>
      </c>
      <c r="I13" s="1080" t="s">
        <v>704</v>
      </c>
      <c r="J13" s="1068">
        <f ca="1">ROUND(J14*J15,0)</f>
        <v>8461743</v>
      </c>
      <c r="K13" s="1087" t="s">
        <v>705</v>
      </c>
      <c r="L13" s="1392"/>
      <c r="M13" s="1393"/>
    </row>
    <row r="14" spans="1:37" ht="18" customHeight="1">
      <c r="A14" s="982" t="s">
        <v>397</v>
      </c>
      <c r="B14" s="302" t="s">
        <v>707</v>
      </c>
      <c r="C14" s="318">
        <f ca="1">ROUND(INDIRECT("'数据-取费表'!l"&amp;$G$1)*F43+'数据-取费表'!L14*INDIRECT("'数据-取费表'!S"&amp;$G$1),0)</f>
        <v>7734465</v>
      </c>
      <c r="D14" s="1345" t="s">
        <v>708</v>
      </c>
      <c r="E14" s="1342"/>
      <c r="F14" s="319"/>
      <c r="G14" s="1384"/>
      <c r="H14" s="982" t="s">
        <v>398</v>
      </c>
      <c r="I14" s="302" t="s">
        <v>709</v>
      </c>
      <c r="J14" s="21">
        <f ca="1">C29</f>
        <v>11282324</v>
      </c>
      <c r="K14" s="12"/>
      <c r="L14" s="807"/>
      <c r="M14" s="808"/>
    </row>
    <row r="15" spans="1:37" s="1397" customFormat="1" ht="18" customHeight="1" thickBot="1">
      <c r="A15" s="982" t="s">
        <v>399</v>
      </c>
      <c r="B15" s="302" t="s">
        <v>710</v>
      </c>
      <c r="C15" s="21">
        <f ca="1">ROUND(C14*F15,0)</f>
        <v>386723</v>
      </c>
      <c r="D15" s="320" t="s">
        <v>711</v>
      </c>
      <c r="E15" s="320" t="s">
        <v>712</v>
      </c>
      <c r="F15" s="321">
        <f>'数据-取费表'!B33</f>
        <v>0.05</v>
      </c>
      <c r="G15" s="1396"/>
      <c r="H15" s="1089" t="s">
        <v>402</v>
      </c>
      <c r="I15" s="1090" t="s">
        <v>706</v>
      </c>
      <c r="J15" s="1099">
        <f ca="1">INDIRECT("'数据-取费表'!ad"&amp;$G$1)</f>
        <v>0.75</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1118449</v>
      </c>
      <c r="K16" s="1087" t="s">
        <v>715</v>
      </c>
      <c r="L16" s="1088"/>
      <c r="M16" s="1072"/>
    </row>
    <row r="17" spans="1:37" s="1397" customFormat="1" ht="18" customHeight="1">
      <c r="A17" s="982" t="s">
        <v>681</v>
      </c>
      <c r="B17" s="302" t="s">
        <v>716</v>
      </c>
      <c r="C17" s="21">
        <f ca="1">ROUND(F17*(F43+INDIRECT("'数据-取费表'!S"&amp;$G$1)),0)</f>
        <v>343754</v>
      </c>
      <c r="D17" s="302" t="s">
        <v>717</v>
      </c>
      <c r="E17" s="302" t="s">
        <v>718</v>
      </c>
      <c r="F17" s="23">
        <f>'数据-取费表'!B35</f>
        <v>200</v>
      </c>
      <c r="G17" s="1396"/>
      <c r="H17" s="982" t="s">
        <v>398</v>
      </c>
      <c r="I17" s="302" t="s">
        <v>719</v>
      </c>
      <c r="J17" s="2316">
        <f ca="1">ROUND(IF(AND(项目基本情况!B11="自然人",项目基本情况!B10="北京市"),J6*M17/(1+'数据-取费表'!C42),J18+J19+J20),0)</f>
        <v>1012872</v>
      </c>
      <c r="K17" s="1345" t="s">
        <v>720</v>
      </c>
      <c r="L17" s="1344" t="s">
        <v>721</v>
      </c>
      <c r="M17" s="2315">
        <f ca="1">IF(项目基本情况!B11="企业","",IF('数据-取费表'!B10="住宅",IF(M6*M7*M8/12/(1+'数据-取费表'!F30)&gt;100000,4%,2.5%),IF(M6*M7*M8/12/(1+'数据-取费表'!F30)&gt;100000,12%,7%)))</f>
        <v>0.12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154689</v>
      </c>
      <c r="D18" s="302" t="s">
        <v>711</v>
      </c>
      <c r="E18" s="302" t="s">
        <v>712</v>
      </c>
      <c r="F18" s="322">
        <f>'数据-取费表'!B36</f>
        <v>0.02</v>
      </c>
      <c r="G18" s="1396"/>
      <c r="H18" s="982" t="s">
        <v>397</v>
      </c>
      <c r="I18" s="302" t="s">
        <v>723</v>
      </c>
      <c r="J18" s="21">
        <f ca="1">ROUND(J6*M18/(1+'数据-取费表'!C42),0)</f>
        <v>216813</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8619631</v>
      </c>
      <c r="D19" s="131" t="s">
        <v>726</v>
      </c>
      <c r="E19" s="1360"/>
      <c r="F19" s="23"/>
      <c r="G19" s="1384"/>
      <c r="H19" s="982" t="s">
        <v>399</v>
      </c>
      <c r="I19" s="302" t="s">
        <v>727</v>
      </c>
      <c r="J19" s="21">
        <f ca="1">IF(K19="按租金收入计税",ROUND(J6*M19/(1+'数据-取费表'!C42),0),ROUND(C29*M19*0.7,0))</f>
        <v>464598</v>
      </c>
      <c r="K19" s="1370" t="s">
        <v>3332</v>
      </c>
      <c r="L19" s="302" t="s">
        <v>712</v>
      </c>
      <c r="M19" s="322">
        <f>IF(K19="按租金收入计税",'数据-取费表'!B51,'数据-取费表'!B50)</f>
        <v>0.12</v>
      </c>
    </row>
    <row r="20" spans="1:37" s="1397" customFormat="1" ht="18" customHeight="1">
      <c r="A20" s="982" t="s">
        <v>402</v>
      </c>
      <c r="B20" s="302" t="s">
        <v>728</v>
      </c>
      <c r="C20" s="21">
        <f ca="1">ROUND(C19*F20,0)</f>
        <v>86196</v>
      </c>
      <c r="D20" s="323" t="s">
        <v>729</v>
      </c>
      <c r="E20" s="302" t="s">
        <v>712</v>
      </c>
      <c r="F20" s="322">
        <f>'数据-取费表'!B37</f>
        <v>0.01</v>
      </c>
      <c r="G20" s="1396"/>
      <c r="H20" s="982" t="s">
        <v>680</v>
      </c>
      <c r="I20" s="155" t="s">
        <v>730</v>
      </c>
      <c r="J20" s="22">
        <f ca="1">ROUND(M20*M21,0)</f>
        <v>331461</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27621.77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56412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269881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8462</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40703</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2951868</v>
      </c>
      <c r="K25" s="1095" t="s">
        <v>753</v>
      </c>
      <c r="L25" s="1096"/>
      <c r="M25" s="1097"/>
    </row>
    <row r="26" spans="1:37" ht="18" customHeight="1">
      <c r="A26" s="982" t="s">
        <v>397</v>
      </c>
      <c r="B26" s="302" t="s">
        <v>754</v>
      </c>
      <c r="C26" s="21">
        <f ca="1">ROUND((C19+C20)*F26,0)</f>
        <v>1305874</v>
      </c>
      <c r="D26" s="323" t="s">
        <v>755</v>
      </c>
      <c r="E26" s="313" t="s">
        <v>756</v>
      </c>
      <c r="F26" s="312">
        <f ca="1">INDIRECT("'数据-取费表'!q"&amp;$G$1)</f>
        <v>0.15</v>
      </c>
      <c r="G26" s="1384"/>
      <c r="H26" s="299" t="s">
        <v>395</v>
      </c>
      <c r="I26" s="300" t="s">
        <v>757</v>
      </c>
      <c r="J26" s="301">
        <f ca="1">IF(J5&lt;&gt;0,ROUND(J25*(1-((1+M28)/(1+M26))^M27)/(M26-M28),0),0)</f>
        <v>46980288</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26.189999999999998</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1.4999999999999999E-2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11282324</v>
      </c>
      <c r="D29" s="1092"/>
      <c r="E29" s="1090"/>
      <c r="F29" s="1093"/>
      <c r="G29" s="1396"/>
      <c r="H29" s="334" t="s">
        <v>396</v>
      </c>
      <c r="I29" s="335" t="s">
        <v>768</v>
      </c>
      <c r="J29" s="336">
        <f ca="1">ROUND(J26/(1+F40)^F41,0)</f>
        <v>24963422</v>
      </c>
      <c r="K29" s="337" t="s">
        <v>769</v>
      </c>
      <c r="L29" s="338"/>
      <c r="M29" s="339">
        <f ca="1">INDIRECT("'数据-取费表'!k"&amp;$G$1)</f>
        <v>1718.77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874188</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781528</v>
      </c>
      <c r="D31" s="1345" t="s">
        <v>720</v>
      </c>
      <c r="E31" s="1344" t="s">
        <v>770</v>
      </c>
      <c r="F31" s="2315">
        <f ca="1">IF(项目基本情况!B11="企业","——",IF(M47="住宅",IF(F6*F7*F8/12/(1+'数据-取费表'!F30)&gt;100000,4%,2.5%),IF(F6*F7*F8/12/(1+'数据-取费表'!F30)&gt;100000,12%,7%)))</f>
        <v>0.12</v>
      </c>
      <c r="G31" s="1384"/>
      <c r="H31" s="2806" t="s">
        <v>2302</v>
      </c>
      <c r="I31" s="1398"/>
      <c r="J31" s="1399"/>
      <c r="K31" s="2473"/>
      <c r="L31" s="2696"/>
      <c r="M31" s="2697"/>
    </row>
    <row r="32" spans="1:37" ht="18" customHeight="1">
      <c r="A32" s="982" t="s">
        <v>397</v>
      </c>
      <c r="B32" s="302" t="s">
        <v>723</v>
      </c>
      <c r="C32" s="21">
        <f ca="1">IF(项目基本情况!B11="自然人","——",ROUND(C6*F32/(1+'数据-取费表'!C42),0))</f>
        <v>143203</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306864</v>
      </c>
      <c r="D33" s="1370" t="s">
        <v>3332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331461</v>
      </c>
      <c r="D34" s="324" t="s">
        <v>731</v>
      </c>
      <c r="E34" s="302" t="s">
        <v>732</v>
      </c>
      <c r="F34" s="325">
        <f>'数据-取费表'!B52</f>
        <v>12</v>
      </c>
      <c r="G34" s="1384"/>
      <c r="H34" s="2695"/>
      <c r="I34" s="1398"/>
      <c r="J34" s="1399"/>
      <c r="K34" s="2700"/>
      <c r="L34" s="2701"/>
      <c r="M34" s="2701"/>
    </row>
    <row r="35" spans="1:18" ht="18" customHeight="1">
      <c r="A35" s="1103"/>
      <c r="B35" s="1101"/>
      <c r="C35" s="26"/>
      <c r="D35" s="327"/>
      <c r="E35" s="302" t="s">
        <v>736</v>
      </c>
      <c r="F35" s="303">
        <f ca="1">INDIRECT("'数据-取费表'!r"&amp;$G$1)</f>
        <v>27621.77</v>
      </c>
      <c r="G35" s="1384"/>
      <c r="H35" s="2695"/>
      <c r="I35" s="1398"/>
      <c r="J35" s="1399"/>
      <c r="K35" s="2699"/>
      <c r="L35" s="2698"/>
      <c r="M35" s="2698"/>
    </row>
    <row r="36" spans="1:18" ht="18" customHeight="1">
      <c r="A36" s="1102" t="s">
        <v>402</v>
      </c>
      <c r="B36" s="302" t="s">
        <v>738</v>
      </c>
      <c r="C36" s="21">
        <f ca="1">ROUND(C29*F36,0)</f>
        <v>56412</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ROUND(C13*F37,0)</f>
        <v>9364</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26884</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1814230</v>
      </c>
      <c r="D39" s="1095" t="s">
        <v>773</v>
      </c>
      <c r="E39" s="1096"/>
      <c r="F39" s="1097"/>
      <c r="G39" s="1384"/>
      <c r="H39" s="2698"/>
      <c r="I39" s="1398"/>
      <c r="J39" s="1399"/>
      <c r="K39" s="2702"/>
      <c r="L39" s="2698"/>
      <c r="M39" s="2698"/>
    </row>
    <row r="40" spans="1:18" ht="18" customHeight="1">
      <c r="A40" s="299" t="s">
        <v>395</v>
      </c>
      <c r="B40" s="300" t="s">
        <v>774</v>
      </c>
      <c r="C40" s="301">
        <f ca="1">ROUND(C39*(1-((1+F42)/(1+F40))^F41)/(F40-F42),0)</f>
        <v>15458575</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11.81</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f ca="1">ROUND(C40/F43,0)</f>
        <v>8994</v>
      </c>
      <c r="D43" s="337" t="s">
        <v>777</v>
      </c>
      <c r="E43" s="338" t="s">
        <v>778</v>
      </c>
      <c r="F43" s="339">
        <f ca="1">INDIRECT("'数据-取费表'!k"&amp;$G$1)</f>
        <v>1718.77</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3348</v>
      </c>
      <c r="B45" s="1400"/>
      <c r="C45" s="1472">
        <f ca="1">ROUND((C68-C40)/10000,4)</f>
        <v>646.40980000000002</v>
      </c>
      <c r="D45" s="3430" t="s">
        <v>3349</v>
      </c>
      <c r="E45" s="1400"/>
      <c r="F45" s="1400"/>
      <c r="O45" s="1403" t="s">
        <v>808</v>
      </c>
      <c r="P45" s="1461"/>
      <c r="Q45" s="1461"/>
      <c r="R45" s="1461"/>
    </row>
    <row r="46" spans="1:18" s="1384" customFormat="1" ht="13.5" thickBot="1">
      <c r="A46" s="1404" t="s">
        <v>809</v>
      </c>
      <c r="C46" s="1405">
        <f ca="1">ROUND(C45,0)</f>
        <v>646</v>
      </c>
      <c r="D46" s="1406" t="str">
        <f>C2</f>
        <v>万元</v>
      </c>
      <c r="I46" s="1407" t="s">
        <v>810</v>
      </c>
      <c r="J46" s="1408"/>
      <c r="K46" s="1409"/>
      <c r="L46" s="1410">
        <f ca="1">IF(M47="住宅",0,IF(L48&gt;J51,L60,J60))</f>
        <v>289026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3515</v>
      </c>
      <c r="K47" s="1416" t="s">
        <v>816</v>
      </c>
      <c r="L47" s="1417">
        <f ca="1">INDIRECT("'数据-取费表'!d"&amp;$G$1)</f>
        <v>50</v>
      </c>
      <c r="M47" s="1380" t="str">
        <f>IF(ISNUMBER(FIND("住宅",C1)),"住宅","非住宅")</f>
        <v>非住宅</v>
      </c>
      <c r="O47" s="1418" t="s">
        <v>403</v>
      </c>
      <c r="P47" s="1419" t="s">
        <v>817</v>
      </c>
      <c r="Q47" s="1420">
        <f ca="1">C40+J29</f>
        <v>40421997</v>
      </c>
      <c r="R47" s="1420" t="s">
        <v>818</v>
      </c>
    </row>
    <row r="48" spans="1:18" s="1384" customFormat="1" ht="28.5" thickBot="1">
      <c r="A48" s="1110" t="s">
        <v>438</v>
      </c>
      <c r="B48" s="300" t="s">
        <v>692</v>
      </c>
      <c r="C48" s="1359">
        <f ca="1">C49+C53+C55</f>
        <v>3391931</v>
      </c>
      <c r="D48" s="1112"/>
      <c r="E48" s="1113"/>
      <c r="F48" s="962"/>
      <c r="G48" s="722"/>
      <c r="H48" s="723"/>
      <c r="I48" s="1421" t="s">
        <v>819</v>
      </c>
      <c r="J48" s="1422" t="s">
        <v>3516</v>
      </c>
      <c r="K48" s="1423" t="s">
        <v>820</v>
      </c>
      <c r="L48" s="1424">
        <f ca="1">INDIRECT("'数据-取费表'!f"&amp;$G$1)</f>
        <v>38</v>
      </c>
      <c r="O48" s="1418" t="s">
        <v>404</v>
      </c>
      <c r="P48" s="1419" t="s">
        <v>821</v>
      </c>
      <c r="Q48" s="1420">
        <f ca="1">J60</f>
        <v>289026</v>
      </c>
      <c r="R48" s="1420" t="s">
        <v>822</v>
      </c>
    </row>
    <row r="49" spans="1:18" s="1384" customFormat="1" ht="13.5" thickBot="1">
      <c r="A49" s="975" t="s">
        <v>439</v>
      </c>
      <c r="B49" s="1371" t="s">
        <v>779</v>
      </c>
      <c r="C49" s="1114">
        <f ca="1">ROUND(F49*F51*F50*(1-F52),0)</f>
        <v>3387696</v>
      </c>
      <c r="D49" s="1055" t="s">
        <v>695</v>
      </c>
      <c r="E49" s="1372" t="s">
        <v>780</v>
      </c>
      <c r="F49" s="1060">
        <f>'数据-取费表'!U29</f>
        <v>6</v>
      </c>
      <c r="G49" s="1425"/>
      <c r="H49" s="723"/>
      <c r="I49" s="1421" t="s">
        <v>823</v>
      </c>
      <c r="J49" s="1426">
        <f>'数据-取费表'!N18</f>
        <v>2015</v>
      </c>
      <c r="K49" s="1423" t="s">
        <v>824</v>
      </c>
      <c r="L49" s="1427"/>
      <c r="O49" s="1428" t="s">
        <v>405</v>
      </c>
      <c r="P49" s="1419" t="s">
        <v>825</v>
      </c>
      <c r="Q49" s="1420">
        <f ca="1">C29</f>
        <v>11282324</v>
      </c>
      <c r="R49" s="1420" t="s">
        <v>818</v>
      </c>
    </row>
    <row r="50" spans="1:18" s="1384" customFormat="1" ht="13.5" thickBot="1">
      <c r="A50" s="976"/>
      <c r="B50" s="979"/>
      <c r="C50" s="980"/>
      <c r="D50" s="953"/>
      <c r="E50" s="1056" t="s">
        <v>697</v>
      </c>
      <c r="F50" s="1057">
        <f ca="1">F7</f>
        <v>1718.77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21153633</v>
      </c>
      <c r="M51" s="1436"/>
      <c r="O51" s="1428" t="s">
        <v>407</v>
      </c>
      <c r="P51" s="1419" t="s">
        <v>831</v>
      </c>
      <c r="Q51" s="1431">
        <f>J52</f>
        <v>7.4999999999999997E-2</v>
      </c>
      <c r="R51" s="1420"/>
    </row>
    <row r="52" spans="1:18" s="1384" customFormat="1" ht="13.5" thickBot="1">
      <c r="A52" s="977"/>
      <c r="B52" s="979"/>
      <c r="C52" s="980"/>
      <c r="D52" s="953"/>
      <c r="E52" s="981" t="s">
        <v>699</v>
      </c>
      <c r="F52" s="1054">
        <f>'数据-取费表'!AB6</f>
        <v>0.1</v>
      </c>
      <c r="I52" s="1437" t="s">
        <v>832</v>
      </c>
      <c r="J52" s="1438">
        <v>7.4999999999999997E-2</v>
      </c>
      <c r="K52" s="1437" t="s">
        <v>833</v>
      </c>
      <c r="L52" s="1438"/>
      <c r="O52" s="1428" t="s">
        <v>408</v>
      </c>
      <c r="P52" s="1419" t="s">
        <v>834</v>
      </c>
      <c r="Q52" s="1420">
        <f ca="1">J53</f>
        <v>38</v>
      </c>
      <c r="R52" s="1420" t="s">
        <v>835</v>
      </c>
    </row>
    <row r="53" spans="1:18" s="1384" customFormat="1" ht="30.75" customHeight="1" thickBot="1">
      <c r="A53" s="1111" t="s">
        <v>440</v>
      </c>
      <c r="B53" s="323" t="s">
        <v>700</v>
      </c>
      <c r="C53" s="316">
        <f ca="1">ROUND(IF(F53="押一",C49/12*F11,IF(F53="押二",C49/12*2*F11,IF(F53="押三",C49/12*3*F11,C54*F11))),0)</f>
        <v>4235</v>
      </c>
      <c r="D53" s="1366" t="s">
        <v>2119</v>
      </c>
      <c r="E53" s="313" t="s">
        <v>701</v>
      </c>
      <c r="F53" s="1116" t="s">
        <v>3514</v>
      </c>
      <c r="I53" s="1439" t="s">
        <v>836</v>
      </c>
      <c r="J53" s="2168">
        <f ca="1">IF(M47="住宅",IF(D1="——",MAX(J51,L48),MAX(J51,L48-'数据-取费表'!B24)),IF(D1="——",MIN(J51,L48),MIN(J51,L48-'数据-取费表'!B24)))</f>
        <v>38</v>
      </c>
      <c r="K53" s="3646" t="s">
        <v>837</v>
      </c>
      <c r="L53" s="3647"/>
      <c r="O53" s="1418" t="s">
        <v>409</v>
      </c>
      <c r="P53" s="1419" t="s">
        <v>838</v>
      </c>
      <c r="Q53" s="1420">
        <f ca="1">Q47+Q48</f>
        <v>40711023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9364329</v>
      </c>
      <c r="D56" s="1447"/>
      <c r="E56" s="1448"/>
      <c r="F56" s="1440"/>
      <c r="I56" s="1449" t="s">
        <v>842</v>
      </c>
      <c r="J56" s="1450" t="s">
        <v>3517</v>
      </c>
      <c r="K56" s="1421" t="s">
        <v>843</v>
      </c>
      <c r="L56" s="1424" t="str">
        <f ca="1">IF(L48&lt;J51,"——",L48-J51)</f>
        <v>——</v>
      </c>
      <c r="O56" s="1418" t="s">
        <v>403</v>
      </c>
      <c r="P56" s="1419" t="s">
        <v>817</v>
      </c>
      <c r="Q56" s="1420">
        <f ca="1">C40+J29</f>
        <v>40421997</v>
      </c>
      <c r="R56" s="1420" t="s">
        <v>818</v>
      </c>
    </row>
    <row r="57" spans="1:18" s="1384" customFormat="1" ht="24.75" thickBot="1">
      <c r="A57" s="1451"/>
      <c r="B57" s="950" t="s">
        <v>767</v>
      </c>
      <c r="C57" s="238">
        <f ca="1">C29</f>
        <v>11282324</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999224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899529</v>
      </c>
      <c r="D59" s="963" t="s">
        <v>720</v>
      </c>
      <c r="E59" s="964" t="s">
        <v>721</v>
      </c>
      <c r="F59" s="2315">
        <f ca="1">IF(项目基本情况!B11="企业","——",IF('数据-取费表'!B10="住宅",IF(F49*F50*F51/12/(1+'数据-取费表'!F30)&gt;100000,4%,2.5%),IF(F49*F50*F51/12/(1+'数据-取费表'!F30)&gt;100000,12%,7%)))</f>
        <v>0.12</v>
      </c>
      <c r="I59" s="1455" t="s">
        <v>851</v>
      </c>
      <c r="J59" s="1456">
        <f ca="1">IF(OR(M47="住宅",J51&lt;L48,J56="是"),"——",ROUND(C29*J58,0))</f>
        <v>4512930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180903</v>
      </c>
      <c r="D60" s="964" t="s">
        <v>724</v>
      </c>
      <c r="E60" s="950" t="s">
        <v>712</v>
      </c>
      <c r="F60" s="331">
        <f t="shared" ref="F60:F66" si="0">F32</f>
        <v>5.6000000000000001E-2</v>
      </c>
      <c r="I60" s="1458" t="s">
        <v>853</v>
      </c>
      <c r="J60" s="1459">
        <f ca="1">IF(OR(M47="住宅",J51&lt;L48,J56="是"),"0",ROUND(J59/(1+J52)^J53,0))</f>
        <v>289026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387165</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331461</v>
      </c>
      <c r="D62" s="965" t="s">
        <v>786</v>
      </c>
      <c r="E62" s="950" t="s">
        <v>787</v>
      </c>
      <c r="F62" s="325">
        <f t="shared" si="0"/>
        <v>12</v>
      </c>
      <c r="I62" s="1462" t="s">
        <v>858</v>
      </c>
      <c r="J62" s="1463" t="s">
        <v>859</v>
      </c>
      <c r="K62" s="1463" t="s">
        <v>860</v>
      </c>
      <c r="L62" s="1463" t="s">
        <v>861</v>
      </c>
      <c r="M62" s="1464" t="s">
        <v>862</v>
      </c>
      <c r="O62" s="1418" t="s">
        <v>409</v>
      </c>
      <c r="P62" s="1419" t="s">
        <v>863</v>
      </c>
      <c r="Q62" s="1420">
        <f ca="1">Q56+Q57</f>
        <v>40421997</v>
      </c>
      <c r="R62" s="1420" t="s">
        <v>410</v>
      </c>
    </row>
    <row r="63" spans="1:18" s="1384" customFormat="1" ht="13.5" thickBot="1">
      <c r="A63" s="326"/>
      <c r="B63" s="956"/>
      <c r="C63" s="26"/>
      <c r="D63" s="966"/>
      <c r="E63" s="950" t="s">
        <v>788</v>
      </c>
      <c r="F63" s="303">
        <f t="shared" ca="1" si="0"/>
        <v>27621.77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56412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9364</v>
      </c>
      <c r="D65" s="964" t="s">
        <v>743</v>
      </c>
      <c r="E65" s="950" t="s">
        <v>744</v>
      </c>
      <c r="F65" s="330">
        <f t="shared" ca="1" si="0"/>
        <v>1E-3</v>
      </c>
      <c r="I65" s="1462" t="s">
        <v>867</v>
      </c>
      <c r="J65" s="1463">
        <v>40</v>
      </c>
      <c r="K65" s="1463">
        <v>30</v>
      </c>
      <c r="L65" s="1463">
        <v>50</v>
      </c>
      <c r="M65" s="1465">
        <v>0.02</v>
      </c>
      <c r="O65" s="1418" t="s">
        <v>403</v>
      </c>
      <c r="P65" s="1419" t="s">
        <v>868</v>
      </c>
      <c r="Q65" s="1420">
        <f ca="1">C40+J29</f>
        <v>40421997</v>
      </c>
      <c r="R65" s="1420" t="s">
        <v>818</v>
      </c>
    </row>
    <row r="66" spans="1:18" s="1384" customFormat="1" ht="16.5" thickBot="1">
      <c r="A66" s="982" t="s">
        <v>793</v>
      </c>
      <c r="B66" s="950" t="s">
        <v>728</v>
      </c>
      <c r="C66" s="21">
        <f ca="1">ROUND(C48*F66,0)</f>
        <v>33919</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2392707</v>
      </c>
      <c r="D67" s="963" t="s">
        <v>753</v>
      </c>
      <c r="E67" s="968"/>
      <c r="F67" s="969"/>
      <c r="O67" s="1428" t="s">
        <v>405</v>
      </c>
      <c r="P67" s="1419" t="s">
        <v>850</v>
      </c>
      <c r="Q67" s="1466">
        <f ca="1">L51</f>
        <v>21153633</v>
      </c>
      <c r="R67" s="1420" t="s">
        <v>870</v>
      </c>
    </row>
    <row r="68" spans="1:18" s="1384" customFormat="1" ht="16.5" thickBot="1">
      <c r="A68" s="947" t="s">
        <v>395</v>
      </c>
      <c r="B68" s="948" t="s">
        <v>774</v>
      </c>
      <c r="C68" s="301">
        <f ca="1">ROUND(C67*(1-((1+F70)/(1+F68))^F69)/(F68-F70),0)</f>
        <v>21922673</v>
      </c>
      <c r="D68" s="965" t="s">
        <v>758</v>
      </c>
      <c r="E68" s="950" t="s">
        <v>759</v>
      </c>
      <c r="F68" s="312">
        <f ca="1">F40</f>
        <v>5.5E-2</v>
      </c>
      <c r="O68" s="1428" t="s">
        <v>406</v>
      </c>
      <c r="P68" s="1467" t="s">
        <v>871</v>
      </c>
      <c r="Q68" s="1420">
        <f ca="1">ROUND(Q69-Q70*Q71,0)</f>
        <v>1158727</v>
      </c>
      <c r="R68" s="1420" t="s">
        <v>414</v>
      </c>
    </row>
    <row r="69" spans="1:18" s="1384" customFormat="1" ht="13.5" thickBot="1">
      <c r="A69" s="951"/>
      <c r="B69" s="952"/>
      <c r="C69" s="306"/>
      <c r="D69" s="970" t="s">
        <v>762</v>
      </c>
      <c r="E69" s="950" t="s">
        <v>763</v>
      </c>
      <c r="F69" s="333">
        <f ca="1">F41</f>
        <v>11.81</v>
      </c>
      <c r="O69" s="1428" t="s">
        <v>411</v>
      </c>
      <c r="P69" s="1467" t="s">
        <v>872</v>
      </c>
      <c r="Q69" s="1420">
        <f ca="1">C39</f>
        <v>1814230</v>
      </c>
      <c r="R69" s="1420" t="s">
        <v>818</v>
      </c>
    </row>
    <row r="70" spans="1:18" s="1384" customFormat="1" ht="13.5" thickBot="1">
      <c r="A70" s="954"/>
      <c r="B70" s="955"/>
      <c r="C70" s="310"/>
      <c r="D70" s="966"/>
      <c r="E70" s="950" t="s">
        <v>766</v>
      </c>
      <c r="F70" s="1054">
        <f>'数据-取费表'!AA6</f>
        <v>1.4999999999999999E-2</v>
      </c>
      <c r="O70" s="1428" t="s">
        <v>412</v>
      </c>
      <c r="P70" s="1467" t="s">
        <v>873</v>
      </c>
      <c r="Q70" s="1420">
        <f ca="1">C13</f>
        <v>9364329</v>
      </c>
      <c r="R70" s="1420" t="s">
        <v>818</v>
      </c>
    </row>
    <row r="71" spans="1:18" s="1384" customFormat="1" ht="13.5" thickBot="1">
      <c r="A71" s="971" t="s">
        <v>396</v>
      </c>
      <c r="B71" s="972" t="s">
        <v>776</v>
      </c>
      <c r="C71" s="336">
        <f ca="1">ROUND(C68/F71,0)</f>
        <v>12755</v>
      </c>
      <c r="D71" s="973" t="s">
        <v>777</v>
      </c>
      <c r="E71" s="974" t="s">
        <v>778</v>
      </c>
      <c r="F71" s="339">
        <f ca="1">F43</f>
        <v>1718.77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655503</v>
      </c>
      <c r="D75" s="1384"/>
      <c r="E75" s="1384"/>
      <c r="F75" s="1384"/>
      <c r="K75" s="1402"/>
      <c r="L75" s="1384"/>
      <c r="O75" s="1418" t="s">
        <v>409</v>
      </c>
      <c r="P75" s="1419" t="s">
        <v>838</v>
      </c>
      <c r="Q75" s="1420">
        <f ca="1">Q65+Q66</f>
        <v>40421997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0.63900000000000001</v>
      </c>
    </row>
    <row r="80" spans="1:18">
      <c r="B80" s="340" t="s">
        <v>800</v>
      </c>
      <c r="C80" s="274">
        <f ca="1">ROUND(C75/C39,3)</f>
        <v>0.36099999999999999</v>
      </c>
    </row>
    <row r="81" spans="2:3">
      <c r="B81" s="270" t="s">
        <v>801</v>
      </c>
      <c r="C81" s="238"/>
    </row>
    <row r="82" spans="2:3">
      <c r="B82" s="273" t="s">
        <v>802</v>
      </c>
      <c r="C82" s="275">
        <f ca="1">1-C83</f>
        <v>0.39400000000000002</v>
      </c>
    </row>
    <row r="83" spans="2:3">
      <c r="B83" s="273" t="s">
        <v>803</v>
      </c>
      <c r="C83" s="274">
        <f ca="1">ROUND(C13/C40,3)</f>
        <v>0.60599999999999998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2431</v>
      </c>
      <c r="B1" s="2830"/>
      <c r="C1" s="2842"/>
      <c r="D1" s="2842"/>
      <c r="E1" s="2831"/>
      <c r="F1" s="2832"/>
      <c r="G1" s="2833"/>
      <c r="J1" s="2836" t="s">
        <v>2310</v>
      </c>
      <c r="K1" s="2837"/>
      <c r="L1" s="2837"/>
      <c r="M1" s="2837"/>
      <c r="N1" s="2837"/>
      <c r="O1" s="2837"/>
      <c r="P1" s="2837"/>
      <c r="Q1" s="2837"/>
      <c r="R1" s="2838"/>
      <c r="S1" s="2839"/>
      <c r="T1" s="2839"/>
      <c r="U1" s="2839"/>
    </row>
    <row r="2" spans="1:22" s="2851" customFormat="1" ht="13.15" customHeight="1">
      <c r="A2" s="1385" t="s">
        <v>2311</v>
      </c>
      <c r="B2" s="2841" t="e">
        <f>IF(D2="——",C40,C40+E2)</f>
        <v>#DIV/0!</v>
      </c>
      <c r="C2" s="2842" t="s">
        <v>2312</v>
      </c>
      <c r="D2" s="3441" t="s">
        <v>3355</v>
      </c>
      <c r="E2" s="3442"/>
      <c r="F2" s="2844"/>
      <c r="G2" s="2845"/>
      <c r="H2" s="2846"/>
      <c r="I2" s="2847"/>
      <c r="J2" s="3651" t="s">
        <v>2313</v>
      </c>
      <c r="K2" s="3652"/>
      <c r="L2" s="2848" t="s">
        <v>2314</v>
      </c>
      <c r="M2" s="2848" t="s">
        <v>2315</v>
      </c>
      <c r="N2" s="2848" t="s">
        <v>2316</v>
      </c>
      <c r="O2" s="2848" t="s">
        <v>2317</v>
      </c>
      <c r="P2" s="2848" t="s">
        <v>2318</v>
      </c>
      <c r="Q2" s="2849" t="s">
        <v>2319</v>
      </c>
      <c r="R2" s="2850" t="s">
        <v>2320</v>
      </c>
      <c r="S2" s="2839"/>
      <c r="T2" s="2839"/>
      <c r="U2" s="2839"/>
      <c r="V2" s="2847"/>
    </row>
    <row r="3" spans="1:22" s="2851" customFormat="1" ht="13.15" customHeight="1">
      <c r="A3" s="2852" t="s">
        <v>2321</v>
      </c>
      <c r="B3" s="2853" t="e">
        <f>ROUND(B2*10000/B4,0)</f>
        <v>#DIV/0!</v>
      </c>
      <c r="C3" s="2842" t="s">
        <v>2322</v>
      </c>
      <c r="D3" s="2842"/>
      <c r="E3" s="2843"/>
      <c r="F3" s="2844"/>
      <c r="G3" s="2845"/>
      <c r="H3" s="2846"/>
      <c r="I3" s="2847"/>
      <c r="J3" s="3653" t="s">
        <v>2323</v>
      </c>
      <c r="K3" s="3654"/>
      <c r="L3" s="2854"/>
      <c r="M3" s="2854"/>
      <c r="N3" s="2854"/>
      <c r="O3" s="2854"/>
      <c r="P3" s="2854"/>
      <c r="Q3" s="2855"/>
      <c r="R3" s="2856">
        <f>SUM(L3:Q3)</f>
        <v>0</v>
      </c>
      <c r="S3" s="2839"/>
      <c r="T3" s="2839"/>
      <c r="U3" s="2839"/>
      <c r="V3" s="2847"/>
    </row>
    <row r="4" spans="1:22" s="2851" customFormat="1" ht="13.15" customHeight="1">
      <c r="A4" s="2857" t="s">
        <v>2324</v>
      </c>
      <c r="B4" s="2858"/>
      <c r="C4" s="2842"/>
      <c r="D4" s="2842"/>
      <c r="E4" s="2843"/>
      <c r="F4" s="2844"/>
      <c r="G4" s="2845"/>
      <c r="H4" s="2846"/>
      <c r="I4" s="2847"/>
      <c r="J4" s="3653" t="s">
        <v>2325</v>
      </c>
      <c r="K4" s="3654"/>
      <c r="L4" s="2859"/>
      <c r="M4" s="2859"/>
      <c r="N4" s="2859"/>
      <c r="O4" s="2859"/>
      <c r="P4" s="2859"/>
      <c r="Q4" s="2860"/>
      <c r="R4" s="2861">
        <f>SUM(L4:Q4)</f>
        <v>0</v>
      </c>
      <c r="S4" s="2839"/>
      <c r="T4" s="2839"/>
      <c r="U4" s="2839"/>
      <c r="V4" s="2847"/>
    </row>
    <row r="5" spans="1:22" s="2851" customFormat="1" ht="13.15" customHeight="1" thickBot="1">
      <c r="A5" s="2862" t="s">
        <v>2326</v>
      </c>
      <c r="B5" s="2863"/>
      <c r="C5" s="2842"/>
      <c r="D5" s="2864"/>
      <c r="E5" s="2844"/>
      <c r="F5" s="2844"/>
      <c r="G5" s="2845"/>
      <c r="H5" s="2846"/>
      <c r="I5" s="2847"/>
      <c r="J5" s="2865" t="s">
        <v>2327</v>
      </c>
      <c r="K5" s="2866"/>
      <c r="L5" s="2866"/>
      <c r="M5" s="2867"/>
      <c r="N5" s="2867"/>
      <c r="O5" s="2867"/>
      <c r="P5" s="2867"/>
      <c r="Q5" s="2867"/>
      <c r="R5" s="2850">
        <f>SUM(R14,R19,R24,R25,R27,R28)</f>
        <v>0</v>
      </c>
      <c r="S5" s="2839"/>
      <c r="T5" s="2839" t="s">
        <v>2328</v>
      </c>
      <c r="U5" s="2839" t="e">
        <f>ROUND(R5*10000/365/R3,1)</f>
        <v>#DIV/0!</v>
      </c>
      <c r="V5" s="2847"/>
    </row>
    <row r="6" spans="1:22" s="2851" customFormat="1" ht="13.15" customHeight="1" thickBot="1">
      <c r="A6" s="3655" t="s">
        <v>2329</v>
      </c>
      <c r="B6" s="3656"/>
      <c r="C6" s="3657"/>
      <c r="D6" s="2868"/>
      <c r="E6" s="2869"/>
      <c r="F6" s="2870"/>
      <c r="G6" s="2871"/>
      <c r="H6" s="2846"/>
      <c r="I6" s="2847"/>
      <c r="J6" s="3658">
        <v>1</v>
      </c>
      <c r="K6" s="3659" t="s">
        <v>2330</v>
      </c>
      <c r="L6" s="2872" t="s">
        <v>2331</v>
      </c>
      <c r="M6" s="2873" t="s">
        <v>2332</v>
      </c>
      <c r="N6" s="2873" t="s">
        <v>2333</v>
      </c>
      <c r="O6" s="2873" t="s">
        <v>2334</v>
      </c>
      <c r="P6" s="2873" t="s">
        <v>2335</v>
      </c>
      <c r="Q6" s="2873" t="s">
        <v>2336</v>
      </c>
      <c r="R6" s="2856" t="s">
        <v>2337</v>
      </c>
      <c r="S6" s="2839"/>
      <c r="T6" s="2839" t="s">
        <v>2338</v>
      </c>
      <c r="U6" s="2839"/>
      <c r="V6" s="2847"/>
    </row>
    <row r="7" spans="1:22" s="2851" customFormat="1" ht="13.15" customHeight="1">
      <c r="A7" s="2874" t="s">
        <v>2339</v>
      </c>
      <c r="B7" s="2875"/>
      <c r="C7" s="2876"/>
      <c r="D7" s="2877">
        <f>SUM(D9,D10,D11,D17,0)</f>
        <v>0</v>
      </c>
      <c r="E7" s="2878" t="e">
        <f>E9+E10+E11+E17</f>
        <v>#DIV/0!</v>
      </c>
      <c r="F7" s="2879"/>
      <c r="G7" s="2880"/>
      <c r="H7" s="2846"/>
      <c r="I7" s="2847"/>
      <c r="J7" s="3658"/>
      <c r="K7" s="3660"/>
      <c r="L7" s="2881" t="s">
        <v>2340</v>
      </c>
      <c r="M7" s="2882"/>
      <c r="N7" s="2858"/>
      <c r="O7" s="2883"/>
      <c r="P7" s="2883"/>
      <c r="Q7" s="2884">
        <v>365</v>
      </c>
      <c r="R7" s="2885">
        <f>ROUND(M7*N7*O7*P7*Q7/10000,0)</f>
        <v>0</v>
      </c>
      <c r="S7" s="2839"/>
      <c r="T7" s="2839" t="s">
        <v>2341</v>
      </c>
      <c r="U7" s="2839"/>
      <c r="V7" s="2847"/>
    </row>
    <row r="8" spans="1:22" s="2851" customFormat="1" ht="13.15" customHeight="1">
      <c r="A8" s="2886" t="s">
        <v>2342</v>
      </c>
      <c r="B8" s="3662" t="s">
        <v>2343</v>
      </c>
      <c r="C8" s="3663"/>
      <c r="D8" s="2887" t="s">
        <v>2344</v>
      </c>
      <c r="E8" s="2888" t="s">
        <v>2345</v>
      </c>
      <c r="F8" s="2889" t="s">
        <v>2346</v>
      </c>
      <c r="G8" s="2890"/>
      <c r="H8" s="2846"/>
      <c r="I8" s="2847"/>
      <c r="J8" s="3658"/>
      <c r="K8" s="3660"/>
      <c r="L8" s="2881" t="s">
        <v>2347</v>
      </c>
      <c r="M8" s="2882"/>
      <c r="N8" s="2858"/>
      <c r="O8" s="2883"/>
      <c r="P8" s="2883"/>
      <c r="Q8" s="2884">
        <v>365</v>
      </c>
      <c r="R8" s="2885">
        <f t="shared" ref="R8:R13" si="0">ROUND(M8*N8*O8*P8*Q8/10000,0)</f>
        <v>0</v>
      </c>
      <c r="S8" s="2839"/>
      <c r="T8" s="2839" t="s">
        <v>2348</v>
      </c>
      <c r="U8" s="2839"/>
      <c r="V8" s="2847"/>
    </row>
    <row r="9" spans="1:22" s="2851" customFormat="1" ht="13.15" customHeight="1">
      <c r="A9" s="2886">
        <v>1</v>
      </c>
      <c r="B9" s="3662" t="s">
        <v>2349</v>
      </c>
      <c r="C9" s="3663"/>
      <c r="D9" s="2887">
        <f>ROUND(D6*E9,0)</f>
        <v>0</v>
      </c>
      <c r="E9" s="2891"/>
      <c r="F9" s="2892" t="s">
        <v>2350</v>
      </c>
      <c r="G9" s="2871"/>
      <c r="H9" s="2846"/>
      <c r="I9" s="2847"/>
      <c r="J9" s="3658"/>
      <c r="K9" s="3660"/>
      <c r="L9" s="2881" t="s">
        <v>2351</v>
      </c>
      <c r="M9" s="2882"/>
      <c r="N9" s="2858"/>
      <c r="O9" s="2883"/>
      <c r="P9" s="2883"/>
      <c r="Q9" s="2884">
        <v>365</v>
      </c>
      <c r="R9" s="2885">
        <f t="shared" si="0"/>
        <v>0</v>
      </c>
      <c r="S9" s="2839"/>
      <c r="T9" s="2839"/>
      <c r="U9" s="2839"/>
      <c r="V9" s="2847"/>
    </row>
    <row r="10" spans="1:22" s="2851" customFormat="1" ht="13.15" customHeight="1">
      <c r="A10" s="2886">
        <v>2</v>
      </c>
      <c r="B10" s="3662" t="s">
        <v>2352</v>
      </c>
      <c r="C10" s="3663"/>
      <c r="D10" s="2887">
        <f>ROUND(D6*E10,0)</f>
        <v>0</v>
      </c>
      <c r="E10" s="2891"/>
      <c r="F10" s="2892" t="s">
        <v>2353</v>
      </c>
      <c r="G10" s="2871"/>
      <c r="H10" s="2846"/>
      <c r="I10" s="2847"/>
      <c r="J10" s="3658"/>
      <c r="K10" s="3660"/>
      <c r="L10" s="2881" t="s">
        <v>2354</v>
      </c>
      <c r="M10" s="2882"/>
      <c r="N10" s="2858"/>
      <c r="O10" s="2883"/>
      <c r="P10" s="2883"/>
      <c r="Q10" s="2884">
        <v>365</v>
      </c>
      <c r="R10" s="2885">
        <f t="shared" si="0"/>
        <v>0</v>
      </c>
      <c r="S10" s="2839"/>
      <c r="T10" s="2839"/>
      <c r="U10" s="2839"/>
      <c r="V10" s="2847"/>
    </row>
    <row r="11" spans="1:22" s="2851" customFormat="1" ht="13.15" customHeight="1">
      <c r="A11" s="2886">
        <v>3</v>
      </c>
      <c r="B11" s="3662" t="s">
        <v>2355</v>
      </c>
      <c r="C11" s="3663"/>
      <c r="D11" s="2887">
        <f>D12+D14+D15+D16</f>
        <v>0</v>
      </c>
      <c r="E11" s="2893" t="e">
        <f>D11/D6</f>
        <v>#DIV/0!</v>
      </c>
      <c r="F11" s="2889"/>
      <c r="G11" s="2890"/>
      <c r="H11" s="2846"/>
      <c r="I11" s="2847"/>
      <c r="J11" s="3658"/>
      <c r="K11" s="3660"/>
      <c r="L11" s="2881" t="s">
        <v>2356</v>
      </c>
      <c r="M11" s="2882"/>
      <c r="N11" s="2858"/>
      <c r="O11" s="2883"/>
      <c r="P11" s="2883"/>
      <c r="Q11" s="2884">
        <v>365</v>
      </c>
      <c r="R11" s="2885">
        <f t="shared" si="0"/>
        <v>0</v>
      </c>
      <c r="S11" s="2839"/>
      <c r="T11" s="2839"/>
      <c r="U11" s="2839"/>
      <c r="V11" s="2847"/>
    </row>
    <row r="12" spans="1:22" s="2851" customFormat="1" ht="13.15" customHeight="1">
      <c r="A12" s="2894" t="s">
        <v>2357</v>
      </c>
      <c r="B12" s="3664" t="s">
        <v>2358</v>
      </c>
      <c r="C12" s="3665"/>
      <c r="D12" s="2895">
        <f>ROUND(D13*1.2%*(1-30%),0)</f>
        <v>0</v>
      </c>
      <c r="E12" s="2896">
        <v>1.2E-2</v>
      </c>
      <c r="F12" s="2889" t="s">
        <v>2359</v>
      </c>
      <c r="G12" s="2890"/>
      <c r="H12" s="2846"/>
      <c r="I12" s="2847"/>
      <c r="J12" s="3658"/>
      <c r="K12" s="3660"/>
      <c r="L12" s="2881" t="s">
        <v>2360</v>
      </c>
      <c r="M12" s="2882"/>
      <c r="N12" s="2858"/>
      <c r="O12" s="2883"/>
      <c r="P12" s="2883"/>
      <c r="Q12" s="2884">
        <v>365</v>
      </c>
      <c r="R12" s="2885">
        <f t="shared" si="0"/>
        <v>0</v>
      </c>
      <c r="S12" s="2839"/>
      <c r="T12" s="2839"/>
      <c r="U12" s="2839"/>
      <c r="V12" s="2847"/>
    </row>
    <row r="13" spans="1:22" s="2851" customFormat="1" ht="13.15" customHeight="1">
      <c r="A13" s="2894"/>
      <c r="B13" s="2897"/>
      <c r="C13" s="2898" t="s">
        <v>2361</v>
      </c>
      <c r="D13" s="2899"/>
      <c r="E13" s="2900"/>
      <c r="F13" s="2889"/>
      <c r="G13" s="2890"/>
      <c r="H13" s="2846"/>
      <c r="I13" s="2847"/>
      <c r="J13" s="3658"/>
      <c r="K13" s="3660"/>
      <c r="L13" s="2881" t="s">
        <v>2362</v>
      </c>
      <c r="M13" s="2882"/>
      <c r="N13" s="2858"/>
      <c r="O13" s="2883"/>
      <c r="P13" s="2883"/>
      <c r="Q13" s="2884">
        <v>365</v>
      </c>
      <c r="R13" s="2885">
        <f t="shared" si="0"/>
        <v>0</v>
      </c>
      <c r="S13" s="2839"/>
      <c r="T13" s="2839"/>
      <c r="U13" s="2839"/>
      <c r="V13" s="2847"/>
    </row>
    <row r="14" spans="1:22" s="2851" customFormat="1" ht="13.15" customHeight="1">
      <c r="A14" s="2894" t="s">
        <v>2363</v>
      </c>
      <c r="B14" s="3664" t="s">
        <v>2364</v>
      </c>
      <c r="C14" s="3665"/>
      <c r="D14" s="2895">
        <f>ROUND(E14*B5/10000,0)</f>
        <v>0</v>
      </c>
      <c r="E14" s="2884"/>
      <c r="F14" s="2889" t="s">
        <v>2365</v>
      </c>
      <c r="G14" s="2890"/>
      <c r="H14" s="2846"/>
      <c r="I14" s="2847"/>
      <c r="J14" s="3658"/>
      <c r="K14" s="3661"/>
      <c r="L14" s="2901" t="s">
        <v>2366</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2367</v>
      </c>
      <c r="B15" s="3664" t="s">
        <v>2368</v>
      </c>
      <c r="C15" s="3665"/>
      <c r="D15" s="2895">
        <f>ROUND(D6*E15,0)</f>
        <v>0</v>
      </c>
      <c r="E15" s="2896">
        <v>5.5E-2</v>
      </c>
      <c r="F15" s="2889" t="s">
        <v>2369</v>
      </c>
      <c r="G15" s="2871"/>
      <c r="H15" s="2846"/>
      <c r="I15" s="2847"/>
      <c r="J15" s="3658">
        <v>2</v>
      </c>
      <c r="K15" s="3659" t="s">
        <v>2370</v>
      </c>
      <c r="L15" s="2881" t="s">
        <v>2371</v>
      </c>
      <c r="M15" s="2882" t="s">
        <v>2372</v>
      </c>
      <c r="N15" s="2882" t="s">
        <v>2373</v>
      </c>
      <c r="O15" s="2883" t="s">
        <v>2374</v>
      </c>
      <c r="P15" s="2883" t="s">
        <v>2336</v>
      </c>
      <c r="Q15" s="2858" t="s">
        <v>2375</v>
      </c>
      <c r="R15" s="2905" t="s">
        <v>2337</v>
      </c>
      <c r="S15" s="2839"/>
      <c r="T15" s="2839"/>
      <c r="U15" s="2839"/>
      <c r="V15" s="2847"/>
    </row>
    <row r="16" spans="1:22" s="2851" customFormat="1" ht="13.15" customHeight="1">
      <c r="A16" s="2894" t="s">
        <v>2376</v>
      </c>
      <c r="B16" s="3664" t="s">
        <v>2377</v>
      </c>
      <c r="C16" s="3665"/>
      <c r="D16" s="2906">
        <f>D6*E16</f>
        <v>0</v>
      </c>
      <c r="E16" s="2907"/>
      <c r="F16" s="2892" t="s">
        <v>2378</v>
      </c>
      <c r="G16" s="2871"/>
      <c r="H16" s="2846"/>
      <c r="I16" s="2847"/>
      <c r="J16" s="3658"/>
      <c r="K16" s="3660"/>
      <c r="L16" s="2881" t="s">
        <v>2379</v>
      </c>
      <c r="M16" s="2882"/>
      <c r="N16" s="2882"/>
      <c r="O16" s="2883"/>
      <c r="P16" s="2884">
        <v>365</v>
      </c>
      <c r="Q16" s="2858"/>
      <c r="R16" s="2905">
        <f>ROUND(M16*N16*O16*P16/10000,0)</f>
        <v>0</v>
      </c>
      <c r="S16" s="2839"/>
      <c r="T16" s="2839"/>
      <c r="U16" s="2839"/>
      <c r="V16" s="2847"/>
    </row>
    <row r="17" spans="1:22" s="2851" customFormat="1" ht="13.15" customHeight="1" thickBot="1">
      <c r="A17" s="2908">
        <v>4</v>
      </c>
      <c r="B17" s="3666" t="s">
        <v>2380</v>
      </c>
      <c r="C17" s="3667"/>
      <c r="D17" s="2909">
        <f>ROUND(D6*E17,0)</f>
        <v>0</v>
      </c>
      <c r="E17" s="2910"/>
      <c r="F17" s="2911" t="s">
        <v>2381</v>
      </c>
      <c r="G17" s="2871"/>
      <c r="H17" s="2846"/>
      <c r="I17" s="2847"/>
      <c r="J17" s="3658"/>
      <c r="K17" s="3660"/>
      <c r="L17" s="2881" t="s">
        <v>2382</v>
      </c>
      <c r="M17" s="2882"/>
      <c r="N17" s="2882"/>
      <c r="O17" s="2883"/>
      <c r="P17" s="2884">
        <v>365</v>
      </c>
      <c r="Q17" s="2858"/>
      <c r="R17" s="2905">
        <f>ROUND(M17*N17*O17*P17/10000,0)</f>
        <v>0</v>
      </c>
      <c r="S17" s="2839"/>
      <c r="T17" s="2839"/>
      <c r="U17" s="2839"/>
      <c r="V17" s="2847"/>
    </row>
    <row r="18" spans="1:22" s="2851" customFormat="1" ht="13.15" customHeight="1" thickBot="1">
      <c r="A18" s="2874" t="s">
        <v>2383</v>
      </c>
      <c r="B18" s="2875"/>
      <c r="C18" s="2875"/>
      <c r="D18" s="2912">
        <f>ROUND(D6*E18,0)</f>
        <v>0</v>
      </c>
      <c r="E18" s="2913"/>
      <c r="F18" s="2914" t="s">
        <v>2384</v>
      </c>
      <c r="G18" s="2871"/>
      <c r="H18" s="2846"/>
      <c r="I18" s="2847"/>
      <c r="J18" s="3658"/>
      <c r="K18" s="3660"/>
      <c r="L18" s="2881" t="s">
        <v>2385</v>
      </c>
      <c r="M18" s="2882"/>
      <c r="N18" s="2882"/>
      <c r="O18" s="2883"/>
      <c r="P18" s="2884">
        <v>365</v>
      </c>
      <c r="Q18" s="2858"/>
      <c r="R18" s="2905">
        <f>ROUND(M18*N18*O18*P18/10000,0)</f>
        <v>0</v>
      </c>
      <c r="S18" s="2839"/>
      <c r="T18" s="2839"/>
      <c r="U18" s="2839"/>
      <c r="V18" s="2847"/>
    </row>
    <row r="19" spans="1:22" s="2851" customFormat="1" ht="13.15" customHeight="1" thickBot="1">
      <c r="A19" s="2915" t="s">
        <v>2386</v>
      </c>
      <c r="B19" s="2869"/>
      <c r="C19" s="2869"/>
      <c r="D19" s="2869"/>
      <c r="E19" s="2869"/>
      <c r="F19" s="2870"/>
      <c r="G19" s="2890"/>
      <c r="H19" s="2846"/>
      <c r="I19" s="2847"/>
      <c r="J19" s="3658"/>
      <c r="K19" s="3661"/>
      <c r="L19" s="2901" t="s">
        <v>2366</v>
      </c>
      <c r="M19" s="2902"/>
      <c r="N19" s="2902">
        <f>SUM(N16:N18)</f>
        <v>0</v>
      </c>
      <c r="O19" s="2903"/>
      <c r="P19" s="2916" t="s">
        <v>2430</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8">
        <v>3</v>
      </c>
      <c r="K20" s="3659" t="s">
        <v>2387</v>
      </c>
      <c r="L20" s="2881" t="s">
        <v>2388</v>
      </c>
      <c r="M20" s="2882" t="s">
        <v>2389</v>
      </c>
      <c r="N20" s="2919" t="s">
        <v>2390</v>
      </c>
      <c r="O20" s="2883" t="s">
        <v>2391</v>
      </c>
      <c r="P20" s="2884" t="s">
        <v>2392</v>
      </c>
      <c r="Q20" s="2858" t="s">
        <v>2393</v>
      </c>
      <c r="R20" s="2905" t="s">
        <v>2394</v>
      </c>
      <c r="S20" s="2920"/>
      <c r="T20" s="2920"/>
      <c r="U20" s="2920"/>
      <c r="V20" s="2847"/>
    </row>
    <row r="21" spans="1:22" s="2851" customFormat="1" ht="13.15" customHeight="1">
      <c r="A21" s="2874"/>
      <c r="B21" s="2875"/>
      <c r="C21" s="2921" t="s">
        <v>2395</v>
      </c>
      <c r="D21" s="2922" t="s">
        <v>2396</v>
      </c>
      <c r="E21" s="2923" t="s">
        <v>2397</v>
      </c>
      <c r="F21" s="2918"/>
      <c r="G21" s="2890"/>
      <c r="H21" s="2846"/>
      <c r="I21" s="2847"/>
      <c r="J21" s="3658"/>
      <c r="K21" s="3660"/>
      <c r="L21" s="2881" t="s">
        <v>2398</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2399</v>
      </c>
      <c r="D22" s="2926" t="s">
        <v>2400</v>
      </c>
      <c r="E22" s="2927" t="s">
        <v>2401</v>
      </c>
      <c r="F22" s="2918"/>
      <c r="G22" s="2928"/>
      <c r="H22" s="2846"/>
      <c r="I22" s="2847"/>
      <c r="J22" s="3658"/>
      <c r="K22" s="3660"/>
      <c r="L22" s="2881" t="s">
        <v>2402</v>
      </c>
      <c r="M22" s="2882"/>
      <c r="N22" s="2882"/>
      <c r="O22" s="2883"/>
      <c r="P22" s="2884">
        <v>365</v>
      </c>
      <c r="Q22" s="2858"/>
      <c r="R22" s="2924">
        <f>ROUND(M22*N22*O22*P22/10000,0)</f>
        <v>0</v>
      </c>
      <c r="S22" s="2920"/>
      <c r="T22" s="2920"/>
      <c r="U22" s="2920"/>
      <c r="V22" s="2847"/>
    </row>
    <row r="23" spans="1:22" s="2851" customFormat="1" ht="13.15" customHeight="1">
      <c r="A23" s="2929">
        <v>1</v>
      </c>
      <c r="B23" s="2930" t="s">
        <v>2403</v>
      </c>
      <c r="C23" s="2931">
        <f>D6</f>
        <v>0</v>
      </c>
      <c r="D23" s="2932">
        <f>C23*(1+D24)</f>
        <v>0</v>
      </c>
      <c r="E23" s="2933">
        <f>D23*(1+E24)</f>
        <v>0</v>
      </c>
      <c r="F23" s="2934"/>
      <c r="G23" s="2935"/>
      <c r="H23" s="2846"/>
      <c r="I23" s="2847"/>
      <c r="J23" s="3658"/>
      <c r="K23" s="3660"/>
      <c r="L23" s="2881" t="s">
        <v>2404</v>
      </c>
      <c r="M23" s="2882"/>
      <c r="N23" s="2882"/>
      <c r="O23" s="2883"/>
      <c r="P23" s="2884">
        <v>365</v>
      </c>
      <c r="Q23" s="2858"/>
      <c r="R23" s="2924">
        <f>ROUND(M23*N23*O23*P23/10000,0)</f>
        <v>0</v>
      </c>
      <c r="S23" s="2839"/>
      <c r="T23" s="2839"/>
      <c r="U23" s="2839"/>
      <c r="V23" s="2847"/>
    </row>
    <row r="24" spans="1:22" s="2851" customFormat="1" ht="13.15" customHeight="1">
      <c r="A24" s="2936"/>
      <c r="B24" s="2937" t="s">
        <v>2405</v>
      </c>
      <c r="C24" s="2938"/>
      <c r="D24" s="2939"/>
      <c r="E24" s="2940"/>
      <c r="F24" s="2941"/>
      <c r="G24" s="2935"/>
      <c r="H24" s="2846"/>
      <c r="I24" s="2847"/>
      <c r="J24" s="3658"/>
      <c r="K24" s="3661"/>
      <c r="L24" s="2901" t="s">
        <v>2366</v>
      </c>
      <c r="M24" s="2902">
        <f>SUM(M21:M23)</f>
        <v>0</v>
      </c>
      <c r="N24" s="2902"/>
      <c r="O24" s="2903"/>
      <c r="P24" s="2916" t="s">
        <v>2430</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2406</v>
      </c>
      <c r="L25" s="2944"/>
      <c r="M25" s="2944"/>
      <c r="N25" s="2944"/>
      <c r="O25" s="2944"/>
      <c r="P25" s="2945"/>
      <c r="Q25" s="2946">
        <v>0</v>
      </c>
      <c r="R25" s="2917">
        <f>ROUND(R14*Q25,0)</f>
        <v>0</v>
      </c>
      <c r="S25" s="2839"/>
      <c r="T25" s="2839"/>
      <c r="U25" s="2839"/>
      <c r="V25" s="2947"/>
    </row>
    <row r="26" spans="1:22" s="2948" customFormat="1" ht="13.15" customHeight="1">
      <c r="A26" s="2929">
        <v>2</v>
      </c>
      <c r="B26" s="2930" t="s">
        <v>2407</v>
      </c>
      <c r="C26" s="2931">
        <f>D7</f>
        <v>0</v>
      </c>
      <c r="D26" s="2932">
        <f>D23*D27</f>
        <v>0</v>
      </c>
      <c r="E26" s="2933">
        <f>E23*E27</f>
        <v>0</v>
      </c>
      <c r="F26" s="2934"/>
      <c r="G26" s="2935"/>
      <c r="H26" s="2846"/>
      <c r="I26" s="2847"/>
      <c r="J26" s="3668">
        <v>5</v>
      </c>
      <c r="K26" s="2949" t="s">
        <v>2408</v>
      </c>
      <c r="L26" s="2950"/>
      <c r="M26" s="2951"/>
      <c r="N26" s="2952" t="s">
        <v>2409</v>
      </c>
      <c r="O26" s="2952" t="s">
        <v>2410</v>
      </c>
      <c r="P26" s="2953" t="s">
        <v>2411</v>
      </c>
      <c r="Q26" s="2953" t="s">
        <v>2412</v>
      </c>
      <c r="R26" s="2856" t="s">
        <v>2337</v>
      </c>
      <c r="S26" s="2954"/>
      <c r="T26" s="2954"/>
      <c r="U26" s="2954"/>
      <c r="V26" s="2947"/>
    </row>
    <row r="27" spans="1:22" s="2851" customFormat="1" ht="13.15" customHeight="1">
      <c r="A27" s="2936"/>
      <c r="B27" s="2937" t="s">
        <v>2413</v>
      </c>
      <c r="C27" s="2955" t="e">
        <f>E7</f>
        <v>#DIV/0!</v>
      </c>
      <c r="D27" s="2939"/>
      <c r="E27" s="2940"/>
      <c r="F27" s="2941"/>
      <c r="G27" s="2935"/>
      <c r="H27" s="2956"/>
      <c r="I27" s="2947"/>
      <c r="J27" s="366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2414</v>
      </c>
      <c r="F28" s="2941"/>
      <c r="G28" s="2928"/>
      <c r="H28" s="2956"/>
      <c r="I28" s="2947"/>
      <c r="J28" s="2962">
        <v>6</v>
      </c>
      <c r="K28" s="2963" t="s">
        <v>2415</v>
      </c>
      <c r="L28" s="2964" t="s">
        <v>2416</v>
      </c>
      <c r="M28" s="2965"/>
      <c r="N28" s="2964" t="s">
        <v>2417</v>
      </c>
      <c r="O28" s="2966"/>
      <c r="P28" s="2964" t="s">
        <v>2418</v>
      </c>
      <c r="Q28" s="2967">
        <v>1.4999999999999999E-2</v>
      </c>
      <c r="R28" s="2968"/>
      <c r="S28" s="2920"/>
      <c r="T28" s="2920"/>
      <c r="U28" s="2920"/>
      <c r="V28" s="2947"/>
    </row>
    <row r="29" spans="1:22" s="2948" customFormat="1" ht="13.15" customHeight="1">
      <c r="A29" s="2929">
        <v>3</v>
      </c>
      <c r="B29" s="2930" t="s">
        <v>2419</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2413</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2420</v>
      </c>
      <c r="K31" s="2837"/>
      <c r="L31" s="2837"/>
      <c r="M31" s="2837"/>
      <c r="N31" s="2837"/>
      <c r="O31" s="2837"/>
      <c r="P31" s="2837"/>
      <c r="Q31" s="2837"/>
      <c r="R31" s="2838"/>
      <c r="S31" s="2920"/>
      <c r="T31" s="2839"/>
      <c r="U31" s="2839"/>
      <c r="V31" s="2947"/>
    </row>
    <row r="32" spans="1:22" s="2948" customFormat="1" ht="13.15" customHeight="1">
      <c r="A32" s="2929">
        <v>4</v>
      </c>
      <c r="B32" s="2930" t="s">
        <v>2421</v>
      </c>
      <c r="C32" s="2931">
        <f>C23-C26-C29</f>
        <v>0</v>
      </c>
      <c r="D32" s="2932">
        <f>D23-D26-D29</f>
        <v>0</v>
      </c>
      <c r="E32" s="2933">
        <f>E23-E26-E29</f>
        <v>0</v>
      </c>
      <c r="F32" s="2934"/>
      <c r="G32" s="2928"/>
      <c r="H32" s="2846"/>
      <c r="I32" s="2847"/>
      <c r="J32" s="3651" t="s">
        <v>2313</v>
      </c>
      <c r="K32" s="3652"/>
      <c r="L32" s="2848" t="s">
        <v>2314</v>
      </c>
      <c r="M32" s="2848" t="s">
        <v>2315</v>
      </c>
      <c r="N32" s="2848" t="s">
        <v>2316</v>
      </c>
      <c r="O32" s="2848" t="s">
        <v>2317</v>
      </c>
      <c r="P32" s="2848" t="s">
        <v>2318</v>
      </c>
      <c r="Q32" s="2849" t="s">
        <v>2319</v>
      </c>
      <c r="R32" s="2971" t="s">
        <v>2320</v>
      </c>
      <c r="S32" s="2920"/>
      <c r="T32" s="2839"/>
      <c r="U32" s="2839"/>
      <c r="V32" s="2947"/>
    </row>
    <row r="33" spans="1:23" s="2851" customFormat="1" ht="13.15" customHeight="1">
      <c r="A33" s="2929"/>
      <c r="B33" s="2930"/>
      <c r="C33" s="2931"/>
      <c r="D33" s="2972"/>
      <c r="E33" s="2973"/>
      <c r="F33" s="2934"/>
      <c r="G33" s="2928"/>
      <c r="H33" s="2956"/>
      <c r="I33" s="2947"/>
      <c r="J33" s="3653" t="s">
        <v>2323</v>
      </c>
      <c r="K33" s="3654"/>
      <c r="L33" s="2854"/>
      <c r="M33" s="2854"/>
      <c r="N33" s="2854"/>
      <c r="O33" s="2854"/>
      <c r="P33" s="2854"/>
      <c r="Q33" s="2855"/>
      <c r="R33" s="2974">
        <f>SUM(L33:Q33)</f>
        <v>0</v>
      </c>
      <c r="S33" s="2920"/>
      <c r="T33" s="2839"/>
      <c r="U33" s="2839"/>
      <c r="V33" s="2847"/>
    </row>
    <row r="34" spans="1:23" s="2851" customFormat="1" ht="13.15" customHeight="1">
      <c r="A34" s="2929">
        <v>5</v>
      </c>
      <c r="B34" s="2930" t="s">
        <v>2422</v>
      </c>
      <c r="C34" s="2975"/>
      <c r="D34" s="2976"/>
      <c r="E34" s="2977"/>
      <c r="F34" s="2934"/>
      <c r="G34" s="2928"/>
      <c r="H34" s="2956"/>
      <c r="I34" s="2947"/>
      <c r="J34" s="3653" t="s">
        <v>2325</v>
      </c>
      <c r="K34" s="365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2423</v>
      </c>
      <c r="C35" s="2979"/>
      <c r="D35" s="2980"/>
      <c r="E35" s="2981"/>
      <c r="F35" s="2934"/>
      <c r="G35" s="2982"/>
      <c r="H35" s="2846"/>
      <c r="I35" s="2947"/>
      <c r="J35" s="2865" t="s">
        <v>2327</v>
      </c>
      <c r="K35" s="2866"/>
      <c r="L35" s="2866"/>
      <c r="M35" s="2867"/>
      <c r="N35" s="2867"/>
      <c r="O35" s="2867"/>
      <c r="P35" s="2867"/>
      <c r="Q35" s="2867"/>
      <c r="R35" s="2983">
        <f>R40+R41+R43</f>
        <v>0</v>
      </c>
      <c r="S35" s="2920"/>
      <c r="T35" s="2839" t="s">
        <v>2328</v>
      </c>
      <c r="U35" s="2839"/>
      <c r="V35" s="2847"/>
    </row>
    <row r="36" spans="1:23" s="2851" customFormat="1" ht="13.15" customHeight="1" thickBot="1">
      <c r="A36" s="2929">
        <v>7</v>
      </c>
      <c r="B36" s="2984" t="s">
        <v>2424</v>
      </c>
      <c r="C36" s="2985"/>
      <c r="D36" s="2986"/>
      <c r="E36" s="2987"/>
      <c r="F36" s="2988">
        <f>C36+D36+E36</f>
        <v>0</v>
      </c>
      <c r="G36" s="2928"/>
      <c r="H36" s="2846"/>
      <c r="I36" s="2847"/>
      <c r="J36" s="3658">
        <v>1</v>
      </c>
      <c r="K36" s="3659" t="s">
        <v>2425</v>
      </c>
      <c r="L36" s="2872"/>
      <c r="M36" s="2873"/>
      <c r="N36" s="2873"/>
      <c r="O36" s="2873"/>
      <c r="P36" s="2873"/>
      <c r="Q36" s="2873"/>
      <c r="R36" s="2856" t="s">
        <v>2337</v>
      </c>
      <c r="S36" s="2920"/>
      <c r="T36" s="2839" t="s">
        <v>2338</v>
      </c>
      <c r="U36" s="2839"/>
      <c r="V36" s="2847"/>
    </row>
    <row r="37" spans="1:23" s="2851" customFormat="1" ht="13.15" customHeight="1">
      <c r="A37" s="2929"/>
      <c r="B37" s="2930"/>
      <c r="C37" s="2930"/>
      <c r="D37" s="2930"/>
      <c r="E37" s="2930"/>
      <c r="F37" s="2934"/>
      <c r="G37" s="2928"/>
      <c r="H37" s="2846"/>
      <c r="I37" s="2847"/>
      <c r="J37" s="3658"/>
      <c r="K37" s="3660"/>
      <c r="L37" s="2881"/>
      <c r="M37" s="2882"/>
      <c r="N37" s="2858"/>
      <c r="O37" s="2883"/>
      <c r="P37" s="2883"/>
      <c r="Q37" s="2884"/>
      <c r="R37" s="2885"/>
      <c r="S37" s="2920"/>
      <c r="T37" s="2839" t="s">
        <v>2341</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8"/>
      <c r="K38" s="3660"/>
      <c r="L38" s="2881"/>
      <c r="M38" s="2882"/>
      <c r="N38" s="2858"/>
      <c r="O38" s="2883"/>
      <c r="P38" s="2883"/>
      <c r="Q38" s="2884"/>
      <c r="R38" s="2885"/>
      <c r="S38" s="2920"/>
      <c r="T38" s="2839" t="s">
        <v>2348</v>
      </c>
      <c r="U38" s="2839"/>
      <c r="V38" s="2847"/>
    </row>
    <row r="39" spans="1:23" s="2851" customFormat="1" ht="13.15" customHeight="1">
      <c r="A39" s="2929">
        <v>9</v>
      </c>
      <c r="B39" s="2930" t="s">
        <v>2426</v>
      </c>
      <c r="C39" s="2895" t="e">
        <f>C38</f>
        <v>#DIV/0!</v>
      </c>
      <c r="D39" s="2930">
        <f>D38/(1+D34)^C36</f>
        <v>0</v>
      </c>
      <c r="E39" s="2930">
        <f>E38/(1+E34)^(C36+D36)</f>
        <v>0</v>
      </c>
      <c r="F39" s="2934"/>
      <c r="G39" s="2989"/>
      <c r="H39" s="2846"/>
      <c r="I39" s="2847"/>
      <c r="J39" s="3658"/>
      <c r="K39" s="3660"/>
      <c r="L39" s="2881"/>
      <c r="M39" s="2882"/>
      <c r="N39" s="2858"/>
      <c r="O39" s="2883"/>
      <c r="P39" s="2883"/>
      <c r="Q39" s="2884"/>
      <c r="R39" s="2885"/>
      <c r="S39" s="2920"/>
      <c r="T39" s="2839"/>
      <c r="U39" s="2839"/>
      <c r="V39" s="2847"/>
    </row>
    <row r="40" spans="1:23" s="2851" customFormat="1" ht="13.15" customHeight="1">
      <c r="A40" s="2990">
        <v>10</v>
      </c>
      <c r="B40" s="2930" t="s">
        <v>2427</v>
      </c>
      <c r="C40" s="2991" t="e">
        <f>C39+D39+E39</f>
        <v>#DIV/0!</v>
      </c>
      <c r="D40" s="2992"/>
      <c r="E40" s="2992"/>
      <c r="F40" s="2993"/>
      <c r="G40" s="2928"/>
      <c r="H40" s="2846"/>
      <c r="I40" s="2847"/>
      <c r="J40" s="3658"/>
      <c r="K40" s="3661"/>
      <c r="L40" s="2901" t="s">
        <v>2366</v>
      </c>
      <c r="M40" s="2902"/>
      <c r="N40" s="2902"/>
      <c r="O40" s="2903"/>
      <c r="P40" s="2903"/>
      <c r="Q40" s="2904"/>
      <c r="R40" s="2850">
        <f>SUM(R37:R39)</f>
        <v>0</v>
      </c>
      <c r="S40" s="2920"/>
      <c r="T40" s="2839"/>
      <c r="U40" s="2839"/>
      <c r="V40" s="2847"/>
    </row>
    <row r="41" spans="1:23" s="2851" customFormat="1" ht="13.15" customHeight="1" thickBot="1">
      <c r="A41" s="2994">
        <v>11</v>
      </c>
      <c r="B41" s="2995" t="s">
        <v>2428</v>
      </c>
      <c r="C41" s="2995" t="e">
        <f>ROUND(C40*10000/B4,0)</f>
        <v>#DIV/0!</v>
      </c>
      <c r="D41" s="2996"/>
      <c r="E41" s="2996"/>
      <c r="F41" s="2997"/>
      <c r="G41" s="2998"/>
      <c r="H41" s="2846"/>
      <c r="I41" s="2847"/>
      <c r="J41" s="2942">
        <v>2</v>
      </c>
      <c r="K41" s="2943" t="s">
        <v>2406</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8">
        <v>3</v>
      </c>
      <c r="K42" s="2949" t="s">
        <v>2408</v>
      </c>
      <c r="L42" s="2950"/>
      <c r="M42" s="2951"/>
      <c r="N42" s="2952" t="s">
        <v>2409</v>
      </c>
      <c r="O42" s="2952" t="s">
        <v>2410</v>
      </c>
      <c r="P42" s="2953" t="s">
        <v>2411</v>
      </c>
      <c r="Q42" s="2953" t="s">
        <v>2412</v>
      </c>
      <c r="R42" s="2856" t="s">
        <v>2337</v>
      </c>
      <c r="S42" s="2954"/>
      <c r="T42" s="2954"/>
      <c r="U42" s="2839"/>
      <c r="V42" s="2847"/>
    </row>
    <row r="43" spans="1:23" ht="13.15" customHeight="1">
      <c r="A43" s="2851"/>
      <c r="B43" s="2851"/>
      <c r="C43" s="2851"/>
      <c r="D43" s="2851"/>
      <c r="E43" s="2851"/>
      <c r="F43" s="2851"/>
      <c r="I43" s="2834"/>
      <c r="J43" s="366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2415</v>
      </c>
      <c r="L44" s="3002" t="s">
        <v>2416</v>
      </c>
      <c r="M44" s="2965"/>
      <c r="N44" s="3002" t="s">
        <v>2417</v>
      </c>
      <c r="O44" s="2965"/>
      <c r="P44" s="3002" t="s">
        <v>2418</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4071.1023</v>
      </c>
      <c r="C2" s="1872" t="s">
        <v>1651</v>
      </c>
      <c r="D2" s="1873" t="s">
        <v>1652</v>
      </c>
      <c r="E2" s="2605">
        <f>SUM(E6:E13)</f>
        <v>1718.77</v>
      </c>
      <c r="F2" s="2705"/>
      <c r="G2" s="1489"/>
      <c r="H2" s="1489"/>
      <c r="I2" s="1489"/>
      <c r="J2" s="1489"/>
      <c r="K2" s="1489"/>
      <c r="L2" s="1489"/>
      <c r="M2" s="1489"/>
      <c r="N2" s="1489"/>
      <c r="O2" s="1489"/>
      <c r="P2" s="1489"/>
      <c r="Q2" s="1489"/>
      <c r="R2" s="1489"/>
      <c r="S2" s="1489"/>
    </row>
    <row r="3" spans="1:22" ht="15.75">
      <c r="A3" s="1870" t="s">
        <v>686</v>
      </c>
      <c r="B3" s="2599">
        <f ca="1">ROUND(B2*10000/E2,0)</f>
        <v>23686</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70" t="s">
        <v>1654</v>
      </c>
      <c r="C5" s="3671"/>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4071.1023</v>
      </c>
      <c r="C6" s="1872" t="s">
        <v>1651</v>
      </c>
      <c r="D6" s="2707"/>
      <c r="E6" s="2604">
        <f>IF(OR(A6=0,F6="否"),0,'数据-取费表'!K6+'数据-取费表'!S6)</f>
        <v>1718.77</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1718.77</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0" t="s">
        <v>1667</v>
      </c>
      <c r="D4" s="3691"/>
      <c r="E4" s="3692" t="s">
        <v>1668</v>
      </c>
      <c r="F4" s="3693"/>
      <c r="G4" s="3690" t="s">
        <v>1669</v>
      </c>
      <c r="H4" s="3691"/>
      <c r="I4" s="3690" t="s">
        <v>1670</v>
      </c>
      <c r="J4" s="3691"/>
      <c r="K4" s="1889" t="s">
        <v>1671</v>
      </c>
      <c r="L4" s="2713"/>
      <c r="M4" s="2714"/>
      <c r="N4" s="2714"/>
      <c r="O4" s="2714"/>
      <c r="P4" s="3694" t="s">
        <v>1672</v>
      </c>
      <c r="Q4" s="3695"/>
      <c r="R4" s="3677" t="s">
        <v>1668</v>
      </c>
      <c r="S4" s="3678"/>
      <c r="T4" s="3677" t="s">
        <v>1669</v>
      </c>
      <c r="U4" s="3678"/>
      <c r="V4" s="3702" t="s">
        <v>1670</v>
      </c>
      <c r="W4" s="3702"/>
      <c r="X4" s="1355"/>
      <c r="Y4" s="3677" t="s">
        <v>1672</v>
      </c>
      <c r="Z4" s="3678"/>
      <c r="AA4" s="3672" t="s">
        <v>1668</v>
      </c>
      <c r="AB4" s="3672" t="s">
        <v>1669</v>
      </c>
      <c r="AC4" s="3672" t="s">
        <v>1670</v>
      </c>
    </row>
    <row r="5" spans="1:29" ht="15">
      <c r="A5" s="358"/>
      <c r="B5" s="359"/>
      <c r="C5" s="3683" t="s">
        <v>1673</v>
      </c>
      <c r="D5" s="3684"/>
      <c r="E5" s="3681" t="s">
        <v>1674</v>
      </c>
      <c r="F5" s="3682"/>
      <c r="G5" s="3683" t="s">
        <v>1675</v>
      </c>
      <c r="H5" s="3684"/>
      <c r="I5" s="3683" t="s">
        <v>1676</v>
      </c>
      <c r="J5" s="3684"/>
      <c r="K5" s="1890"/>
      <c r="L5" s="2713"/>
      <c r="M5" s="2714"/>
      <c r="N5" s="2714"/>
      <c r="O5" s="2714"/>
      <c r="P5" s="3696"/>
      <c r="Q5" s="3697"/>
      <c r="R5" s="3679"/>
      <c r="S5" s="3680"/>
      <c r="T5" s="3679"/>
      <c r="U5" s="3680"/>
      <c r="V5" s="3702"/>
      <c r="W5" s="3702"/>
      <c r="X5" s="1355"/>
      <c r="Y5" s="3679"/>
      <c r="Z5" s="3680"/>
      <c r="AA5" s="3673"/>
      <c r="AB5" s="3673"/>
      <c r="AC5" s="3673"/>
    </row>
    <row r="6" spans="1:29" ht="15.75" thickBot="1">
      <c r="A6" s="360"/>
      <c r="B6" s="361"/>
      <c r="C6" s="3685" t="s">
        <v>1677</v>
      </c>
      <c r="D6" s="3686"/>
      <c r="E6" s="3687" t="s">
        <v>1677</v>
      </c>
      <c r="F6" s="3688"/>
      <c r="G6" s="3685" t="s">
        <v>1677</v>
      </c>
      <c r="H6" s="3686"/>
      <c r="I6" s="3685" t="s">
        <v>1677</v>
      </c>
      <c r="J6" s="3686"/>
      <c r="K6" s="1890" t="s">
        <v>1678</v>
      </c>
      <c r="L6" s="2713"/>
      <c r="M6" s="2714"/>
      <c r="N6" s="2714"/>
      <c r="O6" s="2714"/>
      <c r="P6" s="3698"/>
      <c r="Q6" s="3699"/>
      <c r="R6" s="3679"/>
      <c r="S6" s="3680"/>
      <c r="T6" s="3700"/>
      <c r="U6" s="3701"/>
      <c r="V6" s="3702"/>
      <c r="W6" s="3702"/>
      <c r="X6" s="1355"/>
      <c r="Y6" s="3700"/>
      <c r="Z6" s="3701"/>
      <c r="AA6" s="3674"/>
      <c r="AB6" s="3674"/>
      <c r="AC6" s="3674"/>
    </row>
    <row r="7" spans="1:29" s="108" customFormat="1" ht="15.75" thickBot="1">
      <c r="A7" s="362" t="s">
        <v>1679</v>
      </c>
      <c r="B7" s="363"/>
      <c r="C7" s="364">
        <f>'数据-取费表'!B2</f>
        <v>45743</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75" t="s">
        <v>1680</v>
      </c>
      <c r="Q7" s="3703"/>
      <c r="R7" s="701" t="s">
        <v>20</v>
      </c>
      <c r="S7" s="702">
        <f t="shared" ref="S7:S15" si="0">F7</f>
        <v>0</v>
      </c>
      <c r="T7" s="701" t="s">
        <v>20</v>
      </c>
      <c r="U7" s="702">
        <f t="shared" ref="U7:U15" si="1">H7</f>
        <v>0</v>
      </c>
      <c r="V7" s="701" t="s">
        <v>20</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75" t="s">
        <v>1683</v>
      </c>
      <c r="Q8" s="3676"/>
      <c r="R8" s="701" t="s">
        <v>20</v>
      </c>
      <c r="S8" s="702">
        <f t="shared" si="0"/>
        <v>100</v>
      </c>
      <c r="T8" s="701" t="s">
        <v>20</v>
      </c>
      <c r="U8" s="702">
        <f t="shared" si="1"/>
        <v>100</v>
      </c>
      <c r="V8" s="701" t="s">
        <v>20</v>
      </c>
      <c r="W8" s="702">
        <f t="shared" si="2"/>
        <v>100</v>
      </c>
      <c r="X8" s="703"/>
      <c r="Y8" s="3675" t="s">
        <v>1683</v>
      </c>
      <c r="Z8" s="367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89"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9"/>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9"/>
      <c r="Q11" s="1343" t="str">
        <f t="shared" si="6"/>
        <v>容积率</v>
      </c>
      <c r="R11" s="701" t="s">
        <v>18</v>
      </c>
      <c r="S11" s="702" t="e">
        <f t="shared" si="0"/>
        <v>#N/A</v>
      </c>
      <c r="T11" s="701" t="s">
        <v>18</v>
      </c>
      <c r="U11" s="702" t="e">
        <f t="shared" si="1"/>
        <v>#N/A</v>
      </c>
      <c r="V11" s="701" t="s">
        <v>18</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9"/>
      <c r="Q12" s="1343">
        <f t="shared" si="6"/>
        <v>111</v>
      </c>
      <c r="R12" s="701" t="s">
        <v>18</v>
      </c>
      <c r="S12" s="702">
        <f t="shared" si="0"/>
        <v>100</v>
      </c>
      <c r="T12" s="701" t="s">
        <v>18</v>
      </c>
      <c r="U12" s="702">
        <f t="shared" si="1"/>
        <v>100</v>
      </c>
      <c r="V12" s="701" t="s">
        <v>18</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9"/>
      <c r="Q13" s="1343">
        <f t="shared" si="6"/>
        <v>111</v>
      </c>
      <c r="R13" s="701" t="s">
        <v>18</v>
      </c>
      <c r="S13" s="702">
        <f t="shared" si="0"/>
        <v>100</v>
      </c>
      <c r="T13" s="701" t="s">
        <v>18</v>
      </c>
      <c r="U13" s="702">
        <f t="shared" si="1"/>
        <v>100</v>
      </c>
      <c r="V13" s="701" t="s">
        <v>18</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9"/>
      <c r="Q14" s="1343">
        <f t="shared" si="6"/>
        <v>111</v>
      </c>
      <c r="R14" s="701" t="s">
        <v>18</v>
      </c>
      <c r="S14" s="702">
        <f t="shared" si="0"/>
        <v>100</v>
      </c>
      <c r="T14" s="701" t="s">
        <v>18</v>
      </c>
      <c r="U14" s="702">
        <f t="shared" si="1"/>
        <v>100</v>
      </c>
      <c r="V14" s="701" t="s">
        <v>18</v>
      </c>
      <c r="W14" s="702">
        <f t="shared" si="2"/>
        <v>100</v>
      </c>
      <c r="X14" s="703"/>
      <c r="Y14" s="3619"/>
      <c r="Z14" s="52">
        <f t="shared" si="7"/>
        <v>111</v>
      </c>
      <c r="AA14" s="704">
        <f t="shared" si="3"/>
        <v>1</v>
      </c>
      <c r="AB14" s="704">
        <f t="shared" si="4"/>
        <v>1</v>
      </c>
      <c r="AC14" s="704">
        <f t="shared" si="5"/>
        <v>1</v>
      </c>
    </row>
    <row r="15" spans="1:29" ht="85.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6" t="s">
        <v>1691</v>
      </c>
      <c r="Q15" s="1352" t="str">
        <f t="shared" si="6"/>
        <v>居住社区成熟度</v>
      </c>
      <c r="R15" s="705" t="s">
        <v>18</v>
      </c>
      <c r="S15" s="706">
        <f t="shared" si="0"/>
        <v>100</v>
      </c>
      <c r="T15" s="705" t="s">
        <v>18</v>
      </c>
      <c r="U15" s="706">
        <f t="shared" si="1"/>
        <v>100</v>
      </c>
      <c r="V15" s="705" t="s">
        <v>18</v>
      </c>
      <c r="W15" s="706">
        <f t="shared" si="2"/>
        <v>100</v>
      </c>
      <c r="X15" s="1355"/>
      <c r="Y15" s="370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17"/>
      <c r="Q16" s="1352"/>
      <c r="R16" s="705"/>
      <c r="S16" s="706"/>
      <c r="T16" s="705"/>
      <c r="U16" s="706"/>
      <c r="V16" s="705"/>
      <c r="W16" s="706"/>
      <c r="X16" s="1355"/>
      <c r="Y16" s="3710"/>
      <c r="Z16" s="1356"/>
      <c r="AA16" s="1353">
        <v>1</v>
      </c>
      <c r="AB16" s="1353">
        <v>1</v>
      </c>
      <c r="AC16" s="1353">
        <v>1</v>
      </c>
    </row>
    <row r="17" spans="1:29" ht="71.2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7"/>
      <c r="Q17" s="1352" t="str">
        <f>B17</f>
        <v>交通便捷度</v>
      </c>
      <c r="R17" s="705" t="s">
        <v>18</v>
      </c>
      <c r="S17" s="706">
        <f>F17</f>
        <v>100</v>
      </c>
      <c r="T17" s="705" t="s">
        <v>18</v>
      </c>
      <c r="U17" s="706">
        <f>H17</f>
        <v>100</v>
      </c>
      <c r="V17" s="705" t="s">
        <v>18</v>
      </c>
      <c r="W17" s="706">
        <f>J17</f>
        <v>100</v>
      </c>
      <c r="X17" s="1355"/>
      <c r="Y17" s="371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17"/>
      <c r="Q18" s="1352"/>
      <c r="R18" s="705"/>
      <c r="S18" s="706"/>
      <c r="T18" s="705"/>
      <c r="U18" s="706"/>
      <c r="V18" s="705"/>
      <c r="W18" s="706"/>
      <c r="X18" s="1355"/>
      <c r="Y18" s="3710"/>
      <c r="Z18" s="1356"/>
      <c r="AA18" s="1353">
        <v>1</v>
      </c>
      <c r="AB18" s="1353">
        <v>1</v>
      </c>
      <c r="AC18" s="1353">
        <v>1</v>
      </c>
    </row>
    <row r="19" spans="1:29" ht="42.7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7"/>
      <c r="Q19" s="1352" t="str">
        <f>B19</f>
        <v>公共配套设施</v>
      </c>
      <c r="R19" s="705" t="s">
        <v>18</v>
      </c>
      <c r="S19" s="706">
        <f>F19</f>
        <v>100</v>
      </c>
      <c r="T19" s="705" t="s">
        <v>18</v>
      </c>
      <c r="U19" s="706">
        <f>H19</f>
        <v>100</v>
      </c>
      <c r="V19" s="705" t="s">
        <v>18</v>
      </c>
      <c r="W19" s="706">
        <f>J19</f>
        <v>100</v>
      </c>
      <c r="X19" s="1355"/>
      <c r="Y19" s="371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17"/>
      <c r="Q20" s="1352"/>
      <c r="R20" s="705"/>
      <c r="S20" s="706"/>
      <c r="T20" s="705"/>
      <c r="U20" s="706"/>
      <c r="V20" s="705"/>
      <c r="W20" s="706"/>
      <c r="X20" s="1355"/>
      <c r="Y20" s="3710"/>
      <c r="Z20" s="1356"/>
      <c r="AA20" s="1353">
        <v>1</v>
      </c>
      <c r="AB20" s="1353">
        <v>1</v>
      </c>
      <c r="AC20" s="1353">
        <v>1</v>
      </c>
    </row>
    <row r="21" spans="1:29" ht="28.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7"/>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17"/>
      <c r="Q22" s="1352"/>
      <c r="R22" s="705"/>
      <c r="S22" s="706"/>
      <c r="T22" s="705"/>
      <c r="U22" s="706"/>
      <c r="V22" s="705"/>
      <c r="W22" s="706"/>
      <c r="X22" s="1355"/>
      <c r="Y22" s="3710"/>
      <c r="Z22" s="1356"/>
      <c r="AA22" s="1353">
        <v>1</v>
      </c>
      <c r="AB22" s="1353">
        <v>1</v>
      </c>
      <c r="AC22" s="1353">
        <v>1</v>
      </c>
    </row>
    <row r="23" spans="1:29" ht="42.7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7"/>
      <c r="Q23" s="1352" t="str">
        <f>B23</f>
        <v>自然及人文环境</v>
      </c>
      <c r="R23" s="705" t="s">
        <v>18</v>
      </c>
      <c r="S23" s="706">
        <f>F23</f>
        <v>100</v>
      </c>
      <c r="T23" s="705" t="s">
        <v>18</v>
      </c>
      <c r="U23" s="706">
        <f>H23</f>
        <v>100</v>
      </c>
      <c r="V23" s="705" t="s">
        <v>18</v>
      </c>
      <c r="W23" s="706">
        <f>J23</f>
        <v>100</v>
      </c>
      <c r="X23" s="1355"/>
      <c r="Y23" s="371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17"/>
      <c r="Q24" s="1352"/>
      <c r="R24" s="705"/>
      <c r="S24" s="706"/>
      <c r="T24" s="705"/>
      <c r="U24" s="706"/>
      <c r="V24" s="705"/>
      <c r="W24" s="706"/>
      <c r="X24" s="1355"/>
      <c r="Y24" s="371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1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17"/>
      <c r="Q26" s="1352" t="str">
        <f t="shared" si="11"/>
        <v>朝向</v>
      </c>
      <c r="R26" s="705" t="s">
        <v>18</v>
      </c>
      <c r="S26" s="706">
        <f t="shared" si="12"/>
        <v>100</v>
      </c>
      <c r="T26" s="705" t="s">
        <v>18</v>
      </c>
      <c r="U26" s="706">
        <f t="shared" si="13"/>
        <v>100</v>
      </c>
      <c r="V26" s="705" t="s">
        <v>18</v>
      </c>
      <c r="W26" s="706">
        <f t="shared" si="14"/>
        <v>100</v>
      </c>
      <c r="X26" s="1355"/>
      <c r="Y26" s="371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17"/>
      <c r="Q27" s="1343">
        <f t="shared" si="11"/>
        <v>111</v>
      </c>
      <c r="R27" s="701" t="s">
        <v>18</v>
      </c>
      <c r="S27" s="702">
        <f t="shared" si="12"/>
        <v>100</v>
      </c>
      <c r="T27" s="701" t="s">
        <v>18</v>
      </c>
      <c r="U27" s="702">
        <f t="shared" si="13"/>
        <v>100</v>
      </c>
      <c r="V27" s="701" t="s">
        <v>18</v>
      </c>
      <c r="W27" s="702">
        <f t="shared" si="14"/>
        <v>100</v>
      </c>
      <c r="X27" s="703"/>
      <c r="Y27" s="371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17"/>
      <c r="Q28" s="1352">
        <f t="shared" si="11"/>
        <v>111</v>
      </c>
      <c r="R28" s="705" t="s">
        <v>18</v>
      </c>
      <c r="S28" s="706">
        <f t="shared" si="12"/>
        <v>100</v>
      </c>
      <c r="T28" s="705" t="s">
        <v>18</v>
      </c>
      <c r="U28" s="706">
        <f t="shared" si="13"/>
        <v>100</v>
      </c>
      <c r="V28" s="705" t="s">
        <v>18</v>
      </c>
      <c r="W28" s="706">
        <f t="shared" si="14"/>
        <v>100</v>
      </c>
      <c r="X28" s="1355"/>
      <c r="Y28" s="371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17"/>
      <c r="Q29" s="1352">
        <f t="shared" si="11"/>
        <v>111</v>
      </c>
      <c r="R29" s="705" t="s">
        <v>18</v>
      </c>
      <c r="S29" s="706">
        <f t="shared" si="12"/>
        <v>100</v>
      </c>
      <c r="T29" s="705" t="s">
        <v>18</v>
      </c>
      <c r="U29" s="706">
        <f t="shared" si="13"/>
        <v>100</v>
      </c>
      <c r="V29" s="705" t="s">
        <v>18</v>
      </c>
      <c r="W29" s="706">
        <f t="shared" si="14"/>
        <v>100</v>
      </c>
      <c r="X29" s="1355"/>
      <c r="Y29" s="371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17"/>
      <c r="Q30" s="1352">
        <f t="shared" si="11"/>
        <v>111</v>
      </c>
      <c r="R30" s="705" t="s">
        <v>18</v>
      </c>
      <c r="S30" s="706">
        <f t="shared" si="12"/>
        <v>100</v>
      </c>
      <c r="T30" s="705" t="s">
        <v>18</v>
      </c>
      <c r="U30" s="706">
        <f t="shared" si="13"/>
        <v>100</v>
      </c>
      <c r="V30" s="705" t="s">
        <v>18</v>
      </c>
      <c r="W30" s="706">
        <f t="shared" si="14"/>
        <v>100</v>
      </c>
      <c r="X30" s="1355"/>
      <c r="Y30" s="371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17"/>
      <c r="Q31" s="1352">
        <f t="shared" si="11"/>
        <v>111</v>
      </c>
      <c r="R31" s="705" t="s">
        <v>18</v>
      </c>
      <c r="S31" s="706">
        <f t="shared" si="12"/>
        <v>100</v>
      </c>
      <c r="T31" s="705" t="s">
        <v>18</v>
      </c>
      <c r="U31" s="706">
        <f t="shared" si="13"/>
        <v>100</v>
      </c>
      <c r="V31" s="705" t="s">
        <v>18</v>
      </c>
      <c r="W31" s="706">
        <f t="shared" si="14"/>
        <v>100</v>
      </c>
      <c r="X31" s="1355"/>
      <c r="Y31" s="371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11" t="s">
        <v>1696</v>
      </c>
      <c r="Q32" s="1352" t="str">
        <f t="shared" si="11"/>
        <v>建筑类型</v>
      </c>
      <c r="R32" s="705" t="s">
        <v>18</v>
      </c>
      <c r="S32" s="706">
        <f t="shared" si="12"/>
        <v>100</v>
      </c>
      <c r="T32" s="705" t="s">
        <v>18</v>
      </c>
      <c r="U32" s="706">
        <f t="shared" si="13"/>
        <v>100</v>
      </c>
      <c r="V32" s="705" t="s">
        <v>18</v>
      </c>
      <c r="W32" s="706">
        <f t="shared" si="14"/>
        <v>100</v>
      </c>
      <c r="X32" s="1355"/>
      <c r="Y32" s="371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12"/>
      <c r="Q33" s="707" t="str">
        <f t="shared" si="11"/>
        <v>项目建筑规模</v>
      </c>
      <c r="R33" s="708" t="s">
        <v>18</v>
      </c>
      <c r="S33" s="709" t="e">
        <f t="shared" si="12"/>
        <v>#N/A</v>
      </c>
      <c r="T33" s="708" t="s">
        <v>18</v>
      </c>
      <c r="U33" s="709" t="e">
        <f t="shared" si="13"/>
        <v>#N/A</v>
      </c>
      <c r="V33" s="708" t="s">
        <v>18</v>
      </c>
      <c r="W33" s="709" t="e">
        <f t="shared" si="14"/>
        <v>#N/A</v>
      </c>
      <c r="X33" s="710"/>
      <c r="Y33" s="371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12"/>
      <c r="Q34" s="1352" t="str">
        <f t="shared" si="11"/>
        <v>建筑结构</v>
      </c>
      <c r="R34" s="705" t="s">
        <v>18</v>
      </c>
      <c r="S34" s="706">
        <f t="shared" si="12"/>
        <v>100</v>
      </c>
      <c r="T34" s="705" t="s">
        <v>18</v>
      </c>
      <c r="U34" s="706">
        <f t="shared" si="13"/>
        <v>100</v>
      </c>
      <c r="V34" s="705" t="s">
        <v>18</v>
      </c>
      <c r="W34" s="706">
        <f t="shared" si="14"/>
        <v>100</v>
      </c>
      <c r="X34" s="1355"/>
      <c r="Y34" s="371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12"/>
      <c r="Q35" s="1352" t="str">
        <f t="shared" si="11"/>
        <v>建筑品质</v>
      </c>
      <c r="R35" s="705" t="s">
        <v>18</v>
      </c>
      <c r="S35" s="706">
        <f t="shared" si="12"/>
        <v>100</v>
      </c>
      <c r="T35" s="705" t="s">
        <v>18</v>
      </c>
      <c r="U35" s="706">
        <f t="shared" si="13"/>
        <v>100</v>
      </c>
      <c r="V35" s="705" t="s">
        <v>18</v>
      </c>
      <c r="W35" s="706">
        <f t="shared" si="14"/>
        <v>100</v>
      </c>
      <c r="X35" s="1355"/>
      <c r="Y35" s="371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12"/>
      <c r="Q36" s="1352" t="str">
        <f t="shared" si="11"/>
        <v>公共部分装修</v>
      </c>
      <c r="R36" s="705" t="s">
        <v>18</v>
      </c>
      <c r="S36" s="706">
        <f t="shared" si="12"/>
        <v>100</v>
      </c>
      <c r="T36" s="705" t="s">
        <v>18</v>
      </c>
      <c r="U36" s="706">
        <f t="shared" si="13"/>
        <v>100</v>
      </c>
      <c r="V36" s="705" t="s">
        <v>18</v>
      </c>
      <c r="W36" s="706">
        <f t="shared" si="14"/>
        <v>100</v>
      </c>
      <c r="X36" s="1355"/>
      <c r="Y36" s="371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12"/>
      <c r="Q37" s="1343" t="str">
        <f t="shared" si="11"/>
        <v>成新度</v>
      </c>
      <c r="R37" s="701" t="s">
        <v>18</v>
      </c>
      <c r="S37" s="702" t="e">
        <f t="shared" si="12"/>
        <v>#N/A</v>
      </c>
      <c r="T37" s="701" t="s">
        <v>18</v>
      </c>
      <c r="U37" s="702" t="e">
        <f t="shared" si="13"/>
        <v>#N/A</v>
      </c>
      <c r="V37" s="701" t="s">
        <v>18</v>
      </c>
      <c r="W37" s="702" t="e">
        <f t="shared" si="14"/>
        <v>#N/A</v>
      </c>
      <c r="X37" s="703"/>
      <c r="Y37" s="371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12" t="s">
        <v>1696</v>
      </c>
      <c r="Q38" s="1352" t="str">
        <f t="shared" si="11"/>
        <v>物业管理</v>
      </c>
      <c r="R38" s="705" t="s">
        <v>18</v>
      </c>
      <c r="S38" s="706">
        <f t="shared" si="12"/>
        <v>100</v>
      </c>
      <c r="T38" s="705" t="s">
        <v>18</v>
      </c>
      <c r="U38" s="706">
        <f t="shared" si="13"/>
        <v>100</v>
      </c>
      <c r="V38" s="705" t="s">
        <v>18</v>
      </c>
      <c r="W38" s="706">
        <f t="shared" si="14"/>
        <v>100</v>
      </c>
      <c r="X38" s="1355"/>
      <c r="Y38" s="371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12"/>
      <c r="Q39" s="1352" t="str">
        <f t="shared" si="11"/>
        <v>市政基础设施</v>
      </c>
      <c r="R39" s="705" t="s">
        <v>18</v>
      </c>
      <c r="S39" s="706">
        <f t="shared" si="12"/>
        <v>100</v>
      </c>
      <c r="T39" s="705" t="s">
        <v>18</v>
      </c>
      <c r="U39" s="706">
        <f t="shared" si="13"/>
        <v>100</v>
      </c>
      <c r="V39" s="705" t="s">
        <v>18</v>
      </c>
      <c r="W39" s="706">
        <f t="shared" si="14"/>
        <v>100</v>
      </c>
      <c r="X39" s="1355"/>
      <c r="Y39" s="371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12"/>
      <c r="Q40" s="1352" t="str">
        <f t="shared" si="11"/>
        <v>房型</v>
      </c>
      <c r="R40" s="705" t="s">
        <v>18</v>
      </c>
      <c r="S40" s="706">
        <f t="shared" si="12"/>
        <v>100</v>
      </c>
      <c r="T40" s="705" t="s">
        <v>18</v>
      </c>
      <c r="U40" s="706">
        <f t="shared" si="13"/>
        <v>100</v>
      </c>
      <c r="V40" s="705" t="s">
        <v>18</v>
      </c>
      <c r="W40" s="706">
        <f t="shared" si="14"/>
        <v>100</v>
      </c>
      <c r="X40" s="1355"/>
      <c r="Y40" s="371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12"/>
      <c r="Q41" s="707" t="str">
        <f t="shared" si="11"/>
        <v>单套/主力户型建筑面积</v>
      </c>
      <c r="R41" s="708" t="s">
        <v>18</v>
      </c>
      <c r="S41" s="709">
        <f t="shared" si="12"/>
        <v>100</v>
      </c>
      <c r="T41" s="708" t="s">
        <v>18</v>
      </c>
      <c r="U41" s="709">
        <f t="shared" si="13"/>
        <v>100</v>
      </c>
      <c r="V41" s="708" t="s">
        <v>18</v>
      </c>
      <c r="W41" s="709">
        <f t="shared" si="14"/>
        <v>100</v>
      </c>
      <c r="X41" s="710"/>
      <c r="Y41" s="371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12"/>
      <c r="Q42" s="1352" t="str">
        <f t="shared" si="11"/>
        <v>内部装修</v>
      </c>
      <c r="R42" s="705" t="s">
        <v>18</v>
      </c>
      <c r="S42" s="706">
        <f t="shared" si="12"/>
        <v>100</v>
      </c>
      <c r="T42" s="705" t="s">
        <v>18</v>
      </c>
      <c r="U42" s="706">
        <f t="shared" si="13"/>
        <v>100</v>
      </c>
      <c r="V42" s="705" t="s">
        <v>18</v>
      </c>
      <c r="W42" s="706">
        <f t="shared" si="14"/>
        <v>100</v>
      </c>
      <c r="X42" s="1355"/>
      <c r="Y42" s="371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12"/>
      <c r="Q43" s="1352" t="str">
        <f t="shared" si="11"/>
        <v>内部装修维护情况</v>
      </c>
      <c r="R43" s="705" t="s">
        <v>18</v>
      </c>
      <c r="S43" s="706">
        <f t="shared" si="12"/>
        <v>100</v>
      </c>
      <c r="T43" s="705" t="s">
        <v>18</v>
      </c>
      <c r="U43" s="706">
        <f t="shared" si="13"/>
        <v>100</v>
      </c>
      <c r="V43" s="705" t="s">
        <v>18</v>
      </c>
      <c r="W43" s="706">
        <f t="shared" si="14"/>
        <v>100</v>
      </c>
      <c r="X43" s="1355"/>
      <c r="Y43" s="371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12"/>
      <c r="Q44" s="1343">
        <f t="shared" si="11"/>
        <v>111</v>
      </c>
      <c r="R44" s="701" t="s">
        <v>18</v>
      </c>
      <c r="S44" s="702">
        <f t="shared" si="12"/>
        <v>100</v>
      </c>
      <c r="T44" s="701" t="s">
        <v>18</v>
      </c>
      <c r="U44" s="702">
        <f t="shared" si="13"/>
        <v>100</v>
      </c>
      <c r="V44" s="701" t="s">
        <v>18</v>
      </c>
      <c r="W44" s="702">
        <f t="shared" si="14"/>
        <v>100</v>
      </c>
      <c r="X44" s="703"/>
      <c r="Y44" s="371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12"/>
      <c r="Q45" s="1352">
        <f t="shared" si="11"/>
        <v>111</v>
      </c>
      <c r="R45" s="705" t="s">
        <v>18</v>
      </c>
      <c r="S45" s="706">
        <f t="shared" si="12"/>
        <v>100</v>
      </c>
      <c r="T45" s="705" t="s">
        <v>18</v>
      </c>
      <c r="U45" s="706">
        <f t="shared" si="13"/>
        <v>100</v>
      </c>
      <c r="V45" s="705" t="s">
        <v>18</v>
      </c>
      <c r="W45" s="706">
        <f t="shared" si="14"/>
        <v>100</v>
      </c>
      <c r="X45" s="1355"/>
      <c r="Y45" s="371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13"/>
      <c r="Q46" s="1352">
        <f t="shared" si="11"/>
        <v>111</v>
      </c>
      <c r="R46" s="705" t="s">
        <v>17</v>
      </c>
      <c r="S46" s="706">
        <f t="shared" si="12"/>
        <v>100</v>
      </c>
      <c r="T46" s="705" t="s">
        <v>17</v>
      </c>
      <c r="U46" s="706">
        <f t="shared" si="13"/>
        <v>100</v>
      </c>
      <c r="V46" s="705" t="s">
        <v>17</v>
      </c>
      <c r="W46" s="706">
        <f t="shared" si="14"/>
        <v>100</v>
      </c>
      <c r="X46" s="1355"/>
      <c r="Y46" s="371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707" t="str">
        <f>A47</f>
        <v>成交单价（元/平方米）</v>
      </c>
      <c r="Q47" s="3707"/>
      <c r="R47" s="3708">
        <f>E47</f>
        <v>0</v>
      </c>
      <c r="S47" s="3708"/>
      <c r="T47" s="3708">
        <f>G47</f>
        <v>0</v>
      </c>
      <c r="U47" s="3708"/>
      <c r="V47" s="3708">
        <f>I47</f>
        <v>0</v>
      </c>
      <c r="W47" s="370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2025-3</v>
      </c>
      <c r="D58" s="1185">
        <f>EDATE(C58,-1)</f>
        <v>45689</v>
      </c>
      <c r="E58" s="1185">
        <f>EDATE(D58,-1)</f>
        <v>45658</v>
      </c>
      <c r="F58" s="1185">
        <f t="shared" ref="F58:O58" si="19">EDATE(E58,-1)</f>
        <v>45627</v>
      </c>
      <c r="G58" s="1185">
        <f t="shared" si="19"/>
        <v>45597</v>
      </c>
      <c r="H58" s="1185">
        <f t="shared" si="19"/>
        <v>45566</v>
      </c>
      <c r="I58" s="1185">
        <f t="shared" si="19"/>
        <v>45536</v>
      </c>
      <c r="J58" s="1185">
        <f t="shared" si="19"/>
        <v>45505</v>
      </c>
      <c r="K58" s="1185">
        <f t="shared" si="19"/>
        <v>45474</v>
      </c>
      <c r="L58" s="1185">
        <f t="shared" si="19"/>
        <v>45444</v>
      </c>
      <c r="M58" s="1185">
        <f t="shared" si="19"/>
        <v>45413</v>
      </c>
      <c r="N58" s="1185">
        <f t="shared" si="19"/>
        <v>45383</v>
      </c>
      <c r="O58" s="1185">
        <f t="shared" si="19"/>
        <v>45352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估价对象为房地产，为所有。根据《国有土地使用证》[]，估价对象（分摊）出让国有建设用地使用权面积为27621.77平方米，建筑面积为1718.77平方米。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估价对象为房地产,属开发建设的，该项目尚在开发建设中。根据《国有土地使用证》[]，估价对象（分摊）出让国有建设用地使用权面积为27621.77平方米，规划建筑面积为1718.77平方米。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2025年3月27日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1718.77</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677" t="s">
        <v>1771</v>
      </c>
      <c r="S4" s="3678"/>
      <c r="T4" s="3677" t="s">
        <v>1772</v>
      </c>
      <c r="U4" s="3678"/>
      <c r="V4" s="3702" t="s">
        <v>1773</v>
      </c>
      <c r="W4" s="3702"/>
      <c r="X4" s="1355"/>
      <c r="Y4" s="3677" t="s">
        <v>1775</v>
      </c>
      <c r="Z4" s="3678"/>
      <c r="AA4" s="3672" t="s">
        <v>1771</v>
      </c>
      <c r="AB4" s="3702" t="s">
        <v>1772</v>
      </c>
      <c r="AC4" s="3672" t="s">
        <v>1773</v>
      </c>
    </row>
    <row r="5" spans="1:29" ht="15">
      <c r="A5" s="358"/>
      <c r="B5" s="359"/>
      <c r="C5" s="3683" t="s">
        <v>1673</v>
      </c>
      <c r="D5" s="3684"/>
      <c r="E5" s="3681" t="s">
        <v>1674</v>
      </c>
      <c r="F5" s="3682"/>
      <c r="G5" s="3683" t="s">
        <v>1675</v>
      </c>
      <c r="H5" s="3684"/>
      <c r="I5" s="3683" t="s">
        <v>1676</v>
      </c>
      <c r="J5" s="3684"/>
      <c r="K5" s="559"/>
      <c r="L5" s="2713"/>
      <c r="M5" s="2714"/>
      <c r="N5" s="2714"/>
      <c r="O5" s="2714"/>
      <c r="P5" s="3696"/>
      <c r="Q5" s="3697"/>
      <c r="R5" s="3679"/>
      <c r="S5" s="3680"/>
      <c r="T5" s="3679"/>
      <c r="U5" s="3680"/>
      <c r="V5" s="3702"/>
      <c r="W5" s="3702"/>
      <c r="X5" s="1355"/>
      <c r="Y5" s="3679"/>
      <c r="Z5" s="3680"/>
      <c r="AA5" s="3673"/>
      <c r="AB5" s="3702"/>
      <c r="AC5" s="3673"/>
    </row>
    <row r="6" spans="1:29" ht="15.75" thickBot="1">
      <c r="A6" s="360"/>
      <c r="B6" s="361"/>
      <c r="C6" s="3685" t="s">
        <v>1677</v>
      </c>
      <c r="D6" s="3686"/>
      <c r="E6" s="3687" t="s">
        <v>1677</v>
      </c>
      <c r="F6" s="3688"/>
      <c r="G6" s="3685" t="s">
        <v>1677</v>
      </c>
      <c r="H6" s="3686"/>
      <c r="I6" s="3685" t="s">
        <v>1677</v>
      </c>
      <c r="J6" s="3686"/>
      <c r="K6" s="559" t="s">
        <v>1678</v>
      </c>
      <c r="L6" s="2713"/>
      <c r="M6" s="2714"/>
      <c r="N6" s="2714"/>
      <c r="O6" s="2714"/>
      <c r="P6" s="3698"/>
      <c r="Q6" s="3699"/>
      <c r="R6" s="3679"/>
      <c r="S6" s="3680"/>
      <c r="T6" s="3700"/>
      <c r="U6" s="3701"/>
      <c r="V6" s="3702"/>
      <c r="W6" s="3702"/>
      <c r="X6" s="1355"/>
      <c r="Y6" s="3700"/>
      <c r="Z6" s="3701"/>
      <c r="AA6" s="3674"/>
      <c r="AB6" s="3702"/>
      <c r="AC6" s="3674"/>
    </row>
    <row r="7" spans="1:29" s="108" customFormat="1" ht="15.75" thickBot="1">
      <c r="A7" s="362" t="s">
        <v>1679</v>
      </c>
      <c r="B7" s="363"/>
      <c r="C7" s="364">
        <f>'数据-取费表'!B2</f>
        <v>45743</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5" t="s">
        <v>1680</v>
      </c>
      <c r="Q7" s="3703"/>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5" t="s">
        <v>1683</v>
      </c>
      <c r="Q8" s="3676"/>
      <c r="R8" s="701" t="s">
        <v>14</v>
      </c>
      <c r="S8" s="702">
        <f t="shared" si="0"/>
        <v>100</v>
      </c>
      <c r="T8" s="701" t="s">
        <v>14</v>
      </c>
      <c r="U8" s="702">
        <f t="shared" si="1"/>
        <v>100</v>
      </c>
      <c r="V8" s="701" t="s">
        <v>14</v>
      </c>
      <c r="W8" s="702">
        <f t="shared" si="2"/>
        <v>100</v>
      </c>
      <c r="X8" s="703"/>
      <c r="Y8" s="3675" t="s">
        <v>1683</v>
      </c>
      <c r="Z8" s="367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9"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9"/>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9"/>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9"/>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9"/>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9"/>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71.25">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6" t="s">
        <v>1691</v>
      </c>
      <c r="Q15" s="1352" t="str">
        <f t="shared" si="6"/>
        <v>商业繁华度</v>
      </c>
      <c r="R15" s="705" t="s">
        <v>14</v>
      </c>
      <c r="S15" s="706">
        <f t="shared" si="0"/>
        <v>100</v>
      </c>
      <c r="T15" s="705" t="s">
        <v>14</v>
      </c>
      <c r="U15" s="706">
        <f t="shared" si="1"/>
        <v>100</v>
      </c>
      <c r="V15" s="705" t="s">
        <v>14</v>
      </c>
      <c r="W15" s="706">
        <f t="shared" si="2"/>
        <v>100</v>
      </c>
      <c r="X15" s="1355"/>
      <c r="Y15" s="370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17"/>
      <c r="Q16" s="1352"/>
      <c r="R16" s="705"/>
      <c r="S16" s="706"/>
      <c r="T16" s="705"/>
      <c r="U16" s="706"/>
      <c r="V16" s="705"/>
      <c r="W16" s="706"/>
      <c r="X16" s="1355"/>
      <c r="Y16" s="3710"/>
      <c r="Z16" s="1356"/>
      <c r="AA16" s="1353">
        <v>1</v>
      </c>
      <c r="AB16" s="1353">
        <v>1</v>
      </c>
      <c r="AC16" s="1353">
        <v>1</v>
      </c>
    </row>
    <row r="17" spans="1:29" ht="85.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7"/>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17"/>
      <c r="Q18" s="1352"/>
      <c r="R18" s="705"/>
      <c r="S18" s="706"/>
      <c r="T18" s="705"/>
      <c r="U18" s="706"/>
      <c r="V18" s="705"/>
      <c r="W18" s="706"/>
      <c r="X18" s="1355"/>
      <c r="Y18" s="3710"/>
      <c r="Z18" s="1356"/>
      <c r="AA18" s="1353">
        <v>1</v>
      </c>
      <c r="AB18" s="1353">
        <v>1</v>
      </c>
      <c r="AC18" s="1353">
        <v>1</v>
      </c>
    </row>
    <row r="19" spans="1:29" ht="42.7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7"/>
      <c r="Q19" s="1352" t="str">
        <f>B19</f>
        <v>公共配套设施</v>
      </c>
      <c r="R19" s="705" t="s">
        <v>14</v>
      </c>
      <c r="S19" s="706">
        <f>F19</f>
        <v>100</v>
      </c>
      <c r="T19" s="705" t="s">
        <v>14</v>
      </c>
      <c r="U19" s="706">
        <f>H19</f>
        <v>100</v>
      </c>
      <c r="V19" s="705" t="s">
        <v>14</v>
      </c>
      <c r="W19" s="706">
        <f>J19</f>
        <v>100</v>
      </c>
      <c r="X19" s="1355"/>
      <c r="Y19" s="371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17"/>
      <c r="Q20" s="1352"/>
      <c r="R20" s="705"/>
      <c r="S20" s="706"/>
      <c r="T20" s="705"/>
      <c r="U20" s="706"/>
      <c r="V20" s="705"/>
      <c r="W20" s="706"/>
      <c r="X20" s="1355"/>
      <c r="Y20" s="3710"/>
      <c r="Z20" s="1356"/>
      <c r="AA20" s="1353">
        <v>1</v>
      </c>
      <c r="AB20" s="1353">
        <v>1</v>
      </c>
      <c r="AC20" s="1353">
        <v>1</v>
      </c>
    </row>
    <row r="21" spans="1:29" ht="28.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7"/>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17"/>
      <c r="Q22" s="1352"/>
      <c r="R22" s="705"/>
      <c r="S22" s="706"/>
      <c r="T22" s="705"/>
      <c r="U22" s="706"/>
      <c r="V22" s="705"/>
      <c r="W22" s="706"/>
      <c r="X22" s="1355"/>
      <c r="Y22" s="3710"/>
      <c r="Z22" s="1356"/>
      <c r="AA22" s="1353">
        <v>1</v>
      </c>
      <c r="AB22" s="1353">
        <v>1</v>
      </c>
      <c r="AC22" s="1353">
        <v>1</v>
      </c>
    </row>
    <row r="23" spans="1:29" ht="57">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7"/>
      <c r="Q23" s="1352" t="str">
        <f>B23</f>
        <v>自然及人文环境</v>
      </c>
      <c r="R23" s="705" t="s">
        <v>14</v>
      </c>
      <c r="S23" s="706">
        <f>F23</f>
        <v>100</v>
      </c>
      <c r="T23" s="705" t="s">
        <v>14</v>
      </c>
      <c r="U23" s="706">
        <f>H23</f>
        <v>100</v>
      </c>
      <c r="V23" s="705" t="s">
        <v>14</v>
      </c>
      <c r="W23" s="706">
        <f>J23</f>
        <v>100</v>
      </c>
      <c r="X23" s="1355"/>
      <c r="Y23" s="371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17"/>
      <c r="Q24" s="1352"/>
      <c r="R24" s="705"/>
      <c r="S24" s="706"/>
      <c r="T24" s="705"/>
      <c r="U24" s="706"/>
      <c r="V24" s="705"/>
      <c r="W24" s="706"/>
      <c r="X24" s="1355"/>
      <c r="Y24" s="371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7"/>
      <c r="Q25" s="1352" t="str">
        <f t="shared" ref="Q25:Q46" si="11">B25</f>
        <v>临街状况</v>
      </c>
      <c r="R25" s="705" t="s">
        <v>14</v>
      </c>
      <c r="S25" s="706">
        <f>F25</f>
        <v>100</v>
      </c>
      <c r="T25" s="705" t="s">
        <v>14</v>
      </c>
      <c r="U25" s="706">
        <f>H25</f>
        <v>100</v>
      </c>
      <c r="V25" s="705" t="s">
        <v>14</v>
      </c>
      <c r="W25" s="706">
        <f>J25</f>
        <v>100</v>
      </c>
      <c r="X25" s="1355"/>
      <c r="Y25" s="371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7"/>
      <c r="Q26" s="1352" t="str">
        <f t="shared" si="11"/>
        <v>平面位置/可视性</v>
      </c>
      <c r="R26" s="705" t="s">
        <v>14</v>
      </c>
      <c r="S26" s="706">
        <f>F26</f>
        <v>100</v>
      </c>
      <c r="T26" s="705" t="s">
        <v>14</v>
      </c>
      <c r="U26" s="706">
        <f>H26</f>
        <v>100</v>
      </c>
      <c r="V26" s="705" t="s">
        <v>14</v>
      </c>
      <c r="W26" s="706">
        <f>J26</f>
        <v>100</v>
      </c>
      <c r="X26" s="1355"/>
      <c r="Y26" s="371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17"/>
      <c r="Q27" s="1343" t="str">
        <f t="shared" si="11"/>
        <v>人流量</v>
      </c>
      <c r="R27" s="701" t="s">
        <v>14</v>
      </c>
      <c r="S27" s="702">
        <f>F27</f>
        <v>100</v>
      </c>
      <c r="T27" s="701" t="s">
        <v>14</v>
      </c>
      <c r="U27" s="702">
        <f>H27</f>
        <v>100</v>
      </c>
      <c r="V27" s="701" t="s">
        <v>14</v>
      </c>
      <c r="W27" s="702">
        <f>J27</f>
        <v>100</v>
      </c>
      <c r="X27" s="703"/>
      <c r="Y27" s="371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7"/>
      <c r="Q29" s="1352">
        <f t="shared" si="11"/>
        <v>111</v>
      </c>
      <c r="R29" s="705" t="s">
        <v>14</v>
      </c>
      <c r="S29" s="706">
        <f t="shared" si="12"/>
        <v>100</v>
      </c>
      <c r="T29" s="705" t="s">
        <v>14</v>
      </c>
      <c r="U29" s="706">
        <f t="shared" si="13"/>
        <v>100</v>
      </c>
      <c r="V29" s="705" t="s">
        <v>14</v>
      </c>
      <c r="W29" s="706">
        <f t="shared" si="14"/>
        <v>100</v>
      </c>
      <c r="X29" s="1355"/>
      <c r="Y29" s="371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7"/>
      <c r="Q30" s="1352">
        <f t="shared" si="11"/>
        <v>111</v>
      </c>
      <c r="R30" s="705" t="s">
        <v>14</v>
      </c>
      <c r="S30" s="706">
        <f t="shared" si="12"/>
        <v>100</v>
      </c>
      <c r="T30" s="705" t="s">
        <v>14</v>
      </c>
      <c r="U30" s="706">
        <f t="shared" si="13"/>
        <v>100</v>
      </c>
      <c r="V30" s="705" t="s">
        <v>14</v>
      </c>
      <c r="W30" s="706">
        <f t="shared" si="14"/>
        <v>100</v>
      </c>
      <c r="X30" s="1355"/>
      <c r="Y30" s="371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7"/>
      <c r="Q31" s="1352">
        <f t="shared" si="11"/>
        <v>111</v>
      </c>
      <c r="R31" s="705" t="s">
        <v>14</v>
      </c>
      <c r="S31" s="706">
        <f t="shared" si="12"/>
        <v>100</v>
      </c>
      <c r="T31" s="705" t="s">
        <v>14</v>
      </c>
      <c r="U31" s="706">
        <f t="shared" si="13"/>
        <v>100</v>
      </c>
      <c r="V31" s="705" t="s">
        <v>14</v>
      </c>
      <c r="W31" s="706">
        <f t="shared" si="14"/>
        <v>100</v>
      </c>
      <c r="X31" s="1355"/>
      <c r="Y31" s="371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11" t="s">
        <v>1696</v>
      </c>
      <c r="Q32" s="1352" t="str">
        <f t="shared" si="11"/>
        <v>商业类型</v>
      </c>
      <c r="R32" s="705" t="s">
        <v>14</v>
      </c>
      <c r="S32" s="706">
        <f t="shared" si="12"/>
        <v>100</v>
      </c>
      <c r="T32" s="705" t="s">
        <v>14</v>
      </c>
      <c r="U32" s="706">
        <f t="shared" si="13"/>
        <v>100</v>
      </c>
      <c r="V32" s="705" t="s">
        <v>14</v>
      </c>
      <c r="W32" s="706">
        <f t="shared" si="14"/>
        <v>100</v>
      </c>
      <c r="X32" s="1355"/>
      <c r="Y32" s="371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2"/>
      <c r="Q33" s="707" t="str">
        <f t="shared" si="11"/>
        <v>项目建筑规模</v>
      </c>
      <c r="R33" s="708" t="s">
        <v>14</v>
      </c>
      <c r="S33" s="709" t="e">
        <f t="shared" si="12"/>
        <v>#N/A</v>
      </c>
      <c r="T33" s="708" t="s">
        <v>14</v>
      </c>
      <c r="U33" s="709" t="e">
        <f t="shared" si="13"/>
        <v>#N/A</v>
      </c>
      <c r="V33" s="708" t="s">
        <v>14</v>
      </c>
      <c r="W33" s="709" t="e">
        <f t="shared" si="14"/>
        <v>#N/A</v>
      </c>
      <c r="X33" s="710"/>
      <c r="Y33" s="371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12"/>
      <c r="Q34" s="1352" t="str">
        <f t="shared" si="11"/>
        <v>建筑结构</v>
      </c>
      <c r="R34" s="705" t="s">
        <v>14</v>
      </c>
      <c r="S34" s="706">
        <f t="shared" si="12"/>
        <v>100</v>
      </c>
      <c r="T34" s="705" t="s">
        <v>14</v>
      </c>
      <c r="U34" s="706">
        <f t="shared" si="13"/>
        <v>100</v>
      </c>
      <c r="V34" s="705" t="s">
        <v>14</v>
      </c>
      <c r="W34" s="706">
        <f t="shared" si="14"/>
        <v>100</v>
      </c>
      <c r="X34" s="1355"/>
      <c r="Y34" s="371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12"/>
      <c r="Q35" s="1352" t="str">
        <f t="shared" si="11"/>
        <v>公共部分装修</v>
      </c>
      <c r="R35" s="705" t="s">
        <v>14</v>
      </c>
      <c r="S35" s="706">
        <f t="shared" si="12"/>
        <v>100</v>
      </c>
      <c r="T35" s="705" t="s">
        <v>14</v>
      </c>
      <c r="U35" s="706">
        <f t="shared" si="13"/>
        <v>100</v>
      </c>
      <c r="V35" s="705" t="s">
        <v>14</v>
      </c>
      <c r="W35" s="706">
        <f t="shared" si="14"/>
        <v>100</v>
      </c>
      <c r="X35" s="1355"/>
      <c r="Y35" s="371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2"/>
      <c r="Q36" s="1352" t="str">
        <f t="shared" si="11"/>
        <v>成新度</v>
      </c>
      <c r="R36" s="705" t="s">
        <v>14</v>
      </c>
      <c r="S36" s="706" t="e">
        <f t="shared" si="12"/>
        <v>#N/A</v>
      </c>
      <c r="T36" s="705" t="s">
        <v>14</v>
      </c>
      <c r="U36" s="706" t="e">
        <f t="shared" si="13"/>
        <v>#N/A</v>
      </c>
      <c r="V36" s="705" t="s">
        <v>14</v>
      </c>
      <c r="W36" s="706" t="e">
        <f t="shared" si="14"/>
        <v>#N/A</v>
      </c>
      <c r="X36" s="1355"/>
      <c r="Y36" s="371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12"/>
      <c r="Q37" s="1343" t="str">
        <f t="shared" si="11"/>
        <v>市政基础设施</v>
      </c>
      <c r="R37" s="701" t="s">
        <v>14</v>
      </c>
      <c r="S37" s="702">
        <f t="shared" si="12"/>
        <v>100</v>
      </c>
      <c r="T37" s="701" t="s">
        <v>14</v>
      </c>
      <c r="U37" s="702">
        <f t="shared" si="13"/>
        <v>100</v>
      </c>
      <c r="V37" s="701" t="s">
        <v>14</v>
      </c>
      <c r="W37" s="702">
        <f t="shared" si="14"/>
        <v>100</v>
      </c>
      <c r="X37" s="703"/>
      <c r="Y37" s="371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12" t="s">
        <v>1696</v>
      </c>
      <c r="Q38" s="1352" t="str">
        <f t="shared" si="11"/>
        <v>业态</v>
      </c>
      <c r="R38" s="705" t="s">
        <v>14</v>
      </c>
      <c r="S38" s="706">
        <f t="shared" si="12"/>
        <v>100</v>
      </c>
      <c r="T38" s="705" t="s">
        <v>14</v>
      </c>
      <c r="U38" s="706">
        <f t="shared" si="13"/>
        <v>100</v>
      </c>
      <c r="V38" s="705" t="s">
        <v>14</v>
      </c>
      <c r="W38" s="706">
        <f t="shared" si="14"/>
        <v>100</v>
      </c>
      <c r="X38" s="1355"/>
      <c r="Y38" s="371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12"/>
      <c r="Q39" s="1352" t="str">
        <f t="shared" si="11"/>
        <v>层高</v>
      </c>
      <c r="R39" s="705" t="s">
        <v>14</v>
      </c>
      <c r="S39" s="706">
        <f t="shared" si="12"/>
        <v>100</v>
      </c>
      <c r="T39" s="705" t="s">
        <v>14</v>
      </c>
      <c r="U39" s="706">
        <f t="shared" si="13"/>
        <v>100</v>
      </c>
      <c r="V39" s="705" t="s">
        <v>14</v>
      </c>
      <c r="W39" s="706">
        <f t="shared" si="14"/>
        <v>100</v>
      </c>
      <c r="X39" s="1355"/>
      <c r="Y39" s="371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2"/>
      <c r="Q40" s="1352" t="str">
        <f t="shared" si="11"/>
        <v>单套建筑面积</v>
      </c>
      <c r="R40" s="705" t="s">
        <v>14</v>
      </c>
      <c r="S40" s="706">
        <f t="shared" si="12"/>
        <v>100</v>
      </c>
      <c r="T40" s="705" t="s">
        <v>14</v>
      </c>
      <c r="U40" s="706">
        <f t="shared" si="13"/>
        <v>100</v>
      </c>
      <c r="V40" s="705" t="s">
        <v>14</v>
      </c>
      <c r="W40" s="706">
        <f t="shared" si="14"/>
        <v>100</v>
      </c>
      <c r="X40" s="1355"/>
      <c r="Y40" s="371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2"/>
      <c r="Q41" s="707" t="str">
        <f t="shared" si="11"/>
        <v>进深比</v>
      </c>
      <c r="R41" s="708" t="s">
        <v>14</v>
      </c>
      <c r="S41" s="709">
        <f t="shared" si="12"/>
        <v>100</v>
      </c>
      <c r="T41" s="708" t="s">
        <v>14</v>
      </c>
      <c r="U41" s="709">
        <f t="shared" si="13"/>
        <v>100</v>
      </c>
      <c r="V41" s="708" t="s">
        <v>14</v>
      </c>
      <c r="W41" s="709">
        <f t="shared" si="14"/>
        <v>100</v>
      </c>
      <c r="X41" s="710"/>
      <c r="Y41" s="371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12"/>
      <c r="Q42" s="1352" t="str">
        <f t="shared" si="11"/>
        <v>内部装修</v>
      </c>
      <c r="R42" s="705" t="s">
        <v>14</v>
      </c>
      <c r="S42" s="706">
        <f t="shared" si="12"/>
        <v>100</v>
      </c>
      <c r="T42" s="705" t="s">
        <v>14</v>
      </c>
      <c r="U42" s="706">
        <f t="shared" si="13"/>
        <v>100</v>
      </c>
      <c r="V42" s="705" t="s">
        <v>14</v>
      </c>
      <c r="W42" s="706">
        <f t="shared" si="14"/>
        <v>100</v>
      </c>
      <c r="X42" s="1355"/>
      <c r="Y42" s="371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12"/>
      <c r="Q43" s="1352" t="str">
        <f t="shared" si="11"/>
        <v>内部装修维护情况</v>
      </c>
      <c r="R43" s="705" t="s">
        <v>14</v>
      </c>
      <c r="S43" s="706">
        <f t="shared" si="12"/>
        <v>100</v>
      </c>
      <c r="T43" s="705" t="s">
        <v>14</v>
      </c>
      <c r="U43" s="706">
        <f t="shared" si="13"/>
        <v>100</v>
      </c>
      <c r="V43" s="705" t="s">
        <v>14</v>
      </c>
      <c r="W43" s="706">
        <f t="shared" si="14"/>
        <v>100</v>
      </c>
      <c r="X43" s="1355"/>
      <c r="Y43" s="371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2"/>
      <c r="Q44" s="1343">
        <f t="shared" si="11"/>
        <v>111</v>
      </c>
      <c r="R44" s="701" t="s">
        <v>14</v>
      </c>
      <c r="S44" s="702">
        <f t="shared" si="12"/>
        <v>100</v>
      </c>
      <c r="T44" s="701" t="s">
        <v>14</v>
      </c>
      <c r="U44" s="702">
        <f t="shared" si="13"/>
        <v>100</v>
      </c>
      <c r="V44" s="701" t="s">
        <v>14</v>
      </c>
      <c r="W44" s="702">
        <f t="shared" si="14"/>
        <v>100</v>
      </c>
      <c r="X44" s="703"/>
      <c r="Y44" s="371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2"/>
      <c r="Q45" s="1352">
        <f t="shared" si="11"/>
        <v>111</v>
      </c>
      <c r="R45" s="705" t="s">
        <v>14</v>
      </c>
      <c r="S45" s="706">
        <f t="shared" si="12"/>
        <v>100</v>
      </c>
      <c r="T45" s="705" t="s">
        <v>14</v>
      </c>
      <c r="U45" s="706">
        <f t="shared" si="13"/>
        <v>100</v>
      </c>
      <c r="V45" s="705" t="s">
        <v>14</v>
      </c>
      <c r="W45" s="706">
        <f t="shared" si="14"/>
        <v>100</v>
      </c>
      <c r="X45" s="1355"/>
      <c r="Y45" s="371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3"/>
      <c r="Q46" s="1352">
        <f t="shared" si="11"/>
        <v>111</v>
      </c>
      <c r="R46" s="705" t="s">
        <v>14</v>
      </c>
      <c r="S46" s="706">
        <f t="shared" si="12"/>
        <v>100</v>
      </c>
      <c r="T46" s="705" t="s">
        <v>14</v>
      </c>
      <c r="U46" s="706">
        <f t="shared" si="13"/>
        <v>100</v>
      </c>
      <c r="V46" s="705" t="s">
        <v>14</v>
      </c>
      <c r="W46" s="706">
        <f t="shared" si="14"/>
        <v>100</v>
      </c>
      <c r="X46" s="1355"/>
      <c r="Y46" s="371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07" t="str">
        <f>A47</f>
        <v>成交单价（元/平方米）</v>
      </c>
      <c r="Q47" s="3707"/>
      <c r="R47" s="3702">
        <f>E47</f>
        <v>0</v>
      </c>
      <c r="S47" s="3702"/>
      <c r="T47" s="3702">
        <f>G47</f>
        <v>0</v>
      </c>
      <c r="U47" s="3702"/>
      <c r="V47" s="3702">
        <f>I47</f>
        <v>0</v>
      </c>
      <c r="W47" s="370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2025-3</v>
      </c>
      <c r="D58" s="1185">
        <f>EDATE(C58,-1)</f>
        <v>45689</v>
      </c>
      <c r="E58" s="1185">
        <f t="shared" ref="E58:N58" si="16">EDATE(D58,-1)</f>
        <v>45658</v>
      </c>
      <c r="F58" s="1185">
        <f t="shared" si="16"/>
        <v>45627</v>
      </c>
      <c r="G58" s="1185">
        <f t="shared" si="16"/>
        <v>45597</v>
      </c>
      <c r="H58" s="1185">
        <f t="shared" si="16"/>
        <v>45566</v>
      </c>
      <c r="I58" s="1185">
        <f t="shared" si="16"/>
        <v>45536</v>
      </c>
      <c r="J58" s="1185">
        <f t="shared" si="16"/>
        <v>45505</v>
      </c>
      <c r="K58" s="1185">
        <f t="shared" si="16"/>
        <v>45474</v>
      </c>
      <c r="L58" s="1185">
        <f t="shared" si="16"/>
        <v>45444</v>
      </c>
      <c r="M58" s="1185">
        <f t="shared" si="16"/>
        <v>45413</v>
      </c>
      <c r="N58" s="1185">
        <f t="shared" si="16"/>
        <v>45383</v>
      </c>
      <c r="O58" s="1185">
        <f>EDATE(N58,-1)</f>
        <v>45352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1718.77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913"/>
      <c r="M4" s="914"/>
      <c r="N4" s="914"/>
      <c r="O4" s="914"/>
      <c r="P4" s="3694" t="s">
        <v>1775</v>
      </c>
      <c r="Q4" s="3695"/>
      <c r="R4" s="3677" t="s">
        <v>1771</v>
      </c>
      <c r="S4" s="3678"/>
      <c r="T4" s="3677" t="s">
        <v>1772</v>
      </c>
      <c r="U4" s="3678"/>
      <c r="V4" s="3702" t="s">
        <v>1773</v>
      </c>
      <c r="W4" s="3702"/>
      <c r="X4" s="1355"/>
      <c r="Y4" s="3677" t="s">
        <v>1775</v>
      </c>
      <c r="Z4" s="3678"/>
      <c r="AA4" s="3672" t="s">
        <v>1771</v>
      </c>
      <c r="AB4" s="3673" t="s">
        <v>1772</v>
      </c>
      <c r="AC4" s="3672" t="s">
        <v>1773</v>
      </c>
    </row>
    <row r="5" spans="1:29" ht="15">
      <c r="A5" s="358"/>
      <c r="B5" s="359"/>
      <c r="C5" s="3683" t="s">
        <v>1673</v>
      </c>
      <c r="D5" s="3684"/>
      <c r="E5" s="3681" t="s">
        <v>1674</v>
      </c>
      <c r="F5" s="3682"/>
      <c r="G5" s="3683" t="s">
        <v>1675</v>
      </c>
      <c r="H5" s="3684"/>
      <c r="I5" s="3683" t="s">
        <v>1676</v>
      </c>
      <c r="J5" s="3684"/>
      <c r="K5" s="559"/>
      <c r="L5" s="913"/>
      <c r="M5" s="914"/>
      <c r="N5" s="914"/>
      <c r="O5" s="914"/>
      <c r="P5" s="3696"/>
      <c r="Q5" s="3697"/>
      <c r="R5" s="3679"/>
      <c r="S5" s="3680"/>
      <c r="T5" s="3679"/>
      <c r="U5" s="3680"/>
      <c r="V5" s="3702"/>
      <c r="W5" s="3702"/>
      <c r="X5" s="1355"/>
      <c r="Y5" s="3679"/>
      <c r="Z5" s="3680"/>
      <c r="AA5" s="3673"/>
      <c r="AB5" s="3673"/>
      <c r="AC5" s="3673"/>
    </row>
    <row r="6" spans="1:29" ht="15.75" thickBot="1">
      <c r="A6" s="360"/>
      <c r="B6" s="361"/>
      <c r="C6" s="3685" t="s">
        <v>1677</v>
      </c>
      <c r="D6" s="3686"/>
      <c r="E6" s="3687" t="s">
        <v>1677</v>
      </c>
      <c r="F6" s="3688"/>
      <c r="G6" s="3685" t="s">
        <v>1677</v>
      </c>
      <c r="H6" s="3686"/>
      <c r="I6" s="3685" t="s">
        <v>1677</v>
      </c>
      <c r="J6" s="3686"/>
      <c r="K6" s="559" t="s">
        <v>1678</v>
      </c>
      <c r="L6" s="913"/>
      <c r="M6" s="914"/>
      <c r="N6" s="914"/>
      <c r="O6" s="914"/>
      <c r="P6" s="3698"/>
      <c r="Q6" s="3699"/>
      <c r="R6" s="3679"/>
      <c r="S6" s="3680"/>
      <c r="T6" s="3700"/>
      <c r="U6" s="3701"/>
      <c r="V6" s="3702"/>
      <c r="W6" s="3702"/>
      <c r="X6" s="1355"/>
      <c r="Y6" s="3700"/>
      <c r="Z6" s="3701"/>
      <c r="AA6" s="3674"/>
      <c r="AB6" s="3674"/>
      <c r="AC6" s="3674"/>
    </row>
    <row r="7" spans="1:29" s="108" customFormat="1" ht="15.75" thickBot="1">
      <c r="A7" s="362" t="s">
        <v>1679</v>
      </c>
      <c r="B7" s="363"/>
      <c r="C7" s="364">
        <f>'数据-取费表'!B2</f>
        <v>45743</v>
      </c>
      <c r="D7" s="365">
        <v>100</v>
      </c>
      <c r="E7" s="366"/>
      <c r="F7" s="367">
        <f>SUMIF(52:52,YEAR(E7)&amp;"-"&amp;MONTH(E7),53:53)</f>
        <v>0</v>
      </c>
      <c r="G7" s="366"/>
      <c r="H7" s="365">
        <f>SUMIF(52:52,YEAR(G7)&amp;"-"&amp;MONTH(G7),53:53)</f>
        <v>0</v>
      </c>
      <c r="I7" s="366"/>
      <c r="J7" s="365">
        <f>SUMIF(52:52,YEAR(I7)&amp;"-"&amp;MONTH(I7),53:53)</f>
        <v>0</v>
      </c>
      <c r="K7" s="560"/>
      <c r="L7" s="915"/>
      <c r="M7" s="916"/>
      <c r="N7" s="916"/>
      <c r="O7" s="916"/>
      <c r="P7" s="3675" t="s">
        <v>1680</v>
      </c>
      <c r="Q7" s="3703"/>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5" t="s">
        <v>1683</v>
      </c>
      <c r="Q8" s="3676"/>
      <c r="R8" s="701" t="s">
        <v>14</v>
      </c>
      <c r="S8" s="702">
        <f t="shared" si="0"/>
        <v>100</v>
      </c>
      <c r="T8" s="701" t="s">
        <v>14</v>
      </c>
      <c r="U8" s="702">
        <f t="shared" si="1"/>
        <v>100</v>
      </c>
      <c r="V8" s="701" t="s">
        <v>14</v>
      </c>
      <c r="W8" s="702">
        <f t="shared" si="2"/>
        <v>100</v>
      </c>
      <c r="X8" s="703"/>
      <c r="Y8" s="3675" t="s">
        <v>1683</v>
      </c>
      <c r="Z8" s="367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7"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07"/>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7"/>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7"/>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7"/>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7"/>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9" t="s">
        <v>1691</v>
      </c>
      <c r="Q15" s="1352" t="str">
        <f t="shared" si="6"/>
        <v>产业集聚程度</v>
      </c>
      <c r="R15" s="705" t="s">
        <v>14</v>
      </c>
      <c r="S15" s="706">
        <f t="shared" si="0"/>
        <v>100</v>
      </c>
      <c r="T15" s="705" t="s">
        <v>14</v>
      </c>
      <c r="U15" s="706">
        <f t="shared" si="1"/>
        <v>100</v>
      </c>
      <c r="V15" s="705" t="s">
        <v>14</v>
      </c>
      <c r="W15" s="706">
        <f t="shared" si="2"/>
        <v>100</v>
      </c>
      <c r="X15" s="1355"/>
      <c r="Y15" s="370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0"/>
      <c r="Q16" s="1352"/>
      <c r="R16" s="705"/>
      <c r="S16" s="706"/>
      <c r="T16" s="705"/>
      <c r="U16" s="706"/>
      <c r="V16" s="705"/>
      <c r="W16" s="706"/>
      <c r="X16" s="1355"/>
      <c r="Y16" s="371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0"/>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0"/>
      <c r="Q18" s="1352"/>
      <c r="R18" s="705"/>
      <c r="S18" s="706"/>
      <c r="T18" s="705"/>
      <c r="U18" s="706"/>
      <c r="V18" s="705"/>
      <c r="W18" s="706"/>
      <c r="X18" s="1355"/>
      <c r="Y18" s="371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0"/>
      <c r="Q19" s="1352" t="str">
        <f>B19</f>
        <v>公共配套设施</v>
      </c>
      <c r="R19" s="705" t="s">
        <v>14</v>
      </c>
      <c r="S19" s="706">
        <f>F19</f>
        <v>100</v>
      </c>
      <c r="T19" s="705" t="s">
        <v>14</v>
      </c>
      <c r="U19" s="706">
        <f>H19</f>
        <v>100</v>
      </c>
      <c r="V19" s="705" t="s">
        <v>14</v>
      </c>
      <c r="W19" s="706">
        <f>J19</f>
        <v>100</v>
      </c>
      <c r="X19" s="1355"/>
      <c r="Y19" s="371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0"/>
      <c r="Q20" s="1352"/>
      <c r="R20" s="705"/>
      <c r="S20" s="706"/>
      <c r="T20" s="705"/>
      <c r="U20" s="706"/>
      <c r="V20" s="705"/>
      <c r="W20" s="706"/>
      <c r="X20" s="1355"/>
      <c r="Y20" s="371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0"/>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0"/>
      <c r="Q22" s="1352"/>
      <c r="R22" s="705"/>
      <c r="S22" s="706"/>
      <c r="T22" s="705"/>
      <c r="U22" s="706"/>
      <c r="V22" s="705"/>
      <c r="W22" s="706"/>
      <c r="X22" s="1355"/>
      <c r="Y22" s="371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0"/>
      <c r="Q23" s="1352" t="str">
        <f>B23</f>
        <v>环境质量</v>
      </c>
      <c r="R23" s="705" t="s">
        <v>14</v>
      </c>
      <c r="S23" s="706">
        <f>F23</f>
        <v>100</v>
      </c>
      <c r="T23" s="705" t="s">
        <v>14</v>
      </c>
      <c r="U23" s="706">
        <f>H23</f>
        <v>100</v>
      </c>
      <c r="V23" s="705" t="s">
        <v>14</v>
      </c>
      <c r="W23" s="706">
        <f>J23</f>
        <v>100</v>
      </c>
      <c r="X23" s="1355"/>
      <c r="Y23" s="371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0"/>
      <c r="Q24" s="1352"/>
      <c r="R24" s="705"/>
      <c r="S24" s="706"/>
      <c r="T24" s="705"/>
      <c r="U24" s="706"/>
      <c r="V24" s="705"/>
      <c r="W24" s="706"/>
      <c r="X24" s="1355"/>
      <c r="Y24" s="371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0"/>
      <c r="Q25" s="1352">
        <f>B25</f>
        <v>111</v>
      </c>
      <c r="R25" s="705" t="s">
        <v>14</v>
      </c>
      <c r="S25" s="706">
        <f>F25</f>
        <v>100</v>
      </c>
      <c r="T25" s="705" t="s">
        <v>14</v>
      </c>
      <c r="U25" s="706">
        <f>H25</f>
        <v>100</v>
      </c>
      <c r="V25" s="705" t="s">
        <v>14</v>
      </c>
      <c r="W25" s="706">
        <f>J25</f>
        <v>100</v>
      </c>
      <c r="X25" s="1355"/>
      <c r="Y25" s="371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0"/>
      <c r="Q26" s="1352">
        <f t="shared" ref="Q26:Q40" si="11">B26</f>
        <v>111</v>
      </c>
      <c r="R26" s="705" t="s">
        <v>14</v>
      </c>
      <c r="S26" s="706">
        <f>F26</f>
        <v>100</v>
      </c>
      <c r="T26" s="705" t="s">
        <v>14</v>
      </c>
      <c r="U26" s="706">
        <f>H26</f>
        <v>100</v>
      </c>
      <c r="V26" s="705" t="s">
        <v>14</v>
      </c>
      <c r="W26" s="706">
        <f>J26</f>
        <v>100</v>
      </c>
      <c r="X26" s="1355"/>
      <c r="Y26" s="371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0"/>
      <c r="Q27" s="1343">
        <f t="shared" si="11"/>
        <v>111</v>
      </c>
      <c r="R27" s="701" t="s">
        <v>14</v>
      </c>
      <c r="S27" s="702">
        <f>F27</f>
        <v>100</v>
      </c>
      <c r="T27" s="701" t="s">
        <v>14</v>
      </c>
      <c r="U27" s="702">
        <f>H27</f>
        <v>100</v>
      </c>
      <c r="V27" s="701" t="s">
        <v>14</v>
      </c>
      <c r="W27" s="702">
        <f>J27</f>
        <v>100</v>
      </c>
      <c r="X27" s="703"/>
      <c r="Y27" s="371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0"/>
      <c r="Q28" s="1352">
        <f t="shared" si="11"/>
        <v>111</v>
      </c>
      <c r="R28" s="705" t="s">
        <v>14</v>
      </c>
      <c r="S28" s="706">
        <f t="shared" ref="S28:S40" si="12">F28</f>
        <v>100</v>
      </c>
      <c r="T28" s="705" t="s">
        <v>14</v>
      </c>
      <c r="U28" s="706">
        <f t="shared" ref="U28:U40" si="13">H28</f>
        <v>100</v>
      </c>
      <c r="V28" s="705" t="s">
        <v>14</v>
      </c>
      <c r="W28" s="706">
        <f t="shared" ref="W28:W40" si="14">J28</f>
        <v>100</v>
      </c>
      <c r="X28" s="1355"/>
      <c r="Y28" s="371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3" t="s">
        <v>1696</v>
      </c>
      <c r="Q29" s="1352" t="str">
        <f t="shared" si="11"/>
        <v>建筑类型</v>
      </c>
      <c r="R29" s="705" t="s">
        <v>14</v>
      </c>
      <c r="S29" s="706">
        <f t="shared" si="12"/>
        <v>100</v>
      </c>
      <c r="T29" s="705" t="s">
        <v>14</v>
      </c>
      <c r="U29" s="706">
        <f t="shared" si="13"/>
        <v>100</v>
      </c>
      <c r="V29" s="705" t="s">
        <v>14</v>
      </c>
      <c r="W29" s="706">
        <f t="shared" si="14"/>
        <v>100</v>
      </c>
      <c r="X29" s="1355"/>
      <c r="Y29" s="371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4"/>
      <c r="Q30" s="707" t="str">
        <f t="shared" si="11"/>
        <v>项目建筑规模</v>
      </c>
      <c r="R30" s="708" t="s">
        <v>14</v>
      </c>
      <c r="S30" s="709" t="e">
        <f t="shared" si="12"/>
        <v>#N/A</v>
      </c>
      <c r="T30" s="708" t="s">
        <v>14</v>
      </c>
      <c r="U30" s="709" t="e">
        <f t="shared" si="13"/>
        <v>#N/A</v>
      </c>
      <c r="V30" s="708" t="s">
        <v>14</v>
      </c>
      <c r="W30" s="709" t="e">
        <f t="shared" si="14"/>
        <v>#N/A</v>
      </c>
      <c r="X30" s="710"/>
      <c r="Y30" s="371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4"/>
      <c r="Q31" s="1352" t="str">
        <f t="shared" si="11"/>
        <v>建筑结构</v>
      </c>
      <c r="R31" s="705" t="s">
        <v>14</v>
      </c>
      <c r="S31" s="706">
        <f t="shared" si="12"/>
        <v>100</v>
      </c>
      <c r="T31" s="705" t="s">
        <v>14</v>
      </c>
      <c r="U31" s="706">
        <f t="shared" si="13"/>
        <v>100</v>
      </c>
      <c r="V31" s="705" t="s">
        <v>14</v>
      </c>
      <c r="W31" s="706">
        <f t="shared" si="14"/>
        <v>100</v>
      </c>
      <c r="X31" s="1355"/>
      <c r="Y31" s="371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4"/>
      <c r="Q32" s="1352" t="str">
        <f t="shared" si="11"/>
        <v>公共部分装修</v>
      </c>
      <c r="R32" s="705" t="s">
        <v>14</v>
      </c>
      <c r="S32" s="706">
        <f t="shared" si="12"/>
        <v>100</v>
      </c>
      <c r="T32" s="705" t="s">
        <v>14</v>
      </c>
      <c r="U32" s="706">
        <f t="shared" si="13"/>
        <v>100</v>
      </c>
      <c r="V32" s="705" t="s">
        <v>14</v>
      </c>
      <c r="W32" s="706">
        <f t="shared" si="14"/>
        <v>100</v>
      </c>
      <c r="X32" s="1355"/>
      <c r="Y32" s="371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4"/>
      <c r="Q33" s="1352" t="str">
        <f t="shared" si="11"/>
        <v>成新度</v>
      </c>
      <c r="R33" s="705" t="s">
        <v>14</v>
      </c>
      <c r="S33" s="706" t="e">
        <f t="shared" si="12"/>
        <v>#N/A</v>
      </c>
      <c r="T33" s="705" t="s">
        <v>14</v>
      </c>
      <c r="U33" s="706" t="e">
        <f t="shared" si="13"/>
        <v>#N/A</v>
      </c>
      <c r="V33" s="705" t="s">
        <v>14</v>
      </c>
      <c r="W33" s="706" t="e">
        <f t="shared" si="14"/>
        <v>#N/A</v>
      </c>
      <c r="X33" s="1355"/>
      <c r="Y33" s="371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4"/>
      <c r="Q34" s="1343" t="str">
        <f t="shared" si="11"/>
        <v>物业管理</v>
      </c>
      <c r="R34" s="701" t="s">
        <v>14</v>
      </c>
      <c r="S34" s="702">
        <f t="shared" si="12"/>
        <v>100</v>
      </c>
      <c r="T34" s="701" t="s">
        <v>14</v>
      </c>
      <c r="U34" s="702">
        <f t="shared" si="13"/>
        <v>100</v>
      </c>
      <c r="V34" s="701" t="s">
        <v>14</v>
      </c>
      <c r="W34" s="702">
        <f t="shared" si="14"/>
        <v>100</v>
      </c>
      <c r="X34" s="703"/>
      <c r="Y34" s="371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4" t="s">
        <v>1696</v>
      </c>
      <c r="Q35" s="1352" t="str">
        <f t="shared" si="11"/>
        <v>市政基础设施</v>
      </c>
      <c r="R35" s="705" t="s">
        <v>14</v>
      </c>
      <c r="S35" s="706">
        <f t="shared" si="12"/>
        <v>100</v>
      </c>
      <c r="T35" s="705" t="s">
        <v>14</v>
      </c>
      <c r="U35" s="706">
        <f t="shared" si="13"/>
        <v>100</v>
      </c>
      <c r="V35" s="705" t="s">
        <v>14</v>
      </c>
      <c r="W35" s="706">
        <f t="shared" si="14"/>
        <v>100</v>
      </c>
      <c r="X35" s="1355"/>
      <c r="Y35" s="371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4"/>
      <c r="Q36" s="1352" t="str">
        <f t="shared" si="11"/>
        <v>内部装修</v>
      </c>
      <c r="R36" s="705" t="s">
        <v>14</v>
      </c>
      <c r="S36" s="706">
        <f t="shared" si="12"/>
        <v>100</v>
      </c>
      <c r="T36" s="705" t="s">
        <v>14</v>
      </c>
      <c r="U36" s="706">
        <f t="shared" si="13"/>
        <v>100</v>
      </c>
      <c r="V36" s="705" t="s">
        <v>14</v>
      </c>
      <c r="W36" s="706">
        <f t="shared" si="14"/>
        <v>100</v>
      </c>
      <c r="X36" s="1355"/>
      <c r="Y36" s="371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4"/>
      <c r="Q37" s="1352" t="str">
        <f t="shared" si="11"/>
        <v>内部装修状况</v>
      </c>
      <c r="R37" s="705" t="s">
        <v>14</v>
      </c>
      <c r="S37" s="706">
        <f t="shared" si="12"/>
        <v>100</v>
      </c>
      <c r="T37" s="705" t="s">
        <v>14</v>
      </c>
      <c r="U37" s="706">
        <f t="shared" si="13"/>
        <v>100</v>
      </c>
      <c r="V37" s="705" t="s">
        <v>14</v>
      </c>
      <c r="W37" s="706">
        <f t="shared" si="14"/>
        <v>100</v>
      </c>
      <c r="X37" s="1355"/>
      <c r="Y37" s="371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4"/>
      <c r="Q38" s="707">
        <f t="shared" si="11"/>
        <v>111</v>
      </c>
      <c r="R38" s="708" t="s">
        <v>14</v>
      </c>
      <c r="S38" s="709">
        <f t="shared" si="12"/>
        <v>100</v>
      </c>
      <c r="T38" s="708" t="s">
        <v>14</v>
      </c>
      <c r="U38" s="709">
        <f t="shared" si="13"/>
        <v>100</v>
      </c>
      <c r="V38" s="708" t="s">
        <v>14</v>
      </c>
      <c r="W38" s="709">
        <f t="shared" si="14"/>
        <v>100</v>
      </c>
      <c r="X38" s="710"/>
      <c r="Y38" s="371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4"/>
      <c r="Q39" s="1352">
        <f t="shared" si="11"/>
        <v>111</v>
      </c>
      <c r="R39" s="705" t="s">
        <v>14</v>
      </c>
      <c r="S39" s="706">
        <f t="shared" si="12"/>
        <v>100</v>
      </c>
      <c r="T39" s="705" t="s">
        <v>14</v>
      </c>
      <c r="U39" s="706">
        <f t="shared" si="13"/>
        <v>100</v>
      </c>
      <c r="V39" s="705" t="s">
        <v>14</v>
      </c>
      <c r="W39" s="706">
        <f t="shared" si="14"/>
        <v>100</v>
      </c>
      <c r="X39" s="1355"/>
      <c r="Y39" s="371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5"/>
      <c r="Q40" s="1352">
        <f t="shared" si="11"/>
        <v>111</v>
      </c>
      <c r="R40" s="705" t="s">
        <v>14</v>
      </c>
      <c r="S40" s="706">
        <f t="shared" si="12"/>
        <v>100</v>
      </c>
      <c r="T40" s="705" t="s">
        <v>14</v>
      </c>
      <c r="U40" s="706">
        <f t="shared" si="13"/>
        <v>100</v>
      </c>
      <c r="V40" s="705" t="s">
        <v>14</v>
      </c>
      <c r="W40" s="706">
        <f t="shared" si="14"/>
        <v>100</v>
      </c>
      <c r="X40" s="1355"/>
      <c r="Y40" s="371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7" t="str">
        <f>A41</f>
        <v>成交单价（元/平方米）</v>
      </c>
      <c r="Q41" s="3707"/>
      <c r="R41" s="3708">
        <f>E41</f>
        <v>0</v>
      </c>
      <c r="S41" s="3708"/>
      <c r="T41" s="3708">
        <f>G41</f>
        <v>0</v>
      </c>
      <c r="U41" s="3708"/>
      <c r="V41" s="3708">
        <f>I41</f>
        <v>0</v>
      </c>
      <c r="W41" s="370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7" t="str">
        <f>A42</f>
        <v>比较价值（元/平方米）</v>
      </c>
      <c r="Q42" s="3707"/>
      <c r="R42" s="3708" t="e">
        <f>IF(F1="售价",ROUND(PRODUCT(R41,AA7:AA40),0),ROUND(PRODUCT(R41,AA7:AA40),1))</f>
        <v>#DIV/0!</v>
      </c>
      <c r="S42" s="3708"/>
      <c r="T42" s="3708" t="e">
        <f>IF(F1="售价",ROUND(PRODUCT(T41,AB7:AB40),0),ROUND(PRODUCT(T41,AB7:AB40),1))</f>
        <v>#DIV/0!</v>
      </c>
      <c r="U42" s="3708"/>
      <c r="V42" s="3708" t="e">
        <f>IF(F1="售价",ROUND(PRODUCT(V41,AC7:AC40),0),ROUND(PRODUCT(V41,AC7:AC40),1))</f>
        <v>#DIV/0!</v>
      </c>
      <c r="W42" s="370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2025-3</v>
      </c>
      <c r="D52" s="1185">
        <f>EDATE(C52,-1)</f>
        <v>45689</v>
      </c>
      <c r="E52" s="1185">
        <f t="shared" ref="E52:O52" si="16">EDATE(D52,-1)</f>
        <v>45658</v>
      </c>
      <c r="F52" s="1185">
        <f t="shared" si="16"/>
        <v>45627</v>
      </c>
      <c r="G52" s="1185">
        <f t="shared" si="16"/>
        <v>45597</v>
      </c>
      <c r="H52" s="1185">
        <f t="shared" si="16"/>
        <v>45566</v>
      </c>
      <c r="I52" s="1185">
        <f t="shared" si="16"/>
        <v>45536</v>
      </c>
      <c r="J52" s="1185">
        <f t="shared" si="16"/>
        <v>45505</v>
      </c>
      <c r="K52" s="1185">
        <f t="shared" si="16"/>
        <v>45474</v>
      </c>
      <c r="L52" s="1185">
        <f t="shared" si="16"/>
        <v>45444</v>
      </c>
      <c r="M52" s="1185">
        <f t="shared" si="16"/>
        <v>45413</v>
      </c>
      <c r="N52" s="1185">
        <f t="shared" si="16"/>
        <v>45383</v>
      </c>
      <c r="O52" s="1185">
        <f t="shared" si="16"/>
        <v>45352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3329</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677" t="s">
        <v>1771</v>
      </c>
      <c r="S4" s="3678"/>
      <c r="T4" s="3677" t="s">
        <v>1772</v>
      </c>
      <c r="U4" s="3678"/>
      <c r="V4" s="3702" t="s">
        <v>1773</v>
      </c>
      <c r="W4" s="3702"/>
      <c r="X4" s="1355"/>
      <c r="Y4" s="3677" t="s">
        <v>1775</v>
      </c>
      <c r="Z4" s="3678"/>
      <c r="AA4" s="3672" t="s">
        <v>1771</v>
      </c>
      <c r="AB4" s="3673" t="s">
        <v>1772</v>
      </c>
      <c r="AC4" s="3672" t="s">
        <v>1773</v>
      </c>
    </row>
    <row r="5" spans="1:29" ht="15">
      <c r="A5" s="358"/>
      <c r="B5" s="359"/>
      <c r="C5" s="3683" t="s">
        <v>1673</v>
      </c>
      <c r="D5" s="3684"/>
      <c r="E5" s="3681" t="s">
        <v>1674</v>
      </c>
      <c r="F5" s="3682"/>
      <c r="G5" s="3683" t="s">
        <v>1675</v>
      </c>
      <c r="H5" s="3684"/>
      <c r="I5" s="3683" t="s">
        <v>1676</v>
      </c>
      <c r="J5" s="3684"/>
      <c r="K5" s="559"/>
      <c r="L5" s="2713"/>
      <c r="M5" s="2714"/>
      <c r="N5" s="2714"/>
      <c r="O5" s="2714"/>
      <c r="P5" s="3696"/>
      <c r="Q5" s="3697"/>
      <c r="R5" s="3679"/>
      <c r="S5" s="3680"/>
      <c r="T5" s="3679"/>
      <c r="U5" s="3680"/>
      <c r="V5" s="3702"/>
      <c r="W5" s="3702"/>
      <c r="X5" s="1355"/>
      <c r="Y5" s="3679"/>
      <c r="Z5" s="3680"/>
      <c r="AA5" s="3673"/>
      <c r="AB5" s="3673"/>
      <c r="AC5" s="3673"/>
    </row>
    <row r="6" spans="1:29" ht="15.75" thickBot="1">
      <c r="A6" s="360"/>
      <c r="B6" s="361"/>
      <c r="C6" s="3685" t="s">
        <v>1677</v>
      </c>
      <c r="D6" s="3686"/>
      <c r="E6" s="3687" t="s">
        <v>1677</v>
      </c>
      <c r="F6" s="3688"/>
      <c r="G6" s="3685" t="s">
        <v>1677</v>
      </c>
      <c r="H6" s="3686"/>
      <c r="I6" s="3685" t="s">
        <v>1677</v>
      </c>
      <c r="J6" s="3686"/>
      <c r="K6" s="559" t="s">
        <v>1678</v>
      </c>
      <c r="L6" s="2713"/>
      <c r="M6" s="2714"/>
      <c r="N6" s="2714"/>
      <c r="O6" s="2714"/>
      <c r="P6" s="3698"/>
      <c r="Q6" s="3699"/>
      <c r="R6" s="3679"/>
      <c r="S6" s="3680"/>
      <c r="T6" s="3700"/>
      <c r="U6" s="3701"/>
      <c r="V6" s="3702"/>
      <c r="W6" s="3702"/>
      <c r="X6" s="1355"/>
      <c r="Y6" s="3700"/>
      <c r="Z6" s="3701"/>
      <c r="AA6" s="3674"/>
      <c r="AB6" s="3674"/>
      <c r="AC6" s="3674"/>
    </row>
    <row r="7" spans="1:29" s="108" customFormat="1" ht="15.75" thickBot="1">
      <c r="A7" s="362" t="s">
        <v>1679</v>
      </c>
      <c r="B7" s="363"/>
      <c r="C7" s="364">
        <f>'数据-取费表'!B2</f>
        <v>45743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5" t="s">
        <v>1680</v>
      </c>
      <c r="Q7" s="3703"/>
      <c r="R7" s="701" t="s">
        <v>14</v>
      </c>
      <c r="S7" s="702">
        <f t="shared" ref="S7:S14" si="0">F7</f>
        <v>0</v>
      </c>
      <c r="T7" s="701" t="s">
        <v>14</v>
      </c>
      <c r="U7" s="702">
        <f t="shared" ref="U7:U14" si="1">H7</f>
        <v>0</v>
      </c>
      <c r="V7" s="701" t="s">
        <v>14</v>
      </c>
      <c r="W7" s="702">
        <f t="shared" ref="W7:W14"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5" t="s">
        <v>1683</v>
      </c>
      <c r="Q8" s="3676"/>
      <c r="R8" s="701" t="s">
        <v>14</v>
      </c>
      <c r="S8" s="702">
        <f t="shared" si="0"/>
        <v>100</v>
      </c>
      <c r="T8" s="701" t="s">
        <v>14</v>
      </c>
      <c r="U8" s="702">
        <f t="shared" si="1"/>
        <v>100</v>
      </c>
      <c r="V8" s="701" t="s">
        <v>14</v>
      </c>
      <c r="W8" s="702">
        <f t="shared" si="2"/>
        <v>100</v>
      </c>
      <c r="X8" s="703"/>
      <c r="Y8" s="3675" t="s">
        <v>1683</v>
      </c>
      <c r="Z8" s="367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7"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7"/>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7"/>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7"/>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7"/>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9" t="s">
        <v>1691</v>
      </c>
      <c r="Q14" s="1352" t="str">
        <f t="shared" si="6"/>
        <v>交通便捷度</v>
      </c>
      <c r="R14" s="705" t="s">
        <v>14</v>
      </c>
      <c r="S14" s="706">
        <f t="shared" si="0"/>
        <v>100</v>
      </c>
      <c r="T14" s="705" t="s">
        <v>14</v>
      </c>
      <c r="U14" s="706">
        <f t="shared" si="1"/>
        <v>100</v>
      </c>
      <c r="V14" s="705" t="s">
        <v>14</v>
      </c>
      <c r="W14" s="706">
        <f t="shared" si="2"/>
        <v>100</v>
      </c>
      <c r="X14" s="1355"/>
      <c r="Y14" s="370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10"/>
      <c r="Q15" s="1352"/>
      <c r="R15" s="705"/>
      <c r="S15" s="706"/>
      <c r="T15" s="705"/>
      <c r="U15" s="706"/>
      <c r="V15" s="705"/>
      <c r="W15" s="706"/>
      <c r="X15" s="1355"/>
      <c r="Y15" s="3710"/>
      <c r="Z15" s="1356"/>
      <c r="AA15" s="1353">
        <v>1</v>
      </c>
      <c r="AB15" s="1353">
        <v>1</v>
      </c>
      <c r="AC15" s="1353">
        <v>1</v>
      </c>
    </row>
    <row r="16" spans="1:29" ht="42.7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0"/>
      <c r="Q16" s="1352" t="str">
        <f>B16</f>
        <v>公共配套设施</v>
      </c>
      <c r="R16" s="705" t="s">
        <v>14</v>
      </c>
      <c r="S16" s="706">
        <f>F16</f>
        <v>100</v>
      </c>
      <c r="T16" s="705" t="s">
        <v>14</v>
      </c>
      <c r="U16" s="706">
        <f>H16</f>
        <v>100</v>
      </c>
      <c r="V16" s="705" t="s">
        <v>14</v>
      </c>
      <c r="W16" s="706">
        <f>J16</f>
        <v>100</v>
      </c>
      <c r="X16" s="1355"/>
      <c r="Y16" s="371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10"/>
      <c r="Q17" s="1352"/>
      <c r="R17" s="705"/>
      <c r="S17" s="706"/>
      <c r="T17" s="705"/>
      <c r="U17" s="706"/>
      <c r="V17" s="705"/>
      <c r="W17" s="706"/>
      <c r="X17" s="1355"/>
      <c r="Y17" s="3710"/>
      <c r="Z17" s="1356"/>
      <c r="AA17" s="1353">
        <v>1</v>
      </c>
      <c r="AB17" s="1353">
        <v>1</v>
      </c>
      <c r="AC17" s="1353">
        <v>1</v>
      </c>
    </row>
    <row r="18" spans="1:29" ht="28.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0"/>
      <c r="Q18" s="1352" t="str">
        <f>B18</f>
        <v>基础设施水平</v>
      </c>
      <c r="R18" s="705" t="s">
        <v>14</v>
      </c>
      <c r="S18" s="706">
        <f>F18</f>
        <v>100</v>
      </c>
      <c r="T18" s="705" t="s">
        <v>14</v>
      </c>
      <c r="U18" s="706">
        <f>H18</f>
        <v>100</v>
      </c>
      <c r="V18" s="705" t="s">
        <v>14</v>
      </c>
      <c r="W18" s="706">
        <f>J18</f>
        <v>100</v>
      </c>
      <c r="X18" s="1355"/>
      <c r="Y18" s="371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10"/>
      <c r="Q19" s="1352"/>
      <c r="R19" s="705"/>
      <c r="S19" s="706"/>
      <c r="T19" s="705"/>
      <c r="U19" s="706"/>
      <c r="V19" s="705"/>
      <c r="W19" s="706"/>
      <c r="X19" s="1355"/>
      <c r="Y19" s="3710"/>
      <c r="Z19" s="1356"/>
      <c r="AA19" s="1353">
        <v>1</v>
      </c>
      <c r="AB19" s="1353">
        <v>1</v>
      </c>
      <c r="AC19" s="1353">
        <v>1</v>
      </c>
    </row>
    <row r="20" spans="1:29" ht="57">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0"/>
      <c r="Q20" s="1352" t="str">
        <f>B20</f>
        <v>自然及人文环境</v>
      </c>
      <c r="R20" s="705" t="s">
        <v>14</v>
      </c>
      <c r="S20" s="706">
        <f>F20</f>
        <v>100</v>
      </c>
      <c r="T20" s="705" t="s">
        <v>14</v>
      </c>
      <c r="U20" s="706">
        <f>H20</f>
        <v>100</v>
      </c>
      <c r="V20" s="705" t="s">
        <v>14</v>
      </c>
      <c r="W20" s="706">
        <f>J20</f>
        <v>100</v>
      </c>
      <c r="X20" s="1355"/>
      <c r="Y20" s="371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10"/>
      <c r="Q21" s="1352"/>
      <c r="R21" s="705"/>
      <c r="S21" s="706"/>
      <c r="T21" s="705"/>
      <c r="U21" s="706"/>
      <c r="V21" s="705"/>
      <c r="W21" s="706"/>
      <c r="X21" s="1355"/>
      <c r="Y21" s="371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0"/>
      <c r="Q22" s="1352" t="str">
        <f>B22</f>
        <v>楼层</v>
      </c>
      <c r="R22" s="705" t="s">
        <v>14</v>
      </c>
      <c r="S22" s="706">
        <f>F22</f>
        <v>100</v>
      </c>
      <c r="T22" s="705" t="s">
        <v>14</v>
      </c>
      <c r="U22" s="706">
        <f>H22</f>
        <v>100</v>
      </c>
      <c r="V22" s="705" t="s">
        <v>14</v>
      </c>
      <c r="W22" s="706">
        <f>J22</f>
        <v>100</v>
      </c>
      <c r="X22" s="1355"/>
      <c r="Y22" s="371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0"/>
      <c r="Q23" s="1352">
        <f>B23</f>
        <v>111</v>
      </c>
      <c r="R23" s="705" t="s">
        <v>14</v>
      </c>
      <c r="S23" s="706">
        <f>F23</f>
        <v>100</v>
      </c>
      <c r="T23" s="705" t="s">
        <v>14</v>
      </c>
      <c r="U23" s="706">
        <f>H23</f>
        <v>100</v>
      </c>
      <c r="V23" s="705" t="s">
        <v>14</v>
      </c>
      <c r="W23" s="706">
        <f>J23</f>
        <v>100</v>
      </c>
      <c r="X23" s="1355"/>
      <c r="Y23" s="371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0"/>
      <c r="Q24" s="1352">
        <f t="shared" ref="Q24:Q36" si="11">B24</f>
        <v>111</v>
      </c>
      <c r="R24" s="705" t="s">
        <v>14</v>
      </c>
      <c r="S24" s="706">
        <f>F24</f>
        <v>100</v>
      </c>
      <c r="T24" s="705" t="s">
        <v>14</v>
      </c>
      <c r="U24" s="706">
        <f>H24</f>
        <v>100</v>
      </c>
      <c r="V24" s="705" t="s">
        <v>14</v>
      </c>
      <c r="W24" s="706">
        <f>J24</f>
        <v>100</v>
      </c>
      <c r="X24" s="1355"/>
      <c r="Y24" s="371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0"/>
      <c r="Q25" s="1343">
        <f t="shared" si="11"/>
        <v>111</v>
      </c>
      <c r="R25" s="701" t="s">
        <v>14</v>
      </c>
      <c r="S25" s="702">
        <f>F25</f>
        <v>100</v>
      </c>
      <c r="T25" s="701" t="s">
        <v>14</v>
      </c>
      <c r="U25" s="702">
        <f>H25</f>
        <v>100</v>
      </c>
      <c r="V25" s="701" t="s">
        <v>14</v>
      </c>
      <c r="W25" s="702">
        <f>J25</f>
        <v>100</v>
      </c>
      <c r="X25" s="703"/>
      <c r="Y25" s="371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4"/>
      <c r="Q27" s="707" t="str">
        <f t="shared" si="11"/>
        <v>项目停车位配比</v>
      </c>
      <c r="R27" s="708" t="s">
        <v>14</v>
      </c>
      <c r="S27" s="709">
        <f t="shared" si="12"/>
        <v>100</v>
      </c>
      <c r="T27" s="708" t="s">
        <v>14</v>
      </c>
      <c r="U27" s="709">
        <f t="shared" si="13"/>
        <v>100</v>
      </c>
      <c r="V27" s="708" t="s">
        <v>14</v>
      </c>
      <c r="W27" s="709">
        <f t="shared" si="14"/>
        <v>100</v>
      </c>
      <c r="X27" s="710"/>
      <c r="Y27" s="371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4"/>
      <c r="Q28" s="1352" t="str">
        <f t="shared" si="11"/>
        <v>公共部分装修</v>
      </c>
      <c r="R28" s="705" t="s">
        <v>14</v>
      </c>
      <c r="S28" s="706">
        <f t="shared" si="12"/>
        <v>100</v>
      </c>
      <c r="T28" s="705" t="s">
        <v>14</v>
      </c>
      <c r="U28" s="706">
        <f t="shared" si="13"/>
        <v>100</v>
      </c>
      <c r="V28" s="705" t="s">
        <v>14</v>
      </c>
      <c r="W28" s="706">
        <f t="shared" si="14"/>
        <v>100</v>
      </c>
      <c r="X28" s="1355"/>
      <c r="Y28" s="371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4"/>
      <c r="Q29" s="1352" t="str">
        <f t="shared" si="11"/>
        <v>成新率</v>
      </c>
      <c r="R29" s="705" t="s">
        <v>14</v>
      </c>
      <c r="S29" s="706" t="e">
        <f t="shared" si="12"/>
        <v>#N/A</v>
      </c>
      <c r="T29" s="705" t="s">
        <v>14</v>
      </c>
      <c r="U29" s="706" t="e">
        <f t="shared" si="13"/>
        <v>#N/A</v>
      </c>
      <c r="V29" s="705" t="s">
        <v>14</v>
      </c>
      <c r="W29" s="706" t="e">
        <f t="shared" si="14"/>
        <v>#N/A</v>
      </c>
      <c r="X29" s="1355"/>
      <c r="Y29" s="371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4"/>
      <c r="Q30" s="1352" t="str">
        <f t="shared" si="11"/>
        <v>物业等级</v>
      </c>
      <c r="R30" s="705" t="s">
        <v>14</v>
      </c>
      <c r="S30" s="706">
        <f t="shared" si="12"/>
        <v>100</v>
      </c>
      <c r="T30" s="705" t="s">
        <v>14</v>
      </c>
      <c r="U30" s="706">
        <f t="shared" si="13"/>
        <v>100</v>
      </c>
      <c r="V30" s="705" t="s">
        <v>14</v>
      </c>
      <c r="W30" s="706">
        <f t="shared" si="14"/>
        <v>100</v>
      </c>
      <c r="X30" s="1355"/>
      <c r="Y30" s="371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4"/>
      <c r="Q31" s="1343" t="str">
        <f t="shared" si="11"/>
        <v>停车位面积</v>
      </c>
      <c r="R31" s="701" t="s">
        <v>14</v>
      </c>
      <c r="S31" s="702" t="e">
        <f t="shared" si="12"/>
        <v>#N/A</v>
      </c>
      <c r="T31" s="701" t="s">
        <v>14</v>
      </c>
      <c r="U31" s="702" t="e">
        <f t="shared" si="13"/>
        <v>#N/A</v>
      </c>
      <c r="V31" s="701" t="s">
        <v>14</v>
      </c>
      <c r="W31" s="702" t="e">
        <f t="shared" si="14"/>
        <v>#N/A</v>
      </c>
      <c r="X31" s="703"/>
      <c r="Y31" s="371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4" t="s">
        <v>1696</v>
      </c>
      <c r="Q32" s="1352" t="str">
        <f t="shared" si="11"/>
        <v>车位类型</v>
      </c>
      <c r="R32" s="705" t="s">
        <v>14</v>
      </c>
      <c r="S32" s="706">
        <f t="shared" si="12"/>
        <v>100</v>
      </c>
      <c r="T32" s="705" t="s">
        <v>14</v>
      </c>
      <c r="U32" s="706">
        <f t="shared" si="13"/>
        <v>100</v>
      </c>
      <c r="V32" s="705" t="s">
        <v>14</v>
      </c>
      <c r="W32" s="706">
        <f t="shared" si="14"/>
        <v>100</v>
      </c>
      <c r="X32" s="1355"/>
      <c r="Y32" s="371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4"/>
      <c r="Q33" s="1352" t="str">
        <f t="shared" si="11"/>
        <v>是否直接入户</v>
      </c>
      <c r="R33" s="705" t="s">
        <v>14</v>
      </c>
      <c r="S33" s="706">
        <f t="shared" si="12"/>
        <v>100</v>
      </c>
      <c r="T33" s="705" t="s">
        <v>14</v>
      </c>
      <c r="U33" s="706">
        <f t="shared" si="13"/>
        <v>100</v>
      </c>
      <c r="V33" s="705" t="s">
        <v>14</v>
      </c>
      <c r="W33" s="706">
        <f t="shared" si="14"/>
        <v>100</v>
      </c>
      <c r="X33" s="1355"/>
      <c r="Y33" s="371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4"/>
      <c r="Q34" s="1352">
        <f t="shared" si="11"/>
        <v>111</v>
      </c>
      <c r="R34" s="705" t="s">
        <v>14</v>
      </c>
      <c r="S34" s="706">
        <f t="shared" si="12"/>
        <v>100</v>
      </c>
      <c r="T34" s="705" t="s">
        <v>14</v>
      </c>
      <c r="U34" s="706">
        <f t="shared" si="13"/>
        <v>100</v>
      </c>
      <c r="V34" s="705" t="s">
        <v>14</v>
      </c>
      <c r="W34" s="706">
        <f t="shared" si="14"/>
        <v>100</v>
      </c>
      <c r="X34" s="1355"/>
      <c r="Y34" s="371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4"/>
      <c r="Q35" s="707">
        <f t="shared" si="11"/>
        <v>111</v>
      </c>
      <c r="R35" s="708" t="s">
        <v>14</v>
      </c>
      <c r="S35" s="709">
        <f t="shared" si="12"/>
        <v>100</v>
      </c>
      <c r="T35" s="708" t="s">
        <v>14</v>
      </c>
      <c r="U35" s="709">
        <f t="shared" si="13"/>
        <v>100</v>
      </c>
      <c r="V35" s="708" t="s">
        <v>14</v>
      </c>
      <c r="W35" s="709">
        <f t="shared" si="14"/>
        <v>100</v>
      </c>
      <c r="X35" s="710"/>
      <c r="Y35" s="371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4"/>
      <c r="Q36" s="1352">
        <f t="shared" si="11"/>
        <v>111</v>
      </c>
      <c r="R36" s="705" t="s">
        <v>14</v>
      </c>
      <c r="S36" s="706">
        <f t="shared" si="12"/>
        <v>100</v>
      </c>
      <c r="T36" s="705" t="s">
        <v>14</v>
      </c>
      <c r="U36" s="706">
        <f t="shared" si="13"/>
        <v>100</v>
      </c>
      <c r="V36" s="705" t="s">
        <v>14</v>
      </c>
      <c r="W36" s="706">
        <f t="shared" si="14"/>
        <v>100</v>
      </c>
      <c r="X36" s="1355"/>
      <c r="Y36" s="3714"/>
      <c r="Z36" s="1356">
        <f t="shared" si="15"/>
        <v>111</v>
      </c>
      <c r="AA36" s="1353">
        <f t="shared" si="3"/>
        <v>1</v>
      </c>
      <c r="AB36" s="1353">
        <f t="shared" si="4"/>
        <v>1</v>
      </c>
      <c r="AC36" s="1353">
        <f t="shared" si="5"/>
        <v>1</v>
      </c>
    </row>
    <row r="37" spans="1:29" ht="15">
      <c r="A37" s="430" t="s">
        <v>1844</v>
      </c>
      <c r="B37" s="1973" t="s">
        <v>3350</v>
      </c>
      <c r="C37" s="1154" t="s">
        <v>0</v>
      </c>
      <c r="D37" s="1155"/>
      <c r="E37" s="1156"/>
      <c r="F37" s="1157"/>
      <c r="G37" s="1158"/>
      <c r="H37" s="1159"/>
      <c r="I37" s="1156"/>
      <c r="J37" s="1159"/>
      <c r="K37" s="568"/>
      <c r="L37" s="2722"/>
      <c r="M37" s="2723"/>
      <c r="N37" s="2714"/>
      <c r="O37" s="2723"/>
      <c r="P37" s="3707" t="str">
        <f>A37</f>
        <v>成交单价</v>
      </c>
      <c r="Q37" s="3707"/>
      <c r="R37" s="3708">
        <f>E37</f>
        <v>0</v>
      </c>
      <c r="S37" s="3708"/>
      <c r="T37" s="3708">
        <f>G37</f>
        <v>0</v>
      </c>
      <c r="U37" s="3708"/>
      <c r="V37" s="3708">
        <f>I37</f>
        <v>0</v>
      </c>
      <c r="W37" s="370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07" t="str">
        <f>A38</f>
        <v>比较价值（元/平方米）</v>
      </c>
      <c r="Q38" s="3707"/>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04" t="str">
        <f>A39</f>
        <v>估价对象XX用房的比较价值（楼面单价，元/平方米）</v>
      </c>
      <c r="Q39" s="3705"/>
      <c r="R39" s="3734" t="e">
        <f>IF(F1="售价",ROUND(IF(D38="简单平均",AVERAGE(R38:W38),R38*F38+T38*H38+V38*J38),0),ROUND(IF(D38="简单平均",AVERAGE(R38:V38),R38*F38+T38*H38+V38*J38),1))</f>
        <v>#DIV/0!</v>
      </c>
      <c r="S39" s="3734"/>
      <c r="T39" s="3734"/>
      <c r="U39" s="3734"/>
      <c r="V39" s="3734"/>
      <c r="W39" s="373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2025-3</v>
      </c>
      <c r="D48" s="1185">
        <f>EDATE(C48,-1)</f>
        <v>45689</v>
      </c>
      <c r="E48" s="1185">
        <f t="shared" ref="E48:O48" si="16">EDATE(D48,-1)</f>
        <v>45658</v>
      </c>
      <c r="F48" s="1185">
        <f t="shared" si="16"/>
        <v>45627</v>
      </c>
      <c r="G48" s="1185">
        <f t="shared" si="16"/>
        <v>45597</v>
      </c>
      <c r="H48" s="1185">
        <f t="shared" si="16"/>
        <v>45566</v>
      </c>
      <c r="I48" s="1185">
        <f t="shared" si="16"/>
        <v>45536</v>
      </c>
      <c r="J48" s="1185">
        <f t="shared" si="16"/>
        <v>45505</v>
      </c>
      <c r="K48" s="1185">
        <f t="shared" si="16"/>
        <v>45474</v>
      </c>
      <c r="L48" s="1185">
        <f t="shared" si="16"/>
        <v>45444</v>
      </c>
      <c r="M48" s="1185">
        <f t="shared" si="16"/>
        <v>45413</v>
      </c>
      <c r="N48" s="1185">
        <f t="shared" si="16"/>
        <v>45383</v>
      </c>
      <c r="O48" s="1185">
        <f t="shared" si="16"/>
        <v>45352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677" t="s">
        <v>1771</v>
      </c>
      <c r="S4" s="3678"/>
      <c r="T4" s="3677" t="s">
        <v>1772</v>
      </c>
      <c r="U4" s="3678"/>
      <c r="V4" s="3702" t="s">
        <v>1773</v>
      </c>
      <c r="W4" s="3702"/>
      <c r="X4" s="1355"/>
      <c r="Y4" s="3677" t="s">
        <v>1775</v>
      </c>
      <c r="Z4" s="3678"/>
      <c r="AA4" s="3672" t="s">
        <v>1771</v>
      </c>
      <c r="AB4" s="3673" t="s">
        <v>1772</v>
      </c>
      <c r="AC4" s="3672" t="s">
        <v>1773</v>
      </c>
    </row>
    <row r="5" spans="1:29" ht="15">
      <c r="A5" s="358"/>
      <c r="B5" s="359"/>
      <c r="C5" s="3683" t="s">
        <v>1673</v>
      </c>
      <c r="D5" s="3684"/>
      <c r="E5" s="3681" t="s">
        <v>1674</v>
      </c>
      <c r="F5" s="3682"/>
      <c r="G5" s="3683" t="s">
        <v>1675</v>
      </c>
      <c r="H5" s="3684"/>
      <c r="I5" s="3683" t="s">
        <v>1676</v>
      </c>
      <c r="J5" s="3684"/>
      <c r="K5" s="559"/>
      <c r="L5" s="2713"/>
      <c r="M5" s="2714"/>
      <c r="N5" s="2714"/>
      <c r="O5" s="2714"/>
      <c r="P5" s="3696"/>
      <c r="Q5" s="3697"/>
      <c r="R5" s="3679"/>
      <c r="S5" s="3680"/>
      <c r="T5" s="3679"/>
      <c r="U5" s="3680"/>
      <c r="V5" s="3702"/>
      <c r="W5" s="3702"/>
      <c r="X5" s="1355"/>
      <c r="Y5" s="3679"/>
      <c r="Z5" s="3680"/>
      <c r="AA5" s="3673"/>
      <c r="AB5" s="3673"/>
      <c r="AC5" s="3673"/>
    </row>
    <row r="6" spans="1:29" ht="15.75" thickBot="1">
      <c r="A6" s="360"/>
      <c r="B6" s="361"/>
      <c r="C6" s="3685" t="s">
        <v>1677</v>
      </c>
      <c r="D6" s="3686"/>
      <c r="E6" s="3687" t="s">
        <v>1677</v>
      </c>
      <c r="F6" s="3688"/>
      <c r="G6" s="3685" t="s">
        <v>1677</v>
      </c>
      <c r="H6" s="3686"/>
      <c r="I6" s="3685" t="s">
        <v>1677</v>
      </c>
      <c r="J6" s="3686"/>
      <c r="K6" s="559" t="s">
        <v>1678</v>
      </c>
      <c r="L6" s="2713"/>
      <c r="M6" s="2714"/>
      <c r="N6" s="2714"/>
      <c r="O6" s="2714"/>
      <c r="P6" s="3698"/>
      <c r="Q6" s="3699"/>
      <c r="R6" s="3679"/>
      <c r="S6" s="3680"/>
      <c r="T6" s="3700"/>
      <c r="U6" s="3701"/>
      <c r="V6" s="3702"/>
      <c r="W6" s="3702"/>
      <c r="X6" s="1355"/>
      <c r="Y6" s="3700"/>
      <c r="Z6" s="3701"/>
      <c r="AA6" s="3674"/>
      <c r="AB6" s="3674"/>
      <c r="AC6" s="3674"/>
    </row>
    <row r="7" spans="1:29" s="108" customFormat="1" ht="15.75" thickBot="1">
      <c r="A7" s="362" t="s">
        <v>1679</v>
      </c>
      <c r="B7" s="363"/>
      <c r="C7" s="364">
        <f>'数据-取费表'!B2</f>
        <v>45743</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75" t="s">
        <v>1680</v>
      </c>
      <c r="Q7" s="3703"/>
      <c r="R7" s="701" t="s">
        <v>14</v>
      </c>
      <c r="S7" s="702">
        <f t="shared" ref="S7:S14" si="0">F7</f>
        <v>0</v>
      </c>
      <c r="T7" s="701" t="s">
        <v>14</v>
      </c>
      <c r="U7" s="702">
        <f t="shared" ref="U7:U14" si="1">H7</f>
        <v>0</v>
      </c>
      <c r="V7" s="701" t="s">
        <v>14</v>
      </c>
      <c r="W7" s="702">
        <f t="shared" ref="W7:W14"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5" t="s">
        <v>1683</v>
      </c>
      <c r="Q8" s="3676"/>
      <c r="R8" s="701" t="s">
        <v>14</v>
      </c>
      <c r="S8" s="702">
        <f t="shared" si="0"/>
        <v>100</v>
      </c>
      <c r="T8" s="701" t="s">
        <v>14</v>
      </c>
      <c r="U8" s="702">
        <f t="shared" si="1"/>
        <v>100</v>
      </c>
      <c r="V8" s="701" t="s">
        <v>14</v>
      </c>
      <c r="W8" s="702">
        <f t="shared" si="2"/>
        <v>100</v>
      </c>
      <c r="X8" s="703"/>
      <c r="Y8" s="3675" t="s">
        <v>1683</v>
      </c>
      <c r="Z8" s="367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7"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7"/>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7"/>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7"/>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07"/>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9" t="s">
        <v>1691</v>
      </c>
      <c r="Q14" s="1352" t="str">
        <f t="shared" si="6"/>
        <v>交通便捷度</v>
      </c>
      <c r="R14" s="705" t="s">
        <v>14</v>
      </c>
      <c r="S14" s="706">
        <f t="shared" si="0"/>
        <v>100</v>
      </c>
      <c r="T14" s="705" t="s">
        <v>14</v>
      </c>
      <c r="U14" s="706">
        <f t="shared" si="1"/>
        <v>100</v>
      </c>
      <c r="V14" s="705" t="s">
        <v>14</v>
      </c>
      <c r="W14" s="706">
        <f t="shared" si="2"/>
        <v>100</v>
      </c>
      <c r="X14" s="1355"/>
      <c r="Y14" s="370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10"/>
      <c r="Q15" s="1352"/>
      <c r="R15" s="705"/>
      <c r="S15" s="706"/>
      <c r="T15" s="705"/>
      <c r="U15" s="706"/>
      <c r="V15" s="705"/>
      <c r="W15" s="706"/>
      <c r="X15" s="1355"/>
      <c r="Y15" s="3710"/>
      <c r="Z15" s="1356"/>
      <c r="AA15" s="1353">
        <v>1</v>
      </c>
      <c r="AB15" s="1353">
        <v>1</v>
      </c>
      <c r="AC15" s="1353">
        <v>1</v>
      </c>
    </row>
    <row r="16" spans="1:29" ht="42.7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0"/>
      <c r="Q16" s="1352" t="str">
        <f>B16</f>
        <v>公共配套设施</v>
      </c>
      <c r="R16" s="705" t="s">
        <v>14</v>
      </c>
      <c r="S16" s="706">
        <f>F16</f>
        <v>100</v>
      </c>
      <c r="T16" s="705" t="s">
        <v>14</v>
      </c>
      <c r="U16" s="706">
        <f>H16</f>
        <v>100</v>
      </c>
      <c r="V16" s="705" t="s">
        <v>14</v>
      </c>
      <c r="W16" s="706">
        <f>J16</f>
        <v>100</v>
      </c>
      <c r="X16" s="1355"/>
      <c r="Y16" s="371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10"/>
      <c r="Q17" s="1352"/>
      <c r="R17" s="705"/>
      <c r="S17" s="706"/>
      <c r="T17" s="705"/>
      <c r="U17" s="706"/>
      <c r="V17" s="705"/>
      <c r="W17" s="706"/>
      <c r="X17" s="1355"/>
      <c r="Y17" s="3710"/>
      <c r="Z17" s="1356"/>
      <c r="AA17" s="1353">
        <v>1</v>
      </c>
      <c r="AB17" s="1353">
        <v>1</v>
      </c>
      <c r="AC17" s="1353">
        <v>1</v>
      </c>
    </row>
    <row r="18" spans="1:29" ht="28.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0"/>
      <c r="Q18" s="1352" t="str">
        <f>B18</f>
        <v>基础设施水平</v>
      </c>
      <c r="R18" s="705" t="s">
        <v>14</v>
      </c>
      <c r="S18" s="706">
        <f>F18</f>
        <v>100</v>
      </c>
      <c r="T18" s="705" t="s">
        <v>14</v>
      </c>
      <c r="U18" s="706">
        <f>H18</f>
        <v>100</v>
      </c>
      <c r="V18" s="705" t="s">
        <v>14</v>
      </c>
      <c r="W18" s="706">
        <f>J18</f>
        <v>100</v>
      </c>
      <c r="X18" s="1355"/>
      <c r="Y18" s="371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10"/>
      <c r="Q19" s="1352"/>
      <c r="R19" s="705"/>
      <c r="S19" s="706"/>
      <c r="T19" s="705"/>
      <c r="U19" s="706"/>
      <c r="V19" s="705"/>
      <c r="W19" s="706"/>
      <c r="X19" s="1355"/>
      <c r="Y19" s="3710"/>
      <c r="Z19" s="1356"/>
      <c r="AA19" s="1353">
        <v>1</v>
      </c>
      <c r="AB19" s="1353">
        <v>1</v>
      </c>
      <c r="AC19" s="1353">
        <v>1</v>
      </c>
    </row>
    <row r="20" spans="1:29" ht="57">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0"/>
      <c r="Q20" s="1352" t="str">
        <f>B20</f>
        <v>自然及人文环境</v>
      </c>
      <c r="R20" s="705" t="s">
        <v>14</v>
      </c>
      <c r="S20" s="706">
        <f>F20</f>
        <v>100</v>
      </c>
      <c r="T20" s="705" t="s">
        <v>14</v>
      </c>
      <c r="U20" s="706">
        <f>H20</f>
        <v>100</v>
      </c>
      <c r="V20" s="705" t="s">
        <v>14</v>
      </c>
      <c r="W20" s="706">
        <f>J20</f>
        <v>100</v>
      </c>
      <c r="X20" s="1355"/>
      <c r="Y20" s="371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10"/>
      <c r="Q21" s="1352"/>
      <c r="R21" s="705"/>
      <c r="S21" s="706"/>
      <c r="T21" s="705"/>
      <c r="U21" s="706"/>
      <c r="V21" s="705"/>
      <c r="W21" s="706"/>
      <c r="X21" s="1355"/>
      <c r="Y21" s="371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0"/>
      <c r="Q22" s="1352" t="str">
        <f>B22</f>
        <v>楼层</v>
      </c>
      <c r="R22" s="705" t="s">
        <v>14</v>
      </c>
      <c r="S22" s="706">
        <f>F22</f>
        <v>100</v>
      </c>
      <c r="T22" s="705" t="s">
        <v>14</v>
      </c>
      <c r="U22" s="706">
        <f>H22</f>
        <v>100</v>
      </c>
      <c r="V22" s="705" t="s">
        <v>14</v>
      </c>
      <c r="W22" s="706">
        <f>J22</f>
        <v>100</v>
      </c>
      <c r="X22" s="1355"/>
      <c r="Y22" s="371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0"/>
      <c r="Q23" s="1352">
        <f>B23</f>
        <v>111</v>
      </c>
      <c r="R23" s="705" t="s">
        <v>14</v>
      </c>
      <c r="S23" s="706">
        <f>F23</f>
        <v>100</v>
      </c>
      <c r="T23" s="705" t="s">
        <v>14</v>
      </c>
      <c r="U23" s="706">
        <f>H23</f>
        <v>100</v>
      </c>
      <c r="V23" s="705" t="s">
        <v>14</v>
      </c>
      <c r="W23" s="706">
        <f>J23</f>
        <v>100</v>
      </c>
      <c r="X23" s="1355"/>
      <c r="Y23" s="371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0"/>
      <c r="Q24" s="1352">
        <f t="shared" ref="Q24:Q34" si="11">B24</f>
        <v>111</v>
      </c>
      <c r="R24" s="705" t="s">
        <v>14</v>
      </c>
      <c r="S24" s="706">
        <f>F24</f>
        <v>100</v>
      </c>
      <c r="T24" s="705" t="s">
        <v>14</v>
      </c>
      <c r="U24" s="706">
        <f>H24</f>
        <v>100</v>
      </c>
      <c r="V24" s="705" t="s">
        <v>14</v>
      </c>
      <c r="W24" s="706">
        <f>J24</f>
        <v>100</v>
      </c>
      <c r="X24" s="1355"/>
      <c r="Y24" s="371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10"/>
      <c r="Q25" s="1343">
        <f t="shared" si="11"/>
        <v>111</v>
      </c>
      <c r="R25" s="701" t="s">
        <v>14</v>
      </c>
      <c r="S25" s="702">
        <f>F25</f>
        <v>100</v>
      </c>
      <c r="T25" s="701" t="s">
        <v>14</v>
      </c>
      <c r="U25" s="702">
        <f>H25</f>
        <v>100</v>
      </c>
      <c r="V25" s="701" t="s">
        <v>14</v>
      </c>
      <c r="W25" s="702">
        <f>J25</f>
        <v>100</v>
      </c>
      <c r="X25" s="703"/>
      <c r="Y25" s="371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4"/>
      <c r="Q27" s="707" t="str">
        <f t="shared" si="11"/>
        <v>成新率</v>
      </c>
      <c r="R27" s="708" t="s">
        <v>14</v>
      </c>
      <c r="S27" s="709" t="e">
        <f t="shared" si="12"/>
        <v>#N/A</v>
      </c>
      <c r="T27" s="708" t="s">
        <v>14</v>
      </c>
      <c r="U27" s="709" t="e">
        <f t="shared" si="13"/>
        <v>#N/A</v>
      </c>
      <c r="V27" s="708" t="s">
        <v>14</v>
      </c>
      <c r="W27" s="709" t="e">
        <f t="shared" si="14"/>
        <v>#N/A</v>
      </c>
      <c r="X27" s="710"/>
      <c r="Y27" s="371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4"/>
      <c r="Q28" s="1352" t="str">
        <f t="shared" si="11"/>
        <v>物业等级</v>
      </c>
      <c r="R28" s="705" t="s">
        <v>14</v>
      </c>
      <c r="S28" s="706">
        <f t="shared" si="12"/>
        <v>100</v>
      </c>
      <c r="T28" s="705" t="s">
        <v>14</v>
      </c>
      <c r="U28" s="706">
        <f t="shared" si="13"/>
        <v>100</v>
      </c>
      <c r="V28" s="705" t="s">
        <v>14</v>
      </c>
      <c r="W28" s="706">
        <f t="shared" si="14"/>
        <v>100</v>
      </c>
      <c r="X28" s="1355"/>
      <c r="Y28" s="371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4"/>
      <c r="Q29" s="1352" t="str">
        <f t="shared" si="11"/>
        <v>有无电梯</v>
      </c>
      <c r="R29" s="705" t="s">
        <v>14</v>
      </c>
      <c r="S29" s="706">
        <f t="shared" si="12"/>
        <v>100</v>
      </c>
      <c r="T29" s="705" t="s">
        <v>14</v>
      </c>
      <c r="U29" s="706">
        <f t="shared" si="13"/>
        <v>100</v>
      </c>
      <c r="V29" s="705" t="s">
        <v>14</v>
      </c>
      <c r="W29" s="706">
        <f t="shared" si="14"/>
        <v>100</v>
      </c>
      <c r="X29" s="1355"/>
      <c r="Y29" s="371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4"/>
      <c r="Q30" s="1352" t="str">
        <f t="shared" si="11"/>
        <v>建筑面积</v>
      </c>
      <c r="R30" s="705" t="s">
        <v>14</v>
      </c>
      <c r="S30" s="706" t="e">
        <f t="shared" si="12"/>
        <v>#N/A</v>
      </c>
      <c r="T30" s="705" t="s">
        <v>14</v>
      </c>
      <c r="U30" s="706" t="e">
        <f t="shared" si="13"/>
        <v>#N/A</v>
      </c>
      <c r="V30" s="705" t="s">
        <v>14</v>
      </c>
      <c r="W30" s="706" t="e">
        <f t="shared" si="14"/>
        <v>#N/A</v>
      </c>
      <c r="X30" s="1355"/>
      <c r="Y30" s="371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4"/>
      <c r="Q31" s="1343" t="str">
        <f t="shared" si="11"/>
        <v>是否封闭</v>
      </c>
      <c r="R31" s="701" t="s">
        <v>14</v>
      </c>
      <c r="S31" s="702">
        <f t="shared" si="12"/>
        <v>100</v>
      </c>
      <c r="T31" s="701" t="s">
        <v>14</v>
      </c>
      <c r="U31" s="702">
        <f t="shared" si="13"/>
        <v>100</v>
      </c>
      <c r="V31" s="701" t="s">
        <v>14</v>
      </c>
      <c r="W31" s="702">
        <f t="shared" si="14"/>
        <v>100</v>
      </c>
      <c r="X31" s="703"/>
      <c r="Y31" s="371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4" t="s">
        <v>1696</v>
      </c>
      <c r="Q32" s="1352">
        <f t="shared" si="11"/>
        <v>111</v>
      </c>
      <c r="R32" s="705" t="s">
        <v>14</v>
      </c>
      <c r="S32" s="706">
        <f t="shared" si="12"/>
        <v>100</v>
      </c>
      <c r="T32" s="705" t="s">
        <v>14</v>
      </c>
      <c r="U32" s="706">
        <f t="shared" si="13"/>
        <v>100</v>
      </c>
      <c r="V32" s="705" t="s">
        <v>14</v>
      </c>
      <c r="W32" s="706">
        <f t="shared" si="14"/>
        <v>100</v>
      </c>
      <c r="X32" s="1355"/>
      <c r="Y32" s="371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4"/>
      <c r="Q33" s="1352">
        <f t="shared" si="11"/>
        <v>111</v>
      </c>
      <c r="R33" s="705" t="s">
        <v>14</v>
      </c>
      <c r="S33" s="706">
        <f t="shared" si="12"/>
        <v>100</v>
      </c>
      <c r="T33" s="705" t="s">
        <v>14</v>
      </c>
      <c r="U33" s="706">
        <f t="shared" si="13"/>
        <v>100</v>
      </c>
      <c r="V33" s="705" t="s">
        <v>14</v>
      </c>
      <c r="W33" s="706">
        <f t="shared" si="14"/>
        <v>100</v>
      </c>
      <c r="X33" s="1355"/>
      <c r="Y33" s="371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14"/>
      <c r="Q34" s="1352">
        <f t="shared" si="11"/>
        <v>111</v>
      </c>
      <c r="R34" s="705" t="s">
        <v>14</v>
      </c>
      <c r="S34" s="706">
        <f t="shared" si="12"/>
        <v>100</v>
      </c>
      <c r="T34" s="705" t="s">
        <v>14</v>
      </c>
      <c r="U34" s="706">
        <f t="shared" si="13"/>
        <v>100</v>
      </c>
      <c r="V34" s="705" t="s">
        <v>14</v>
      </c>
      <c r="W34" s="706">
        <f t="shared" si="14"/>
        <v>100</v>
      </c>
      <c r="X34" s="1355"/>
      <c r="Y34" s="371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07" t="str">
        <f>A35</f>
        <v>成交单价（元/平方米）</v>
      </c>
      <c r="Q35" s="3707"/>
      <c r="R35" s="3708">
        <f>E35</f>
        <v>0</v>
      </c>
      <c r="S35" s="3708"/>
      <c r="T35" s="3708">
        <f>G35</f>
        <v>0</v>
      </c>
      <c r="U35" s="3708"/>
      <c r="V35" s="3708">
        <f>I35</f>
        <v>0</v>
      </c>
      <c r="W35" s="370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07" t="str">
        <f>A36</f>
        <v>比较价值（元/平方米）</v>
      </c>
      <c r="Q36" s="3707"/>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04" t="str">
        <f>A37</f>
        <v>估价对象XX用房的比较价值（楼面单价，元/平方米）</v>
      </c>
      <c r="Q37" s="3705"/>
      <c r="R37" s="3734" t="e">
        <f>IF(F1="售价",ROUND(IF(D36="简单平均",AVERAGE(R36:W36),R36*F36+T36*H36+V36*J36),0),ROUND(IF(D36="简单平均",AVERAGE(R36:V36),R36*F36+T36*H36+V36*J36),1))</f>
        <v>#DIV/0!</v>
      </c>
      <c r="S37" s="3734"/>
      <c r="T37" s="3734"/>
      <c r="U37" s="3734"/>
      <c r="V37" s="3734"/>
      <c r="W37" s="373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2025-3</v>
      </c>
      <c r="D46" s="1185">
        <f>EDATE(C46,-1)</f>
        <v>45689</v>
      </c>
      <c r="E46" s="1185">
        <f t="shared" ref="E46:O46" si="16">EDATE(D46,-1)</f>
        <v>45658</v>
      </c>
      <c r="F46" s="1185">
        <f t="shared" si="16"/>
        <v>45627</v>
      </c>
      <c r="G46" s="1185">
        <f t="shared" si="16"/>
        <v>45597</v>
      </c>
      <c r="H46" s="1185">
        <f t="shared" si="16"/>
        <v>45566</v>
      </c>
      <c r="I46" s="1185">
        <f t="shared" si="16"/>
        <v>45536</v>
      </c>
      <c r="J46" s="1185">
        <f t="shared" si="16"/>
        <v>45505</v>
      </c>
      <c r="K46" s="1185">
        <f t="shared" si="16"/>
        <v>45474</v>
      </c>
      <c r="L46" s="1185">
        <f t="shared" si="16"/>
        <v>45444</v>
      </c>
      <c r="M46" s="1185">
        <f t="shared" si="16"/>
        <v>45413</v>
      </c>
      <c r="N46" s="1185">
        <f t="shared" si="16"/>
        <v>45383</v>
      </c>
      <c r="O46" s="1185">
        <f t="shared" si="16"/>
        <v>45352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677" t="s">
        <v>1771</v>
      </c>
      <c r="S4" s="3678"/>
      <c r="T4" s="3677" t="s">
        <v>1772</v>
      </c>
      <c r="U4" s="3678"/>
      <c r="V4" s="3702" t="s">
        <v>1773</v>
      </c>
      <c r="W4" s="3702"/>
      <c r="X4" s="1355"/>
      <c r="Y4" s="3677" t="s">
        <v>1775</v>
      </c>
      <c r="Z4" s="3678"/>
      <c r="AA4" s="3672" t="s">
        <v>1771</v>
      </c>
      <c r="AB4" s="3673" t="s">
        <v>1772</v>
      </c>
      <c r="AC4" s="3672" t="s">
        <v>1773</v>
      </c>
    </row>
    <row r="5" spans="1:30" ht="15">
      <c r="A5" s="358"/>
      <c r="B5" s="359"/>
      <c r="C5" s="3683" t="s">
        <v>1673</v>
      </c>
      <c r="D5" s="3684"/>
      <c r="E5" s="3681" t="s">
        <v>1674</v>
      </c>
      <c r="F5" s="3682"/>
      <c r="G5" s="3683" t="s">
        <v>1675</v>
      </c>
      <c r="H5" s="3684"/>
      <c r="I5" s="3683" t="s">
        <v>1676</v>
      </c>
      <c r="J5" s="3684"/>
      <c r="K5" s="559"/>
      <c r="L5" s="2713"/>
      <c r="M5" s="2714"/>
      <c r="N5" s="2714"/>
      <c r="O5" s="2714"/>
      <c r="P5" s="3696"/>
      <c r="Q5" s="3697"/>
      <c r="R5" s="3679"/>
      <c r="S5" s="3680"/>
      <c r="T5" s="3679"/>
      <c r="U5" s="3680"/>
      <c r="V5" s="3702"/>
      <c r="W5" s="3702"/>
      <c r="X5" s="1355"/>
      <c r="Y5" s="3679"/>
      <c r="Z5" s="3680"/>
      <c r="AA5" s="3673"/>
      <c r="AB5" s="3673"/>
      <c r="AC5" s="3673"/>
    </row>
    <row r="6" spans="1:30" ht="15.75" thickBot="1">
      <c r="A6" s="360"/>
      <c r="B6" s="361"/>
      <c r="C6" s="3685" t="s">
        <v>1677</v>
      </c>
      <c r="D6" s="3686"/>
      <c r="E6" s="3687" t="s">
        <v>1677</v>
      </c>
      <c r="F6" s="3688"/>
      <c r="G6" s="3685" t="s">
        <v>1677</v>
      </c>
      <c r="H6" s="3686"/>
      <c r="I6" s="3685" t="s">
        <v>1677</v>
      </c>
      <c r="J6" s="3686"/>
      <c r="K6" s="559" t="s">
        <v>1678</v>
      </c>
      <c r="L6" s="2713"/>
      <c r="M6" s="2714"/>
      <c r="N6" s="2714"/>
      <c r="O6" s="2714"/>
      <c r="P6" s="3698"/>
      <c r="Q6" s="3699"/>
      <c r="R6" s="3679"/>
      <c r="S6" s="3680"/>
      <c r="T6" s="3700"/>
      <c r="U6" s="3701"/>
      <c r="V6" s="3702"/>
      <c r="W6" s="3702"/>
      <c r="X6" s="1355"/>
      <c r="Y6" s="3700"/>
      <c r="Z6" s="3701"/>
      <c r="AA6" s="3674"/>
      <c r="AB6" s="3674"/>
      <c r="AC6" s="3674"/>
    </row>
    <row r="7" spans="1:30" s="108" customFormat="1" ht="15.75" thickBot="1">
      <c r="A7" s="362" t="s">
        <v>1679</v>
      </c>
      <c r="B7" s="363"/>
      <c r="C7" s="364">
        <f>'数据-取费表'!B2</f>
        <v>45743</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75" t="s">
        <v>1680</v>
      </c>
      <c r="Q7" s="3703"/>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5" t="s">
        <v>1683</v>
      </c>
      <c r="Q8" s="3676"/>
      <c r="R8" s="701" t="s">
        <v>14</v>
      </c>
      <c r="S8" s="702">
        <f t="shared" si="0"/>
        <v>0</v>
      </c>
      <c r="T8" s="701" t="s">
        <v>14</v>
      </c>
      <c r="U8" s="702">
        <f t="shared" si="1"/>
        <v>0</v>
      </c>
      <c r="V8" s="701" t="s">
        <v>14</v>
      </c>
      <c r="W8" s="702">
        <f t="shared" si="2"/>
        <v>0</v>
      </c>
      <c r="X8" s="703"/>
      <c r="Y8" s="3675" t="s">
        <v>1683</v>
      </c>
      <c r="Z8" s="367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07"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7"/>
      <c r="M10" s="2718"/>
      <c r="N10" s="2718"/>
      <c r="O10" s="2771"/>
      <c r="P10" s="3707"/>
      <c r="Q10" s="1343" t="str">
        <f t="shared" si="6"/>
        <v>土地使用年限（年）</v>
      </c>
      <c r="R10" s="701" t="s">
        <v>14</v>
      </c>
      <c r="S10" s="702">
        <f t="shared" si="0"/>
        <v>108</v>
      </c>
      <c r="T10" s="701" t="s">
        <v>14</v>
      </c>
      <c r="U10" s="702">
        <f t="shared" si="1"/>
        <v>108</v>
      </c>
      <c r="V10" s="701" t="s">
        <v>14</v>
      </c>
      <c r="W10" s="702">
        <f t="shared" si="2"/>
        <v>108</v>
      </c>
      <c r="X10" s="703"/>
      <c r="Y10" s="3619"/>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7"/>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7"/>
      <c r="Q12" s="1343" t="str">
        <f t="shared" si="6"/>
        <v>配建</v>
      </c>
      <c r="R12" s="701" t="s">
        <v>14</v>
      </c>
      <c r="S12" s="702">
        <f t="shared" si="0"/>
        <v>100</v>
      </c>
      <c r="T12" s="701" t="s">
        <v>14</v>
      </c>
      <c r="U12" s="702">
        <f t="shared" si="1"/>
        <v>100</v>
      </c>
      <c r="V12" s="701" t="s">
        <v>14</v>
      </c>
      <c r="W12" s="702">
        <f t="shared" si="2"/>
        <v>100</v>
      </c>
      <c r="X12" s="703"/>
      <c r="Y12" s="361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7"/>
      <c r="Q13" s="1343">
        <f t="shared" si="6"/>
        <v>111</v>
      </c>
      <c r="R13" s="701" t="s">
        <v>14</v>
      </c>
      <c r="S13" s="702">
        <f t="shared" si="0"/>
        <v>100</v>
      </c>
      <c r="T13" s="701" t="s">
        <v>14</v>
      </c>
      <c r="U13" s="702">
        <f t="shared" si="1"/>
        <v>100</v>
      </c>
      <c r="V13" s="701" t="s">
        <v>14</v>
      </c>
      <c r="W13" s="702">
        <f t="shared" si="2"/>
        <v>100</v>
      </c>
      <c r="X13" s="703"/>
      <c r="Y13" s="361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7"/>
      <c r="Q14" s="1343">
        <f t="shared" si="6"/>
        <v>111</v>
      </c>
      <c r="R14" s="701" t="s">
        <v>14</v>
      </c>
      <c r="S14" s="702">
        <f t="shared" si="0"/>
        <v>100</v>
      </c>
      <c r="T14" s="701" t="s">
        <v>14</v>
      </c>
      <c r="U14" s="702">
        <f t="shared" si="1"/>
        <v>100</v>
      </c>
      <c r="V14" s="701" t="s">
        <v>14</v>
      </c>
      <c r="W14" s="702">
        <f t="shared" si="2"/>
        <v>100</v>
      </c>
      <c r="X14" s="703"/>
      <c r="Y14" s="3619"/>
      <c r="Z14" s="52">
        <f t="shared" si="7"/>
        <v>111</v>
      </c>
      <c r="AA14" s="704">
        <f>D14/F14</f>
        <v>1</v>
      </c>
      <c r="AB14" s="704">
        <f>D14/H14</f>
        <v>1</v>
      </c>
      <c r="AC14" s="704">
        <f>D14/J14</f>
        <v>1</v>
      </c>
    </row>
    <row r="15" spans="1:30" ht="99.7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9" t="s">
        <v>1691</v>
      </c>
      <c r="Q15" s="1352" t="str">
        <f t="shared" si="6"/>
        <v>居住社区成熟度</v>
      </c>
      <c r="R15" s="705" t="s">
        <v>14</v>
      </c>
      <c r="S15" s="706">
        <f t="shared" si="0"/>
        <v>100</v>
      </c>
      <c r="T15" s="705" t="s">
        <v>14</v>
      </c>
      <c r="U15" s="706">
        <f t="shared" si="1"/>
        <v>100</v>
      </c>
      <c r="V15" s="705" t="s">
        <v>14</v>
      </c>
      <c r="W15" s="706">
        <f t="shared" si="2"/>
        <v>100</v>
      </c>
      <c r="X15" s="1355"/>
      <c r="Y15" s="370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10"/>
      <c r="Q16" s="1352"/>
      <c r="R16" s="705"/>
      <c r="S16" s="706"/>
      <c r="T16" s="705"/>
      <c r="U16" s="706"/>
      <c r="V16" s="705"/>
      <c r="W16" s="706"/>
      <c r="X16" s="1355"/>
      <c r="Y16" s="3710"/>
      <c r="Z16" s="1356"/>
      <c r="AA16" s="1353">
        <v>1</v>
      </c>
      <c r="AB16" s="1353">
        <v>1</v>
      </c>
      <c r="AC16" s="1353">
        <v>1</v>
      </c>
    </row>
    <row r="17" spans="1:29" ht="71.2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0"/>
      <c r="Q17" s="1352" t="str">
        <f>B17</f>
        <v>商业繁华度</v>
      </c>
      <c r="R17" s="705" t="s">
        <v>14</v>
      </c>
      <c r="S17" s="706">
        <f>F17</f>
        <v>100</v>
      </c>
      <c r="T17" s="705" t="s">
        <v>14</v>
      </c>
      <c r="U17" s="706">
        <f>H17</f>
        <v>100</v>
      </c>
      <c r="V17" s="705" t="s">
        <v>14</v>
      </c>
      <c r="W17" s="706">
        <f>J17</f>
        <v>100</v>
      </c>
      <c r="X17" s="1355"/>
      <c r="Y17" s="371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10"/>
      <c r="Q18" s="1352"/>
      <c r="R18" s="705"/>
      <c r="S18" s="706"/>
      <c r="T18" s="705"/>
      <c r="U18" s="706"/>
      <c r="V18" s="705"/>
      <c r="W18" s="706"/>
      <c r="X18" s="1355"/>
      <c r="Y18" s="3710"/>
      <c r="Z18" s="1356"/>
      <c r="AA18" s="1353">
        <v>1</v>
      </c>
      <c r="AB18" s="1353">
        <v>1</v>
      </c>
      <c r="AC18" s="1353">
        <v>1</v>
      </c>
    </row>
    <row r="19" spans="1:29" ht="71.2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0"/>
      <c r="Q19" s="1352" t="str">
        <f>B19</f>
        <v>办公集聚程度</v>
      </c>
      <c r="R19" s="705" t="s">
        <v>14</v>
      </c>
      <c r="S19" s="706">
        <f>F19</f>
        <v>100</v>
      </c>
      <c r="T19" s="705" t="s">
        <v>14</v>
      </c>
      <c r="U19" s="706">
        <f>H19</f>
        <v>100</v>
      </c>
      <c r="V19" s="705" t="s">
        <v>14</v>
      </c>
      <c r="W19" s="706">
        <f>J19</f>
        <v>100</v>
      </c>
      <c r="X19" s="1355"/>
      <c r="Y19" s="371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10"/>
      <c r="Q20" s="1352"/>
      <c r="R20" s="705"/>
      <c r="S20" s="706"/>
      <c r="T20" s="705"/>
      <c r="U20" s="706"/>
      <c r="V20" s="705"/>
      <c r="W20" s="706"/>
      <c r="X20" s="1355"/>
      <c r="Y20" s="3710"/>
      <c r="Z20" s="1356"/>
      <c r="AA20" s="1353">
        <v>1</v>
      </c>
      <c r="AB20" s="1353">
        <v>1</v>
      </c>
      <c r="AC20" s="1353">
        <v>1</v>
      </c>
    </row>
    <row r="21" spans="1:29" ht="85.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0"/>
      <c r="Q21" s="1352" t="str">
        <f>B21</f>
        <v>交通便捷度</v>
      </c>
      <c r="R21" s="705" t="s">
        <v>14</v>
      </c>
      <c r="S21" s="706">
        <f>F21</f>
        <v>100</v>
      </c>
      <c r="T21" s="705" t="s">
        <v>14</v>
      </c>
      <c r="U21" s="706">
        <f>H21</f>
        <v>100</v>
      </c>
      <c r="V21" s="705" t="s">
        <v>14</v>
      </c>
      <c r="W21" s="706">
        <f>J21</f>
        <v>100</v>
      </c>
      <c r="X21" s="1355"/>
      <c r="Y21" s="371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10"/>
      <c r="Q22" s="1352"/>
      <c r="R22" s="705"/>
      <c r="S22" s="706"/>
      <c r="T22" s="705"/>
      <c r="U22" s="706"/>
      <c r="V22" s="705"/>
      <c r="W22" s="706"/>
      <c r="X22" s="1355"/>
      <c r="Y22" s="371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0"/>
      <c r="Q23" s="1352" t="str">
        <f t="shared" ref="Q23:Q37" si="8">B23</f>
        <v>区域土地利用方向</v>
      </c>
      <c r="R23" s="705" t="s">
        <v>14</v>
      </c>
      <c r="S23" s="706">
        <f>F23</f>
        <v>100</v>
      </c>
      <c r="T23" s="705" t="s">
        <v>14</v>
      </c>
      <c r="U23" s="706">
        <f>H23</f>
        <v>100</v>
      </c>
      <c r="V23" s="705" t="s">
        <v>14</v>
      </c>
      <c r="W23" s="706">
        <f>J23</f>
        <v>100</v>
      </c>
      <c r="X23" s="1355"/>
      <c r="Y23" s="371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10"/>
      <c r="Q24" s="1352"/>
      <c r="R24" s="705"/>
      <c r="S24" s="706"/>
      <c r="T24" s="705"/>
      <c r="U24" s="706"/>
      <c r="V24" s="705"/>
      <c r="W24" s="706"/>
      <c r="X24" s="1355"/>
      <c r="Y24" s="3710"/>
      <c r="Z24" s="1356"/>
      <c r="AA24" s="1353"/>
      <c r="AB24" s="1353"/>
      <c r="AC24" s="1353"/>
    </row>
    <row r="25" spans="1:29" ht="5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0"/>
      <c r="Q25" s="1352" t="str">
        <f t="shared" si="8"/>
        <v>自然及人文环境状况</v>
      </c>
      <c r="R25" s="705" t="s">
        <v>14</v>
      </c>
      <c r="S25" s="706">
        <f>F25</f>
        <v>100</v>
      </c>
      <c r="T25" s="705" t="s">
        <v>14</v>
      </c>
      <c r="U25" s="706">
        <f>H25</f>
        <v>100</v>
      </c>
      <c r="V25" s="705" t="s">
        <v>14</v>
      </c>
      <c r="W25" s="706">
        <f>J25</f>
        <v>100</v>
      </c>
      <c r="X25" s="1355"/>
      <c r="Y25" s="371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10"/>
      <c r="Q26" s="1352"/>
      <c r="R26" s="705"/>
      <c r="S26" s="706"/>
      <c r="T26" s="705"/>
      <c r="U26" s="706"/>
      <c r="V26" s="705"/>
      <c r="W26" s="706"/>
      <c r="X26" s="1355"/>
      <c r="Y26" s="3710"/>
      <c r="Z26" s="1356"/>
      <c r="AA26" s="1353">
        <v>1</v>
      </c>
      <c r="AB26" s="1353">
        <v>1</v>
      </c>
      <c r="AC26" s="1353">
        <v>1</v>
      </c>
    </row>
    <row r="27" spans="1:29" s="108" customFormat="1" ht="42.7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0"/>
      <c r="Q27" s="1343" t="str">
        <f t="shared" si="8"/>
        <v>公共配套设施</v>
      </c>
      <c r="R27" s="701" t="s">
        <v>14</v>
      </c>
      <c r="S27" s="702">
        <f>F27</f>
        <v>100</v>
      </c>
      <c r="T27" s="701" t="s">
        <v>14</v>
      </c>
      <c r="U27" s="702">
        <f>H27</f>
        <v>100</v>
      </c>
      <c r="V27" s="701" t="s">
        <v>14</v>
      </c>
      <c r="W27" s="702">
        <f>J27</f>
        <v>100</v>
      </c>
      <c r="X27" s="703"/>
      <c r="Y27" s="371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10"/>
      <c r="Q28" s="1343"/>
      <c r="R28" s="701"/>
      <c r="S28" s="702"/>
      <c r="T28" s="701"/>
      <c r="U28" s="702"/>
      <c r="V28" s="701"/>
      <c r="W28" s="702"/>
      <c r="X28" s="703"/>
      <c r="Y28" s="3710"/>
      <c r="Z28" s="52"/>
      <c r="AA28" s="1353">
        <v>1</v>
      </c>
      <c r="AB28" s="1353">
        <v>1</v>
      </c>
      <c r="AC28" s="1353">
        <v>1</v>
      </c>
    </row>
    <row r="29" spans="1:29" s="108" customFormat="1" ht="28.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0"/>
      <c r="Q29" s="1343" t="str">
        <f t="shared" ref="Q29" si="9">B29</f>
        <v>基础设施水平</v>
      </c>
      <c r="R29" s="701" t="s">
        <v>14</v>
      </c>
      <c r="S29" s="702">
        <f>F29</f>
        <v>100</v>
      </c>
      <c r="T29" s="701" t="s">
        <v>14</v>
      </c>
      <c r="U29" s="702">
        <f>H29</f>
        <v>100</v>
      </c>
      <c r="V29" s="701" t="s">
        <v>14</v>
      </c>
      <c r="W29" s="702">
        <f>J29</f>
        <v>100</v>
      </c>
      <c r="X29" s="703"/>
      <c r="Y29" s="371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10"/>
      <c r="Q30" s="1343"/>
      <c r="R30" s="701"/>
      <c r="S30" s="702"/>
      <c r="T30" s="701"/>
      <c r="U30" s="702"/>
      <c r="V30" s="701"/>
      <c r="W30" s="702"/>
      <c r="X30" s="703"/>
      <c r="Y30" s="371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0"/>
      <c r="Q32" s="1352" t="str">
        <f t="shared" si="8"/>
        <v>毗邻道路的类型与等级</v>
      </c>
      <c r="R32" s="705" t="s">
        <v>14</v>
      </c>
      <c r="S32" s="706">
        <f t="shared" si="10"/>
        <v>100</v>
      </c>
      <c r="T32" s="705" t="s">
        <v>14</v>
      </c>
      <c r="U32" s="706">
        <f t="shared" si="11"/>
        <v>100</v>
      </c>
      <c r="V32" s="705" t="s">
        <v>14</v>
      </c>
      <c r="W32" s="706">
        <f t="shared" si="12"/>
        <v>100</v>
      </c>
      <c r="X32" s="1355"/>
      <c r="Y32" s="371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10"/>
      <c r="Q33" s="1352"/>
      <c r="R33" s="705"/>
      <c r="S33" s="706"/>
      <c r="T33" s="705"/>
      <c r="U33" s="706"/>
      <c r="V33" s="705"/>
      <c r="W33" s="706"/>
      <c r="X33" s="1355"/>
      <c r="Y33" s="371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0"/>
      <c r="Q34" s="1352" t="str">
        <f t="shared" si="8"/>
        <v>土地级别</v>
      </c>
      <c r="R34" s="705" t="s">
        <v>14</v>
      </c>
      <c r="S34" s="706">
        <f t="shared" si="10"/>
        <v>100</v>
      </c>
      <c r="T34" s="705" t="s">
        <v>14</v>
      </c>
      <c r="U34" s="706">
        <f t="shared" si="11"/>
        <v>100</v>
      </c>
      <c r="V34" s="705" t="s">
        <v>14</v>
      </c>
      <c r="W34" s="706">
        <f t="shared" si="12"/>
        <v>100</v>
      </c>
      <c r="X34" s="1355"/>
      <c r="Y34" s="371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0"/>
      <c r="Q35" s="1352">
        <f t="shared" si="8"/>
        <v>111</v>
      </c>
      <c r="R35" s="705" t="s">
        <v>14</v>
      </c>
      <c r="S35" s="706">
        <f t="shared" si="10"/>
        <v>100</v>
      </c>
      <c r="T35" s="705" t="s">
        <v>14</v>
      </c>
      <c r="U35" s="706">
        <f t="shared" si="11"/>
        <v>100</v>
      </c>
      <c r="V35" s="705" t="s">
        <v>14</v>
      </c>
      <c r="W35" s="706">
        <f t="shared" si="12"/>
        <v>100</v>
      </c>
      <c r="X35" s="1355"/>
      <c r="Y35" s="371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3" t="s">
        <v>1696</v>
      </c>
      <c r="Q36" s="1352">
        <f t="shared" si="8"/>
        <v>111</v>
      </c>
      <c r="R36" s="705" t="s">
        <v>14</v>
      </c>
      <c r="S36" s="706">
        <f t="shared" si="10"/>
        <v>100</v>
      </c>
      <c r="T36" s="705" t="s">
        <v>14</v>
      </c>
      <c r="U36" s="706">
        <f t="shared" si="11"/>
        <v>100</v>
      </c>
      <c r="V36" s="705" t="s">
        <v>14</v>
      </c>
      <c r="W36" s="706">
        <f t="shared" si="12"/>
        <v>100</v>
      </c>
      <c r="X36" s="1355"/>
      <c r="Y36" s="371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4"/>
      <c r="Q37" s="1352">
        <f t="shared" si="8"/>
        <v>111</v>
      </c>
      <c r="R37" s="708" t="s">
        <v>14</v>
      </c>
      <c r="S37" s="709">
        <f t="shared" si="10"/>
        <v>100</v>
      </c>
      <c r="T37" s="708" t="s">
        <v>14</v>
      </c>
      <c r="U37" s="709">
        <f t="shared" si="11"/>
        <v>100</v>
      </c>
      <c r="V37" s="708" t="s">
        <v>14</v>
      </c>
      <c r="W37" s="709">
        <f t="shared" si="12"/>
        <v>100</v>
      </c>
      <c r="X37" s="710"/>
      <c r="Y37" s="371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4"/>
      <c r="Q38" s="1352" t="str">
        <f>B38</f>
        <v>宗地面积</v>
      </c>
      <c r="R38" s="705" t="s">
        <v>14</v>
      </c>
      <c r="S38" s="706" t="e">
        <f t="shared" si="10"/>
        <v>#N/A</v>
      </c>
      <c r="T38" s="705" t="s">
        <v>14</v>
      </c>
      <c r="U38" s="706" t="e">
        <f t="shared" si="11"/>
        <v>#N/A</v>
      </c>
      <c r="V38" s="705" t="s">
        <v>14</v>
      </c>
      <c r="W38" s="706" t="e">
        <f t="shared" si="12"/>
        <v>#N/A</v>
      </c>
      <c r="X38" s="1355"/>
      <c r="Y38" s="371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14"/>
      <c r="Q39" s="1352" t="str">
        <f t="shared" ref="Q39:Q45" si="14">B39</f>
        <v>宗地形状</v>
      </c>
      <c r="R39" s="705" t="s">
        <v>14</v>
      </c>
      <c r="S39" s="706">
        <f t="shared" si="10"/>
        <v>100</v>
      </c>
      <c r="T39" s="705" t="s">
        <v>14</v>
      </c>
      <c r="U39" s="706">
        <f t="shared" si="11"/>
        <v>100</v>
      </c>
      <c r="V39" s="705" t="s">
        <v>14</v>
      </c>
      <c r="W39" s="706">
        <f t="shared" si="12"/>
        <v>100</v>
      </c>
      <c r="X39" s="1355"/>
      <c r="Y39" s="371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14"/>
      <c r="Q40" s="1352" t="str">
        <f t="shared" si="14"/>
        <v>临街宽度及深度</v>
      </c>
      <c r="R40" s="705" t="s">
        <v>14</v>
      </c>
      <c r="S40" s="706">
        <f t="shared" si="10"/>
        <v>100</v>
      </c>
      <c r="T40" s="705" t="s">
        <v>14</v>
      </c>
      <c r="U40" s="706">
        <f t="shared" si="11"/>
        <v>100</v>
      </c>
      <c r="V40" s="705" t="s">
        <v>14</v>
      </c>
      <c r="W40" s="706">
        <f t="shared" si="12"/>
        <v>100</v>
      </c>
      <c r="X40" s="1355"/>
      <c r="Y40" s="371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14"/>
      <c r="Q41" s="1352" t="str">
        <f t="shared" si="14"/>
        <v>宗地开发程度</v>
      </c>
      <c r="R41" s="701" t="s">
        <v>14</v>
      </c>
      <c r="S41" s="702">
        <f t="shared" si="10"/>
        <v>100</v>
      </c>
      <c r="T41" s="701" t="s">
        <v>14</v>
      </c>
      <c r="U41" s="702">
        <f t="shared" si="11"/>
        <v>100</v>
      </c>
      <c r="V41" s="701" t="s">
        <v>14</v>
      </c>
      <c r="W41" s="702">
        <f t="shared" si="12"/>
        <v>100</v>
      </c>
      <c r="X41" s="703"/>
      <c r="Y41" s="371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14" t="s">
        <v>1696</v>
      </c>
      <c r="Q42" s="1352" t="str">
        <f t="shared" si="14"/>
        <v>工程地质条件</v>
      </c>
      <c r="R42" s="705" t="s">
        <v>14</v>
      </c>
      <c r="S42" s="706">
        <f t="shared" si="10"/>
        <v>100</v>
      </c>
      <c r="T42" s="705" t="s">
        <v>14</v>
      </c>
      <c r="U42" s="706">
        <f t="shared" si="11"/>
        <v>100</v>
      </c>
      <c r="V42" s="705" t="s">
        <v>14</v>
      </c>
      <c r="W42" s="706">
        <f t="shared" si="12"/>
        <v>100</v>
      </c>
      <c r="X42" s="1355"/>
      <c r="Y42" s="371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4"/>
      <c r="Q43" s="1352">
        <f t="shared" si="14"/>
        <v>111</v>
      </c>
      <c r="R43" s="705" t="s">
        <v>14</v>
      </c>
      <c r="S43" s="706">
        <f t="shared" si="10"/>
        <v>100</v>
      </c>
      <c r="T43" s="705" t="s">
        <v>14</v>
      </c>
      <c r="U43" s="706">
        <f t="shared" si="11"/>
        <v>100</v>
      </c>
      <c r="V43" s="705" t="s">
        <v>14</v>
      </c>
      <c r="W43" s="706">
        <f t="shared" si="12"/>
        <v>100</v>
      </c>
      <c r="X43" s="1355"/>
      <c r="Y43" s="371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4"/>
      <c r="Q44" s="1352">
        <f t="shared" si="14"/>
        <v>111</v>
      </c>
      <c r="R44" s="705" t="s">
        <v>14</v>
      </c>
      <c r="S44" s="706">
        <f t="shared" si="10"/>
        <v>100</v>
      </c>
      <c r="T44" s="705" t="s">
        <v>14</v>
      </c>
      <c r="U44" s="706">
        <f t="shared" si="11"/>
        <v>100</v>
      </c>
      <c r="V44" s="705" t="s">
        <v>14</v>
      </c>
      <c r="W44" s="706">
        <f t="shared" si="12"/>
        <v>100</v>
      </c>
      <c r="X44" s="1355"/>
      <c r="Y44" s="371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4"/>
      <c r="Q45" s="1352">
        <f t="shared" si="14"/>
        <v>111</v>
      </c>
      <c r="R45" s="708" t="s">
        <v>14</v>
      </c>
      <c r="S45" s="709">
        <f t="shared" si="10"/>
        <v>100</v>
      </c>
      <c r="T45" s="708" t="s">
        <v>14</v>
      </c>
      <c r="U45" s="709">
        <f t="shared" si="11"/>
        <v>100</v>
      </c>
      <c r="V45" s="708" t="s">
        <v>14</v>
      </c>
      <c r="W45" s="709">
        <f t="shared" si="12"/>
        <v>100</v>
      </c>
      <c r="X45" s="710"/>
      <c r="Y45" s="371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707" t="str">
        <f>A46</f>
        <v>成交单价</v>
      </c>
      <c r="Q46" s="3707"/>
      <c r="R46" s="3702">
        <f>E46</f>
        <v>0</v>
      </c>
      <c r="S46" s="3702"/>
      <c r="T46" s="3702">
        <f>G46</f>
        <v>0</v>
      </c>
      <c r="U46" s="3702"/>
      <c r="V46" s="3702">
        <f>I46</f>
        <v>0</v>
      </c>
      <c r="W46" s="370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07" t="str">
        <f>A47</f>
        <v>比较价值（元/平方米）</v>
      </c>
      <c r="Q47" s="3707"/>
      <c r="R47" s="3735" t="e">
        <f>ROUND(PRODUCT(R46,AA7:AA45),0)</f>
        <v>#DIV/0!</v>
      </c>
      <c r="S47" s="3735"/>
      <c r="T47" s="3735" t="e">
        <f>ROUND(PRODUCT(T46,AB7:AB45),0)</f>
        <v>#DIV/0!</v>
      </c>
      <c r="U47" s="3735"/>
      <c r="V47" s="3735" t="e">
        <f>ROUND(PRODUCT(V46,AC7:AC45),0)</f>
        <v>#DIV/0!</v>
      </c>
      <c r="W47" s="373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04" t="str">
        <f>A48</f>
        <v>估价对象XX用房的比较价值（楼面单价，元/平方米）</v>
      </c>
      <c r="Q48" s="3705"/>
      <c r="R48" s="3736" t="e">
        <f>ROUND(IF(D47="简单平均",AVERAGE(R47:W47),R47*F47+T47*H47+V47*J47),0)</f>
        <v>#DIV/0!</v>
      </c>
      <c r="S48" s="3736"/>
      <c r="T48" s="3736"/>
      <c r="U48" s="3736"/>
      <c r="V48" s="3736"/>
      <c r="W48" s="373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90" t="s">
        <v>1887</v>
      </c>
      <c r="H55" s="3737"/>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1718.77</v>
      </c>
      <c r="F56" s="886" t="e">
        <f t="shared" ref="F56:F64" si="15">ROUND(B56*E56/10000,0)</f>
        <v>#DIV/0!</v>
      </c>
      <c r="G56" s="3689"/>
      <c r="H56" s="3707"/>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1718.77</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677" t="s">
        <v>1771</v>
      </c>
      <c r="S4" s="3678"/>
      <c r="T4" s="3677" t="s">
        <v>1772</v>
      </c>
      <c r="U4" s="3678"/>
      <c r="V4" s="3702" t="s">
        <v>1773</v>
      </c>
      <c r="W4" s="3702"/>
      <c r="X4" s="1355"/>
      <c r="Y4" s="3677" t="s">
        <v>1775</v>
      </c>
      <c r="Z4" s="3678"/>
      <c r="AA4" s="3672" t="s">
        <v>1771</v>
      </c>
      <c r="AB4" s="3673" t="s">
        <v>1772</v>
      </c>
      <c r="AC4" s="3672" t="s">
        <v>1773</v>
      </c>
    </row>
    <row r="5" spans="1:29" ht="15">
      <c r="A5" s="358"/>
      <c r="B5" s="359"/>
      <c r="C5" s="3683" t="s">
        <v>1673</v>
      </c>
      <c r="D5" s="3684"/>
      <c r="E5" s="3681" t="s">
        <v>1674</v>
      </c>
      <c r="F5" s="3682"/>
      <c r="G5" s="3683" t="s">
        <v>1675</v>
      </c>
      <c r="H5" s="3684"/>
      <c r="I5" s="3683" t="s">
        <v>1676</v>
      </c>
      <c r="J5" s="3684"/>
      <c r="K5" s="559"/>
      <c r="L5" s="2713"/>
      <c r="M5" s="2714"/>
      <c r="N5" s="2714"/>
      <c r="O5" s="2714"/>
      <c r="P5" s="3696"/>
      <c r="Q5" s="3697"/>
      <c r="R5" s="3679"/>
      <c r="S5" s="3680"/>
      <c r="T5" s="3679"/>
      <c r="U5" s="3680"/>
      <c r="V5" s="3702"/>
      <c r="W5" s="3702"/>
      <c r="X5" s="1355"/>
      <c r="Y5" s="3679"/>
      <c r="Z5" s="3680"/>
      <c r="AA5" s="3673"/>
      <c r="AB5" s="3673"/>
      <c r="AC5" s="3673"/>
    </row>
    <row r="6" spans="1:29" ht="15.75" thickBot="1">
      <c r="A6" s="360"/>
      <c r="B6" s="361"/>
      <c r="C6" s="3738" t="s">
        <v>1919</v>
      </c>
      <c r="D6" s="3739"/>
      <c r="E6" s="3740" t="s">
        <v>1919</v>
      </c>
      <c r="F6" s="3741"/>
      <c r="G6" s="3738" t="s">
        <v>1919</v>
      </c>
      <c r="H6" s="3739"/>
      <c r="I6" s="3738" t="s">
        <v>1919</v>
      </c>
      <c r="J6" s="3739"/>
      <c r="K6" s="559" t="s">
        <v>1678</v>
      </c>
      <c r="L6" s="2713"/>
      <c r="M6" s="2714"/>
      <c r="N6" s="2714"/>
      <c r="O6" s="2714"/>
      <c r="P6" s="3698"/>
      <c r="Q6" s="3699"/>
      <c r="R6" s="3679"/>
      <c r="S6" s="3680"/>
      <c r="T6" s="3700"/>
      <c r="U6" s="3701"/>
      <c r="V6" s="3702"/>
      <c r="W6" s="3702"/>
      <c r="X6" s="1355"/>
      <c r="Y6" s="3700"/>
      <c r="Z6" s="3701"/>
      <c r="AA6" s="3674"/>
      <c r="AB6" s="3674"/>
      <c r="AC6" s="3674"/>
    </row>
    <row r="7" spans="1:29" s="108" customFormat="1" ht="15.75" thickBot="1">
      <c r="A7" s="362" t="s">
        <v>1679</v>
      </c>
      <c r="B7" s="363"/>
      <c r="C7" s="364">
        <f>'数据-取费表'!B2</f>
        <v>45743</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75" t="s">
        <v>1680</v>
      </c>
      <c r="Q7" s="3703"/>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5" t="s">
        <v>1683</v>
      </c>
      <c r="Q8" s="3676"/>
      <c r="R8" s="701" t="s">
        <v>14</v>
      </c>
      <c r="S8" s="702">
        <f t="shared" si="0"/>
        <v>0</v>
      </c>
      <c r="T8" s="701" t="s">
        <v>14</v>
      </c>
      <c r="U8" s="702">
        <f t="shared" si="1"/>
        <v>0</v>
      </c>
      <c r="V8" s="701" t="s">
        <v>14</v>
      </c>
      <c r="W8" s="702">
        <f t="shared" si="2"/>
        <v>0</v>
      </c>
      <c r="X8" s="703"/>
      <c r="Y8" s="3675" t="s">
        <v>1683</v>
      </c>
      <c r="Z8" s="367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07"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7"/>
      <c r="M10" s="2718"/>
      <c r="N10" s="2718"/>
      <c r="O10" s="2771"/>
      <c r="P10" s="3707"/>
      <c r="Q10" s="1343" t="str">
        <f t="shared" si="6"/>
        <v>土地使用年限（年）</v>
      </c>
      <c r="R10" s="701" t="s">
        <v>14</v>
      </c>
      <c r="S10" s="702">
        <f t="shared" si="0"/>
        <v>108</v>
      </c>
      <c r="T10" s="701" t="s">
        <v>14</v>
      </c>
      <c r="U10" s="702">
        <f t="shared" si="1"/>
        <v>108</v>
      </c>
      <c r="V10" s="701" t="s">
        <v>14</v>
      </c>
      <c r="W10" s="702">
        <f t="shared" si="2"/>
        <v>108</v>
      </c>
      <c r="X10" s="703"/>
      <c r="Y10" s="3619"/>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7"/>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7"/>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7"/>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7"/>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9" t="s">
        <v>1691</v>
      </c>
      <c r="Q15" s="1352" t="str">
        <f t="shared" si="6"/>
        <v>产业集聚程度</v>
      </c>
      <c r="R15" s="705" t="s">
        <v>14</v>
      </c>
      <c r="S15" s="706">
        <f t="shared" si="0"/>
        <v>100</v>
      </c>
      <c r="T15" s="705" t="s">
        <v>14</v>
      </c>
      <c r="U15" s="706">
        <f t="shared" si="1"/>
        <v>100</v>
      </c>
      <c r="V15" s="705" t="s">
        <v>14</v>
      </c>
      <c r="W15" s="706">
        <f t="shared" si="2"/>
        <v>100</v>
      </c>
      <c r="X15" s="1355"/>
      <c r="Y15" s="370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10"/>
      <c r="Q16" s="1352"/>
      <c r="R16" s="705"/>
      <c r="S16" s="706"/>
      <c r="T16" s="705"/>
      <c r="U16" s="706"/>
      <c r="V16" s="705"/>
      <c r="W16" s="706"/>
      <c r="X16" s="1355"/>
      <c r="Y16" s="371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0"/>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10"/>
      <c r="Q18" s="1352"/>
      <c r="R18" s="705"/>
      <c r="S18" s="706"/>
      <c r="T18" s="705"/>
      <c r="U18" s="706"/>
      <c r="V18" s="705"/>
      <c r="W18" s="706"/>
      <c r="X18" s="1355"/>
      <c r="Y18" s="371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0"/>
      <c r="Q19" s="1352" t="str">
        <f t="shared" ref="Q19:Q33" si="8">B19</f>
        <v>区域土地利用方向</v>
      </c>
      <c r="R19" s="705" t="s">
        <v>14</v>
      </c>
      <c r="S19" s="706">
        <f>F19</f>
        <v>100</v>
      </c>
      <c r="T19" s="705" t="s">
        <v>14</v>
      </c>
      <c r="U19" s="706">
        <f>H19</f>
        <v>100</v>
      </c>
      <c r="V19" s="705" t="s">
        <v>14</v>
      </c>
      <c r="W19" s="706">
        <f>J19</f>
        <v>100</v>
      </c>
      <c r="X19" s="1355"/>
      <c r="Y19" s="371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10"/>
      <c r="Q20" s="1352"/>
      <c r="R20" s="705"/>
      <c r="S20" s="706"/>
      <c r="T20" s="705"/>
      <c r="U20" s="706"/>
      <c r="V20" s="705"/>
      <c r="W20" s="706"/>
      <c r="X20" s="1355"/>
      <c r="Y20" s="371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0"/>
      <c r="Q21" s="1352" t="str">
        <f t="shared" si="8"/>
        <v>环境状况</v>
      </c>
      <c r="R21" s="705" t="s">
        <v>14</v>
      </c>
      <c r="S21" s="706">
        <f>F21</f>
        <v>100</v>
      </c>
      <c r="T21" s="705" t="s">
        <v>14</v>
      </c>
      <c r="U21" s="706">
        <f>H21</f>
        <v>100</v>
      </c>
      <c r="V21" s="705" t="s">
        <v>14</v>
      </c>
      <c r="W21" s="706">
        <f>J21</f>
        <v>100</v>
      </c>
      <c r="X21" s="1355"/>
      <c r="Y21" s="371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10"/>
      <c r="Q22" s="1352"/>
      <c r="R22" s="705"/>
      <c r="S22" s="706"/>
      <c r="T22" s="705"/>
      <c r="U22" s="706"/>
      <c r="V22" s="705"/>
      <c r="W22" s="706"/>
      <c r="X22" s="1355"/>
      <c r="Y22" s="371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0"/>
      <c r="Q23" s="1343" t="str">
        <f t="shared" si="8"/>
        <v>公共配套设施</v>
      </c>
      <c r="R23" s="701" t="s">
        <v>14</v>
      </c>
      <c r="S23" s="702">
        <f>F23</f>
        <v>100</v>
      </c>
      <c r="T23" s="701" t="s">
        <v>14</v>
      </c>
      <c r="U23" s="702">
        <f>H23</f>
        <v>100</v>
      </c>
      <c r="V23" s="701" t="s">
        <v>14</v>
      </c>
      <c r="W23" s="702">
        <f>J23</f>
        <v>100</v>
      </c>
      <c r="X23" s="703"/>
      <c r="Y23" s="371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10"/>
      <c r="Q24" s="1343"/>
      <c r="R24" s="701"/>
      <c r="S24" s="702"/>
      <c r="T24" s="701"/>
      <c r="U24" s="702"/>
      <c r="V24" s="701"/>
      <c r="W24" s="702"/>
      <c r="X24" s="703"/>
      <c r="Y24" s="371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0"/>
      <c r="Q25" s="1343" t="str">
        <f t="shared" ref="Q25" si="9">B25</f>
        <v>基础设施水平</v>
      </c>
      <c r="R25" s="701" t="s">
        <v>14</v>
      </c>
      <c r="S25" s="702">
        <f>F25</f>
        <v>100</v>
      </c>
      <c r="T25" s="701" t="s">
        <v>14</v>
      </c>
      <c r="U25" s="702">
        <f>H25</f>
        <v>100</v>
      </c>
      <c r="V25" s="701" t="s">
        <v>14</v>
      </c>
      <c r="W25" s="702">
        <f>J25</f>
        <v>100</v>
      </c>
      <c r="X25" s="703"/>
      <c r="Y25" s="371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10"/>
      <c r="Q26" s="1343"/>
      <c r="R26" s="701"/>
      <c r="S26" s="702"/>
      <c r="T26" s="701"/>
      <c r="U26" s="702"/>
      <c r="V26" s="701"/>
      <c r="W26" s="702"/>
      <c r="X26" s="703"/>
      <c r="Y26" s="371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0"/>
      <c r="Q28" s="1352" t="str">
        <f t="shared" si="8"/>
        <v>毗邻道路的类型与等级</v>
      </c>
      <c r="R28" s="705" t="s">
        <v>14</v>
      </c>
      <c r="S28" s="706">
        <f t="shared" si="10"/>
        <v>100</v>
      </c>
      <c r="T28" s="705" t="s">
        <v>14</v>
      </c>
      <c r="U28" s="706">
        <f t="shared" si="11"/>
        <v>100</v>
      </c>
      <c r="V28" s="705" t="s">
        <v>14</v>
      </c>
      <c r="W28" s="706">
        <f t="shared" si="12"/>
        <v>100</v>
      </c>
      <c r="X28" s="1355"/>
      <c r="Y28" s="371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10"/>
      <c r="Q29" s="1352"/>
      <c r="R29" s="705"/>
      <c r="S29" s="706"/>
      <c r="T29" s="705"/>
      <c r="U29" s="706"/>
      <c r="V29" s="705"/>
      <c r="W29" s="706"/>
      <c r="X29" s="1355"/>
      <c r="Y29" s="371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0"/>
      <c r="Q30" s="1352" t="str">
        <f t="shared" si="8"/>
        <v>土地级别</v>
      </c>
      <c r="R30" s="705" t="s">
        <v>14</v>
      </c>
      <c r="S30" s="706">
        <f t="shared" si="10"/>
        <v>100</v>
      </c>
      <c r="T30" s="705" t="s">
        <v>14</v>
      </c>
      <c r="U30" s="706">
        <f t="shared" si="11"/>
        <v>100</v>
      </c>
      <c r="V30" s="705" t="s">
        <v>14</v>
      </c>
      <c r="W30" s="706">
        <f t="shared" si="12"/>
        <v>100</v>
      </c>
      <c r="X30" s="1355"/>
      <c r="Y30" s="371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0"/>
      <c r="Q31" s="1352">
        <f t="shared" si="8"/>
        <v>111</v>
      </c>
      <c r="R31" s="705" t="s">
        <v>14</v>
      </c>
      <c r="S31" s="706">
        <f t="shared" si="10"/>
        <v>100</v>
      </c>
      <c r="T31" s="705" t="s">
        <v>14</v>
      </c>
      <c r="U31" s="706">
        <f t="shared" si="11"/>
        <v>100</v>
      </c>
      <c r="V31" s="705" t="s">
        <v>14</v>
      </c>
      <c r="W31" s="706">
        <f t="shared" si="12"/>
        <v>100</v>
      </c>
      <c r="X31" s="1355"/>
      <c r="Y31" s="371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3" t="s">
        <v>1696</v>
      </c>
      <c r="Q32" s="1352">
        <f t="shared" si="8"/>
        <v>111</v>
      </c>
      <c r="R32" s="705" t="s">
        <v>14</v>
      </c>
      <c r="S32" s="706">
        <f t="shared" si="10"/>
        <v>100</v>
      </c>
      <c r="T32" s="705" t="s">
        <v>14</v>
      </c>
      <c r="U32" s="706">
        <f t="shared" si="11"/>
        <v>100</v>
      </c>
      <c r="V32" s="705" t="s">
        <v>14</v>
      </c>
      <c r="W32" s="706">
        <f t="shared" si="12"/>
        <v>100</v>
      </c>
      <c r="X32" s="1355"/>
      <c r="Y32" s="371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4"/>
      <c r="Q33" s="1352">
        <f t="shared" si="8"/>
        <v>111</v>
      </c>
      <c r="R33" s="708" t="s">
        <v>14</v>
      </c>
      <c r="S33" s="709">
        <f t="shared" si="10"/>
        <v>100</v>
      </c>
      <c r="T33" s="708" t="s">
        <v>14</v>
      </c>
      <c r="U33" s="709">
        <f t="shared" si="11"/>
        <v>100</v>
      </c>
      <c r="V33" s="708" t="s">
        <v>14</v>
      </c>
      <c r="W33" s="709">
        <f t="shared" si="12"/>
        <v>100</v>
      </c>
      <c r="X33" s="710"/>
      <c r="Y33" s="371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4"/>
      <c r="Q34" s="1352" t="str">
        <f>B34</f>
        <v>宗地面积</v>
      </c>
      <c r="R34" s="705" t="s">
        <v>14</v>
      </c>
      <c r="S34" s="706" t="e">
        <f t="shared" si="10"/>
        <v>#N/A</v>
      </c>
      <c r="T34" s="705" t="s">
        <v>14</v>
      </c>
      <c r="U34" s="706" t="e">
        <f t="shared" si="11"/>
        <v>#N/A</v>
      </c>
      <c r="V34" s="705" t="s">
        <v>14</v>
      </c>
      <c r="W34" s="706" t="e">
        <f t="shared" si="12"/>
        <v>#N/A</v>
      </c>
      <c r="X34" s="1355"/>
      <c r="Y34" s="371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14"/>
      <c r="Q35" s="1352" t="str">
        <f t="shared" ref="Q35:Q40" si="14">B35</f>
        <v>宗地形状</v>
      </c>
      <c r="R35" s="705" t="s">
        <v>14</v>
      </c>
      <c r="S35" s="706">
        <f t="shared" si="10"/>
        <v>100</v>
      </c>
      <c r="T35" s="705" t="s">
        <v>14</v>
      </c>
      <c r="U35" s="706">
        <f t="shared" si="11"/>
        <v>100</v>
      </c>
      <c r="V35" s="705" t="s">
        <v>14</v>
      </c>
      <c r="W35" s="706">
        <f t="shared" si="12"/>
        <v>100</v>
      </c>
      <c r="X35" s="1355"/>
      <c r="Y35" s="371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14"/>
      <c r="Q36" s="1352" t="str">
        <f t="shared" si="14"/>
        <v>宗地开发程度</v>
      </c>
      <c r="R36" s="701" t="s">
        <v>14</v>
      </c>
      <c r="S36" s="702">
        <f t="shared" si="10"/>
        <v>100</v>
      </c>
      <c r="T36" s="701" t="s">
        <v>14</v>
      </c>
      <c r="U36" s="702">
        <f t="shared" si="11"/>
        <v>100</v>
      </c>
      <c r="V36" s="701" t="s">
        <v>14</v>
      </c>
      <c r="W36" s="702">
        <f t="shared" si="12"/>
        <v>100</v>
      </c>
      <c r="X36" s="703"/>
      <c r="Y36" s="371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14" t="s">
        <v>1696</v>
      </c>
      <c r="Q37" s="1352" t="str">
        <f t="shared" si="14"/>
        <v>工程地质条件</v>
      </c>
      <c r="R37" s="705" t="s">
        <v>14</v>
      </c>
      <c r="S37" s="706">
        <f t="shared" si="10"/>
        <v>100</v>
      </c>
      <c r="T37" s="705" t="s">
        <v>14</v>
      </c>
      <c r="U37" s="706">
        <f t="shared" si="11"/>
        <v>100</v>
      </c>
      <c r="V37" s="705" t="s">
        <v>14</v>
      </c>
      <c r="W37" s="706">
        <f t="shared" si="12"/>
        <v>100</v>
      </c>
      <c r="X37" s="1355"/>
      <c r="Y37" s="371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4"/>
      <c r="Q38" s="1352">
        <f t="shared" si="14"/>
        <v>111</v>
      </c>
      <c r="R38" s="705" t="s">
        <v>14</v>
      </c>
      <c r="S38" s="706">
        <f t="shared" si="10"/>
        <v>100</v>
      </c>
      <c r="T38" s="705" t="s">
        <v>14</v>
      </c>
      <c r="U38" s="706">
        <f t="shared" si="11"/>
        <v>100</v>
      </c>
      <c r="V38" s="705" t="s">
        <v>14</v>
      </c>
      <c r="W38" s="706">
        <f t="shared" si="12"/>
        <v>100</v>
      </c>
      <c r="X38" s="1355"/>
      <c r="Y38" s="371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4"/>
      <c r="Q39" s="1352">
        <f t="shared" si="14"/>
        <v>111</v>
      </c>
      <c r="R39" s="705" t="s">
        <v>14</v>
      </c>
      <c r="S39" s="706">
        <f t="shared" si="10"/>
        <v>100</v>
      </c>
      <c r="T39" s="705" t="s">
        <v>14</v>
      </c>
      <c r="U39" s="706">
        <f t="shared" si="11"/>
        <v>100</v>
      </c>
      <c r="V39" s="705" t="s">
        <v>14</v>
      </c>
      <c r="W39" s="706">
        <f t="shared" si="12"/>
        <v>100</v>
      </c>
      <c r="X39" s="1355"/>
      <c r="Y39" s="371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4"/>
      <c r="Q40" s="1352">
        <f t="shared" si="14"/>
        <v>111</v>
      </c>
      <c r="R40" s="708" t="s">
        <v>14</v>
      </c>
      <c r="S40" s="709">
        <f t="shared" si="10"/>
        <v>100</v>
      </c>
      <c r="T40" s="708" t="s">
        <v>14</v>
      </c>
      <c r="U40" s="709">
        <f t="shared" si="11"/>
        <v>100</v>
      </c>
      <c r="V40" s="708" t="s">
        <v>14</v>
      </c>
      <c r="W40" s="709">
        <f t="shared" si="12"/>
        <v>100</v>
      </c>
      <c r="X40" s="710"/>
      <c r="Y40" s="371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707" t="str">
        <f>A41</f>
        <v>成交单价</v>
      </c>
      <c r="Q41" s="3707"/>
      <c r="R41" s="3702">
        <f>E41</f>
        <v>0</v>
      </c>
      <c r="S41" s="3702"/>
      <c r="T41" s="3702">
        <f>G41</f>
        <v>0</v>
      </c>
      <c r="U41" s="3702"/>
      <c r="V41" s="3702">
        <f>I41</f>
        <v>0</v>
      </c>
      <c r="W41" s="370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07" t="str">
        <f>A42</f>
        <v>比较价值（元/平方米）</v>
      </c>
      <c r="Q42" s="3707"/>
      <c r="R42" s="3735" t="e">
        <f>ROUND(PRODUCT(R41,AA7:AA40),0)</f>
        <v>#DIV/0!</v>
      </c>
      <c r="S42" s="3735"/>
      <c r="T42" s="3735" t="e">
        <f>ROUND(PRODUCT(T41,AB7:AB40),0)</f>
        <v>#DIV/0!</v>
      </c>
      <c r="U42" s="3735"/>
      <c r="V42" s="3735" t="e">
        <f>ROUND(PRODUCT(V41,AC7:AC40),0)</f>
        <v>#DIV/0!</v>
      </c>
      <c r="W42" s="373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04" t="str">
        <f>A43</f>
        <v>估价对象XX用房的比较价值（楼面单价，元/平方米）</v>
      </c>
      <c r="Q43" s="3705"/>
      <c r="R43" s="3736" t="e">
        <f>ROUND(IF(D42="简单平均",AVERAGE(R42:W42),R42*F42+T42*H42+V42*J42),0)</f>
        <v>#DIV/0!</v>
      </c>
      <c r="S43" s="3736"/>
      <c r="T43" s="3736"/>
      <c r="U43" s="3736"/>
      <c r="V43" s="3736"/>
      <c r="W43" s="373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90" t="s">
        <v>1887</v>
      </c>
      <c r="H50" s="3737"/>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1718.77</v>
      </c>
      <c r="F51" s="639" t="e">
        <f t="shared" ref="F51:F60" si="15">ROUND(B51*E51/10000,0)</f>
        <v>#DIV/0!</v>
      </c>
      <c r="G51" s="3689"/>
      <c r="H51" s="3707"/>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27621.77</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55"/>
      <c r="B4" s="3756"/>
      <c r="C4" s="3756"/>
      <c r="D4" s="3757"/>
      <c r="E4" s="3757"/>
      <c r="F4" s="3757"/>
      <c r="G4" s="3757"/>
      <c r="H4" s="3757"/>
      <c r="I4" s="3757"/>
      <c r="J4" s="375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52" t="s">
        <v>1960</v>
      </c>
      <c r="X8" s="375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54"/>
      <c r="X9" s="3360" t="s">
        <v>3264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5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3234</v>
      </c>
      <c r="B12" s="3303" t="s">
        <v>3235</v>
      </c>
      <c r="C12" s="3304"/>
      <c r="D12" s="3305" t="s">
        <v>3236</v>
      </c>
      <c r="E12" s="3306" t="s">
        <v>3237</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3238</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3239</v>
      </c>
      <c r="G14" s="3310" t="s">
        <v>3239</v>
      </c>
      <c r="H14" s="3310" t="s">
        <v>3239</v>
      </c>
      <c r="I14" s="3310" t="s">
        <v>3239</v>
      </c>
      <c r="J14" s="3310" t="s">
        <v>3239</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3240</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3241</v>
      </c>
      <c r="B17" s="3319" t="s">
        <v>3242</v>
      </c>
      <c r="C17" s="3329">
        <f>ROUND(IF(OR(E2="工业",E2="公共服务"),1,IF(AND(E18=0,E19=0),1,IF(AND(E18=J24,E19=G19),0.8,IF(E19=0,1+E17*(-0.2),1+E17*G17*(-0.2))))),4)</f>
        <v>1</v>
      </c>
      <c r="D17" s="3320" t="s">
        <v>3243</v>
      </c>
      <c r="E17" s="3329" t="e">
        <f>ROUND(G18/I18,2)</f>
        <v>#DIV/0!</v>
      </c>
      <c r="F17" s="3320" t="s">
        <v>3246</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3244</v>
      </c>
      <c r="E18" s="3327"/>
      <c r="F18" s="3322" t="s">
        <v>3247</v>
      </c>
      <c r="G18" s="3326">
        <f>ROUND(1-(1/(POWER(1+G24,E18))),4)</f>
        <v>0</v>
      </c>
      <c r="H18" s="3322" t="s">
        <v>3249</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3245</v>
      </c>
      <c r="E19" s="3336"/>
      <c r="F19" s="3337" t="s">
        <v>3248</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59" t="s">
        <v>3250</v>
      </c>
      <c r="B20" s="167" t="s">
        <v>1994</v>
      </c>
      <c r="C20" s="3323" t="e">
        <f>ROUND(IF(F21="与级别开发程度一致",0,(G21-E21)/C21),0)</f>
        <v>#DIV/0!</v>
      </c>
      <c r="D20" s="3339" t="s">
        <v>1998</v>
      </c>
      <c r="E20" s="3340"/>
      <c r="F20" s="3765" t="s">
        <v>1995</v>
      </c>
      <c r="G20" s="3766"/>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45743</v>
      </c>
      <c r="H23" s="3341" t="s">
        <v>3252</v>
      </c>
      <c r="I23" s="3342" t="str">
        <f>IF(H23="季度增幅（自定义）",SUMIF(N25:N28,E2,O25:O28),"")</f>
        <v/>
      </c>
      <c r="J23" s="3444" t="s">
        <v>3251</v>
      </c>
      <c r="K23" s="1125"/>
      <c r="L23" s="2055" t="s">
        <v>2004</v>
      </c>
      <c r="M23" s="1328">
        <f>ROUND(SUMIF(地价!B2:G2,E2,地价!B16:G16),0)</f>
        <v>0</v>
      </c>
      <c r="N23" s="2056" t="s">
        <v>2005</v>
      </c>
      <c r="O23" s="763">
        <f>ROUNDDOWN(DATEDIF(E23,G23,"M")/3,0)</f>
        <v>16</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3331</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3254</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3256</v>
      </c>
      <c r="G33" s="2099"/>
      <c r="H33" s="2099"/>
      <c r="I33" s="2099"/>
      <c r="J33" s="2100"/>
      <c r="K33" s="1119"/>
      <c r="L33" s="3347" t="s">
        <v>3259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3257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3261</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3262</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4"/>
      <c r="B39" s="2041" t="s">
        <v>3255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3265</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3265</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3265</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3266</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2608</v>
      </c>
      <c r="B91" s="3376">
        <f>1+E93</f>
        <v>1</v>
      </c>
      <c r="C91" s="3369"/>
      <c r="D91" s="3370"/>
      <c r="E91" s="1814"/>
      <c r="F91" s="1814"/>
      <c r="G91" s="3371"/>
      <c r="H91" s="3372"/>
      <c r="I91" s="3373"/>
      <c r="J91" s="3374"/>
      <c r="K91" s="3374"/>
      <c r="L91" s="3374"/>
      <c r="M91" s="3374"/>
      <c r="N91" s="3374"/>
    </row>
    <row r="92" spans="1:37" ht="24.75">
      <c r="A92" s="3377" t="s">
        <v>3267</v>
      </c>
      <c r="B92" s="3364"/>
      <c r="C92" s="3364" t="s">
        <v>3276</v>
      </c>
      <c r="D92" s="3364" t="s">
        <v>3277</v>
      </c>
      <c r="E92" s="3346" t="s">
        <v>3278</v>
      </c>
      <c r="F92" s="3379" t="s">
        <v>3279</v>
      </c>
      <c r="G92" s="3364" t="s">
        <v>3280</v>
      </c>
      <c r="H92" s="3386" t="s">
        <v>3283</v>
      </c>
      <c r="I92" s="3364" t="s">
        <v>3284</v>
      </c>
      <c r="J92" s="3387" t="s">
        <v>3285</v>
      </c>
      <c r="K92" s="3387" t="s">
        <v>3286</v>
      </c>
      <c r="L92" s="3387" t="s">
        <v>3287</v>
      </c>
      <c r="M92" s="3387" t="s">
        <v>3288</v>
      </c>
      <c r="N92" s="3387" t="s">
        <v>3289</v>
      </c>
    </row>
    <row r="93" spans="1:37" ht="24">
      <c r="A93" s="3367" t="s">
        <v>3268</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3269</v>
      </c>
      <c r="B94" s="3368" t="str">
        <f>估价对象房地状况!C18</f>
        <v>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3265</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3270</v>
      </c>
      <c r="B96" s="3383" t="s">
        <v>3281</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3271</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3272</v>
      </c>
      <c r="B98" s="3384" t="s">
        <v>3282</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3273</v>
      </c>
      <c r="B99" s="3368" t="str">
        <f>估价对象房地状况!C21</f>
        <v>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3274</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3275</v>
      </c>
      <c r="B101" s="3385" t="str">
        <f>估价对象房地状况!C20</f>
        <v>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1" t="s">
        <v>3290</v>
      </c>
      <c r="B103" s="3761"/>
      <c r="C103" s="3761"/>
      <c r="D103" s="3761"/>
      <c r="E103" s="3761"/>
      <c r="F103" s="3761"/>
      <c r="G103" s="3761"/>
      <c r="H103" s="3761"/>
      <c r="I103" s="3761"/>
      <c r="J103" s="3761"/>
      <c r="K103" s="3388"/>
      <c r="L103" s="3388"/>
      <c r="M103" s="3388"/>
      <c r="N103" s="3388"/>
    </row>
    <row r="104" spans="1:14">
      <c r="A104" s="3762" t="s">
        <v>3291</v>
      </c>
      <c r="B104" s="3762" t="s">
        <v>3292</v>
      </c>
      <c r="C104" s="3389" t="s">
        <v>3293</v>
      </c>
      <c r="D104" s="3390"/>
      <c r="E104" s="3390"/>
      <c r="F104" s="3390"/>
      <c r="G104" s="3390"/>
      <c r="H104" s="3390"/>
      <c r="I104" s="3390"/>
      <c r="J104" s="3391"/>
      <c r="K104" s="3392"/>
      <c r="L104" s="3392"/>
      <c r="M104" s="3392"/>
      <c r="N104" s="3392"/>
    </row>
    <row r="105" spans="1:14">
      <c r="A105" s="3762"/>
      <c r="B105" s="3762"/>
      <c r="C105" s="3393" t="s">
        <v>3294</v>
      </c>
      <c r="D105" s="3393" t="s">
        <v>3295</v>
      </c>
      <c r="E105" s="3393" t="s">
        <v>3296</v>
      </c>
      <c r="F105" s="3393" t="s">
        <v>3297</v>
      </c>
      <c r="G105" s="3393" t="s">
        <v>3298</v>
      </c>
      <c r="H105" s="3393" t="s">
        <v>3299</v>
      </c>
      <c r="I105" s="3393" t="s">
        <v>3300</v>
      </c>
      <c r="J105" s="3393" t="s">
        <v>3301</v>
      </c>
      <c r="K105" s="3393" t="s">
        <v>3302</v>
      </c>
      <c r="L105" s="3393" t="s">
        <v>3303</v>
      </c>
      <c r="M105" s="3393" t="s">
        <v>3304</v>
      </c>
      <c r="N105" s="3393" t="s">
        <v>3305</v>
      </c>
    </row>
    <row r="106" spans="1:14">
      <c r="A106" s="3748" t="s">
        <v>3306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9"/>
      <c r="B111" s="3393" t="s">
        <v>3264</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1" t="s">
        <v>3307</v>
      </c>
      <c r="B113" s="3751"/>
      <c r="C113" s="3751"/>
      <c r="D113" s="3751"/>
      <c r="E113" s="3751"/>
      <c r="F113" s="3751"/>
      <c r="G113" s="3751"/>
      <c r="H113" s="3751"/>
      <c r="I113" s="3751"/>
      <c r="J113" s="375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3308</v>
      </c>
      <c r="B116" s="3414">
        <f>G3</f>
        <v>0</v>
      </c>
      <c r="C116" s="3398" t="s">
        <v>3309</v>
      </c>
      <c r="D116" s="3399">
        <f>SUMPRODUCT((A118:A122=F116)*(B117:M117=H116)*B118:M122)</f>
        <v>0</v>
      </c>
      <c r="E116" s="2000" t="s">
        <v>3310</v>
      </c>
      <c r="F116" s="3400">
        <f>E2</f>
        <v>0</v>
      </c>
      <c r="G116" s="2000" t="s">
        <v>3311</v>
      </c>
      <c r="H116" s="3400">
        <f>G2</f>
        <v>0</v>
      </c>
      <c r="I116" s="2000"/>
      <c r="J116" s="3401"/>
      <c r="K116" s="3401"/>
      <c r="L116" s="3401"/>
      <c r="M116" s="3401"/>
      <c r="N116" s="3396"/>
    </row>
    <row r="117" spans="1:14">
      <c r="A117" s="3402"/>
      <c r="B117" s="3403" t="s">
        <v>3312</v>
      </c>
      <c r="C117" s="3403" t="s">
        <v>3313</v>
      </c>
      <c r="D117" s="3403" t="s">
        <v>3314</v>
      </c>
      <c r="E117" s="3404" t="s">
        <v>3315</v>
      </c>
      <c r="F117" s="3404" t="s">
        <v>3316</v>
      </c>
      <c r="G117" s="3404" t="s">
        <v>3317</v>
      </c>
      <c r="H117" s="3405" t="s">
        <v>3318</v>
      </c>
      <c r="I117" s="3405" t="s">
        <v>3319</v>
      </c>
      <c r="J117" s="3406" t="s">
        <v>3320</v>
      </c>
      <c r="K117" s="3406" t="s">
        <v>3321</v>
      </c>
      <c r="L117" s="3406" t="s">
        <v>3322</v>
      </c>
      <c r="M117" s="3407" t="s">
        <v>3323</v>
      </c>
      <c r="N117" s="3396"/>
    </row>
    <row r="118" spans="1:14">
      <c r="A118" s="3408" t="s">
        <v>3324</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3325</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3326</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3327</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2608</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workbookViewId="0">
      <selection activeCell="C2" sqref="C2"/>
    </sheetView>
  </sheetViews>
  <sheetFormatPr defaultRowHeight="13.5"/>
  <cols>
    <col min="2" max="2" width="30.625" customWidth="1"/>
    <col min="3" max="3" width="38.125" customWidth="1"/>
    <col min="4" max="4" width="3.375" customWidth="1"/>
    <col min="5" max="5" width="14.125" customWidth="1"/>
  </cols>
  <sheetData>
    <row r="1" spans="1:6">
      <c r="A1" s="3456" t="s">
        <v>3488</v>
      </c>
      <c r="B1" t="s">
        <v>3401</v>
      </c>
      <c r="C1" t="s">
        <v>3402</v>
      </c>
      <c r="D1" t="s">
        <v>3403</v>
      </c>
      <c r="E1" t="s">
        <v>3404</v>
      </c>
      <c r="F1" s="3456" t="s">
        <v>3496</v>
      </c>
    </row>
    <row r="2" spans="1:6">
      <c r="A2">
        <v>1</v>
      </c>
      <c r="B2" t="s">
        <v>3405</v>
      </c>
      <c r="C2" s="3456" t="s">
        <v>3499</v>
      </c>
      <c r="D2" t="s">
        <v>3406</v>
      </c>
      <c r="E2">
        <v>1898.88</v>
      </c>
    </row>
    <row r="3" spans="1:6">
      <c r="A3">
        <v>2</v>
      </c>
      <c r="B3" t="s">
        <v>3407</v>
      </c>
      <c r="C3" t="s">
        <v>3408</v>
      </c>
      <c r="D3" t="s">
        <v>3409</v>
      </c>
      <c r="E3">
        <v>1898.88</v>
      </c>
    </row>
    <row r="4" spans="1:6">
      <c r="A4">
        <v>3</v>
      </c>
      <c r="B4" t="s">
        <v>3410</v>
      </c>
      <c r="C4" t="s">
        <v>3411</v>
      </c>
      <c r="D4" t="s">
        <v>3412</v>
      </c>
      <c r="E4">
        <v>1898.88</v>
      </c>
    </row>
    <row r="5" spans="1:6">
      <c r="A5">
        <v>4</v>
      </c>
      <c r="B5" t="s">
        <v>3413</v>
      </c>
      <c r="C5" t="s">
        <v>3414</v>
      </c>
      <c r="D5" t="s">
        <v>3415</v>
      </c>
      <c r="E5">
        <v>1898.88</v>
      </c>
    </row>
    <row r="6" spans="1:6">
      <c r="A6">
        <v>5</v>
      </c>
      <c r="B6" t="s">
        <v>3416</v>
      </c>
      <c r="C6" t="s">
        <v>3417</v>
      </c>
      <c r="D6" t="s">
        <v>3418</v>
      </c>
      <c r="E6">
        <v>1898.88</v>
      </c>
    </row>
    <row r="7" spans="1:6">
      <c r="A7">
        <v>6</v>
      </c>
      <c r="B7" t="s">
        <v>3419</v>
      </c>
      <c r="C7" t="s">
        <v>3420</v>
      </c>
      <c r="D7" t="s">
        <v>3421</v>
      </c>
      <c r="E7">
        <v>1898.88</v>
      </c>
    </row>
    <row r="8" spans="1:6">
      <c r="A8">
        <v>7</v>
      </c>
      <c r="B8" t="s">
        <v>3422</v>
      </c>
      <c r="C8" t="s">
        <v>3423</v>
      </c>
      <c r="D8" t="s">
        <v>3424</v>
      </c>
      <c r="E8">
        <v>1898.88</v>
      </c>
    </row>
    <row r="9" spans="1:6">
      <c r="A9">
        <v>8</v>
      </c>
      <c r="B9" t="s">
        <v>3425</v>
      </c>
      <c r="C9" t="s">
        <v>3426</v>
      </c>
      <c r="D9" t="s">
        <v>3427</v>
      </c>
      <c r="E9">
        <v>1898.88</v>
      </c>
    </row>
    <row r="10" spans="1:6">
      <c r="A10">
        <v>9</v>
      </c>
      <c r="B10" t="s">
        <v>3428</v>
      </c>
      <c r="C10" t="s">
        <v>3429</v>
      </c>
      <c r="D10" t="s">
        <v>3430</v>
      </c>
      <c r="E10">
        <v>1898.88</v>
      </c>
    </row>
    <row r="11" spans="1:6">
      <c r="A11">
        <v>10</v>
      </c>
      <c r="B11" t="s">
        <v>3431</v>
      </c>
      <c r="C11" t="s">
        <v>3432</v>
      </c>
      <c r="D11" t="s">
        <v>3433</v>
      </c>
      <c r="E11">
        <v>1898.88</v>
      </c>
    </row>
    <row r="12" spans="1:6">
      <c r="A12">
        <v>11</v>
      </c>
      <c r="B12" t="s">
        <v>3434</v>
      </c>
      <c r="C12" t="s">
        <v>3435</v>
      </c>
      <c r="D12" t="s">
        <v>3436</v>
      </c>
      <c r="E12">
        <v>1898.88</v>
      </c>
    </row>
    <row r="13" spans="1:6">
      <c r="A13">
        <v>12</v>
      </c>
      <c r="B13" t="s">
        <v>3437</v>
      </c>
      <c r="C13" t="s">
        <v>3438</v>
      </c>
      <c r="D13" t="s">
        <v>3439</v>
      </c>
      <c r="E13">
        <v>1898.88</v>
      </c>
    </row>
    <row r="14" spans="1:6">
      <c r="A14">
        <v>13</v>
      </c>
      <c r="B14" t="s">
        <v>3440</v>
      </c>
      <c r="C14" t="s">
        <v>3441</v>
      </c>
      <c r="D14" t="s">
        <v>3442</v>
      </c>
      <c r="E14">
        <v>1898.88</v>
      </c>
    </row>
    <row r="15" spans="1:6">
      <c r="A15">
        <v>14</v>
      </c>
      <c r="B15" t="s">
        <v>3443</v>
      </c>
      <c r="C15" t="s">
        <v>3444</v>
      </c>
      <c r="D15" t="s">
        <v>3445</v>
      </c>
      <c r="E15">
        <v>1898.88</v>
      </c>
    </row>
    <row r="16" spans="1:6">
      <c r="A16">
        <v>15</v>
      </c>
      <c r="B16" t="s">
        <v>3446</v>
      </c>
      <c r="C16" t="s">
        <v>3447</v>
      </c>
      <c r="D16" t="s">
        <v>3448</v>
      </c>
      <c r="E16">
        <v>1898.88</v>
      </c>
    </row>
    <row r="17" spans="1:6">
      <c r="A17">
        <v>16</v>
      </c>
      <c r="B17" t="s">
        <v>3449</v>
      </c>
      <c r="C17" t="s">
        <v>3450</v>
      </c>
      <c r="D17" t="s">
        <v>3451</v>
      </c>
      <c r="E17">
        <v>1898.88</v>
      </c>
    </row>
    <row r="18" spans="1:6">
      <c r="A18">
        <v>17</v>
      </c>
      <c r="B18" t="s">
        <v>3452</v>
      </c>
      <c r="C18" t="s">
        <v>3453</v>
      </c>
      <c r="D18" t="s">
        <v>3454</v>
      </c>
      <c r="E18">
        <v>1898.88</v>
      </c>
    </row>
    <row r="19" spans="1:6">
      <c r="A19">
        <v>18</v>
      </c>
      <c r="B19" t="s">
        <v>3455</v>
      </c>
      <c r="C19" t="s">
        <v>3456</v>
      </c>
      <c r="D19" t="s">
        <v>3457</v>
      </c>
      <c r="E19">
        <v>937.55</v>
      </c>
    </row>
    <row r="20" spans="1:6">
      <c r="A20">
        <v>19</v>
      </c>
      <c r="B20" t="s">
        <v>3458</v>
      </c>
      <c r="C20" t="s">
        <v>3459</v>
      </c>
      <c r="D20" t="s">
        <v>3460</v>
      </c>
      <c r="E20">
        <v>883.81</v>
      </c>
    </row>
    <row r="21" spans="1:6">
      <c r="A21" s="3804">
        <v>20</v>
      </c>
      <c r="B21" s="3804" t="s">
        <v>3461</v>
      </c>
      <c r="C21" s="3804" t="s">
        <v>3462</v>
      </c>
      <c r="D21" s="3804" t="s">
        <v>3463</v>
      </c>
      <c r="E21" s="3804">
        <v>1718.77</v>
      </c>
      <c r="F21" s="3804" t="s">
        <v>3494</v>
      </c>
    </row>
    <row r="22" spans="1:6">
      <c r="A22">
        <v>21</v>
      </c>
      <c r="B22" t="s">
        <v>3464</v>
      </c>
      <c r="C22" t="s">
        <v>3465</v>
      </c>
      <c r="D22" t="s">
        <v>3466</v>
      </c>
      <c r="E22">
        <v>2128.35</v>
      </c>
      <c r="F22" s="3456" t="s">
        <v>3494</v>
      </c>
    </row>
    <row r="23" spans="1:6">
      <c r="A23">
        <v>22</v>
      </c>
      <c r="B23" t="s">
        <v>3467</v>
      </c>
      <c r="C23" t="s">
        <v>3468</v>
      </c>
      <c r="D23" t="s">
        <v>3469</v>
      </c>
      <c r="E23">
        <v>1616.73</v>
      </c>
      <c r="F23" s="3456" t="s">
        <v>3495</v>
      </c>
    </row>
    <row r="24" spans="1:6">
      <c r="A24">
        <v>23</v>
      </c>
      <c r="B24" t="s">
        <v>3470</v>
      </c>
      <c r="C24" t="s">
        <v>3471</v>
      </c>
      <c r="D24" t="s">
        <v>3472</v>
      </c>
      <c r="E24">
        <v>2143.4499999999998</v>
      </c>
      <c r="F24" s="3456" t="s">
        <v>3494</v>
      </c>
    </row>
    <row r="25" spans="1:6">
      <c r="A25">
        <v>24</v>
      </c>
      <c r="B25" t="s">
        <v>3473</v>
      </c>
      <c r="C25" t="s">
        <v>3474</v>
      </c>
      <c r="D25" t="s">
        <v>3475</v>
      </c>
      <c r="E25">
        <v>564.41999999999996</v>
      </c>
      <c r="F25" s="3456" t="s">
        <v>2808</v>
      </c>
    </row>
    <row r="26" spans="1:6">
      <c r="A26">
        <v>25</v>
      </c>
      <c r="B26" t="s">
        <v>3476</v>
      </c>
      <c r="C26" t="s">
        <v>3477</v>
      </c>
      <c r="D26" t="s">
        <v>3478</v>
      </c>
      <c r="E26">
        <v>729.08</v>
      </c>
      <c r="F26" s="3456" t="s">
        <v>2808</v>
      </c>
    </row>
    <row r="27" spans="1:6">
      <c r="A27">
        <v>26</v>
      </c>
      <c r="B27" t="s">
        <v>3479</v>
      </c>
      <c r="C27" t="s">
        <v>3480</v>
      </c>
      <c r="D27" t="s">
        <v>3481</v>
      </c>
      <c r="E27">
        <v>91.7</v>
      </c>
      <c r="F27" s="3456" t="s">
        <v>2808</v>
      </c>
    </row>
    <row r="28" spans="1:6">
      <c r="A28">
        <v>27</v>
      </c>
      <c r="B28" t="s">
        <v>3482</v>
      </c>
      <c r="C28" t="s">
        <v>3483</v>
      </c>
      <c r="D28" t="s">
        <v>3484</v>
      </c>
      <c r="E28">
        <v>217.82</v>
      </c>
      <c r="F28" s="3456" t="s">
        <v>3494</v>
      </c>
    </row>
    <row r="29" spans="1:6">
      <c r="A29">
        <v>28</v>
      </c>
      <c r="B29" t="s">
        <v>3485</v>
      </c>
      <c r="C29" t="s">
        <v>3486</v>
      </c>
      <c r="D29" t="s">
        <v>3487</v>
      </c>
      <c r="E29">
        <v>39.76</v>
      </c>
      <c r="F29" s="3456" t="s">
        <v>3494</v>
      </c>
    </row>
    <row r="30" spans="1:6">
      <c r="A30" s="3456" t="s">
        <v>2588</v>
      </c>
      <c r="E30">
        <f>SUM(E2:E29)</f>
        <v>43352.400000000009</v>
      </c>
    </row>
  </sheetData>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2590</v>
      </c>
      <c r="B1" s="3070" t="s">
        <v>2591</v>
      </c>
      <c r="C1" s="3070" t="s">
        <v>2592</v>
      </c>
      <c r="D1" s="3070" t="s">
        <v>2593</v>
      </c>
      <c r="E1" s="3070" t="s">
        <v>2594</v>
      </c>
      <c r="F1" s="3070" t="s">
        <v>2595</v>
      </c>
      <c r="G1" s="3070" t="s">
        <v>2596</v>
      </c>
      <c r="H1" s="3070" t="s">
        <v>2597</v>
      </c>
      <c r="I1" s="3070" t="s">
        <v>2598</v>
      </c>
      <c r="J1" s="3070" t="s">
        <v>2599</v>
      </c>
      <c r="K1" s="3070" t="s">
        <v>2600</v>
      </c>
      <c r="L1" s="3070" t="s">
        <v>2601</v>
      </c>
      <c r="M1" s="3071" t="s">
        <v>2602</v>
      </c>
    </row>
    <row r="2" spans="1:13" ht="19.5" customHeight="1">
      <c r="A2" s="3073" t="s">
        <v>2603</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2604</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2605</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2606</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2607</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2608</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2609</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2610</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2611</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2612</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2613</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2614</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2615</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2616</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2617</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2618</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2619</v>
      </c>
      <c r="B18" s="3095"/>
      <c r="C18" s="3096"/>
      <c r="D18" s="3096"/>
      <c r="E18" s="3095"/>
      <c r="F18" s="3096"/>
      <c r="G18" s="3096"/>
    </row>
    <row r="19" spans="1:13" ht="19.5" customHeight="1" thickBot="1">
      <c r="A19" s="3093" t="s">
        <v>2620</v>
      </c>
      <c r="B19" s="3098" t="s">
        <v>2621</v>
      </c>
      <c r="C19" s="3098" t="s">
        <v>2622</v>
      </c>
      <c r="D19" s="3099"/>
      <c r="E19" s="3093" t="s">
        <v>2623</v>
      </c>
      <c r="F19" s="3100"/>
      <c r="G19" s="3100"/>
    </row>
    <row r="20" spans="1:13" ht="19.5" customHeight="1">
      <c r="A20" s="3774" t="s">
        <v>2603</v>
      </c>
      <c r="B20" s="3767" t="s">
        <v>2624</v>
      </c>
      <c r="C20" s="3101" t="s">
        <v>2435</v>
      </c>
      <c r="D20" s="3102"/>
      <c r="E20" s="3103">
        <v>1</v>
      </c>
      <c r="F20" s="3104" t="s">
        <v>2436</v>
      </c>
      <c r="G20" s="3104"/>
    </row>
    <row r="21" spans="1:13" ht="19.5" customHeight="1">
      <c r="A21" s="3775"/>
      <c r="B21" s="3768"/>
      <c r="C21" s="3105" t="s">
        <v>2437</v>
      </c>
      <c r="D21" s="3106"/>
      <c r="E21" s="3107">
        <v>1</v>
      </c>
      <c r="F21" s="3104" t="s">
        <v>2438</v>
      </c>
      <c r="G21" s="3104"/>
    </row>
    <row r="22" spans="1:13" ht="19.5" customHeight="1">
      <c r="A22" s="3775"/>
      <c r="B22" s="3768"/>
      <c r="C22" s="3105" t="s">
        <v>2439</v>
      </c>
      <c r="D22" s="3106"/>
      <c r="E22" s="3107">
        <v>0.9</v>
      </c>
      <c r="F22" s="3104" t="s">
        <v>2440</v>
      </c>
      <c r="G22" s="3104"/>
    </row>
    <row r="23" spans="1:13" ht="19.5" customHeight="1">
      <c r="A23" s="3775"/>
      <c r="B23" s="3768"/>
      <c r="C23" s="3105" t="s">
        <v>2441</v>
      </c>
      <c r="D23" s="3106"/>
      <c r="E23" s="3107">
        <v>0.9</v>
      </c>
      <c r="F23" s="3104" t="s">
        <v>2442</v>
      </c>
      <c r="G23" s="3104"/>
    </row>
    <row r="24" spans="1:13" ht="19.5" customHeight="1">
      <c r="A24" s="3775"/>
      <c r="B24" s="3768"/>
      <c r="C24" s="3105" t="s">
        <v>2443</v>
      </c>
      <c r="D24" s="3106"/>
      <c r="E24" s="3107">
        <v>0.8</v>
      </c>
      <c r="F24" s="3104" t="s">
        <v>2444</v>
      </c>
      <c r="G24" s="3104"/>
    </row>
    <row r="25" spans="1:13" ht="19.5" customHeight="1" thickBot="1">
      <c r="A25" s="3776"/>
      <c r="B25" s="3769"/>
      <c r="C25" s="3108" t="s">
        <v>2445</v>
      </c>
      <c r="D25" s="3109"/>
      <c r="E25" s="3110">
        <v>0.8</v>
      </c>
      <c r="F25" s="3104" t="s">
        <v>2446</v>
      </c>
      <c r="G25" s="3104"/>
    </row>
    <row r="26" spans="1:13" ht="19.5" customHeight="1" thickBot="1">
      <c r="A26" s="3111" t="s">
        <v>2625</v>
      </c>
      <c r="B26" s="3112" t="s">
        <v>2624</v>
      </c>
      <c r="C26" s="3113" t="s">
        <v>2626</v>
      </c>
      <c r="D26" s="3114"/>
      <c r="E26" s="3115">
        <v>1</v>
      </c>
      <c r="F26" s="3104" t="s">
        <v>2447</v>
      </c>
      <c r="G26" s="3104"/>
    </row>
    <row r="27" spans="1:13" ht="19.5" customHeight="1">
      <c r="A27" s="3770" t="s">
        <v>2627</v>
      </c>
      <c r="B27" s="3767" t="s">
        <v>2608</v>
      </c>
      <c r="C27" s="3101" t="s">
        <v>2448</v>
      </c>
      <c r="D27" s="3102"/>
      <c r="E27" s="3103">
        <v>1</v>
      </c>
      <c r="F27" s="3104" t="s">
        <v>2449</v>
      </c>
      <c r="G27" s="3104"/>
    </row>
    <row r="28" spans="1:13" ht="19.5" customHeight="1">
      <c r="A28" s="3771"/>
      <c r="B28" s="3768"/>
      <c r="C28" s="3105" t="s">
        <v>2450</v>
      </c>
      <c r="D28" s="3106"/>
      <c r="E28" s="3107">
        <v>1</v>
      </c>
      <c r="F28" s="3104" t="s">
        <v>2451</v>
      </c>
      <c r="G28" s="3104"/>
    </row>
    <row r="29" spans="1:13" ht="19.5" customHeight="1">
      <c r="A29" s="3771"/>
      <c r="B29" s="3768"/>
      <c r="C29" s="3105" t="s">
        <v>2452</v>
      </c>
      <c r="D29" s="3106"/>
      <c r="E29" s="3107">
        <v>0.8</v>
      </c>
      <c r="F29" s="3104" t="s">
        <v>2453</v>
      </c>
      <c r="G29" s="3104"/>
    </row>
    <row r="30" spans="1:13" ht="19.5" customHeight="1">
      <c r="A30" s="3771"/>
      <c r="B30" s="3768"/>
      <c r="C30" s="3105" t="s">
        <v>2454</v>
      </c>
      <c r="D30" s="3106"/>
      <c r="E30" s="3107">
        <v>0.8</v>
      </c>
      <c r="F30" s="3104" t="s">
        <v>2455</v>
      </c>
      <c r="G30" s="3104"/>
    </row>
    <row r="31" spans="1:13" ht="19.5" customHeight="1">
      <c r="A31" s="3771"/>
      <c r="B31" s="3768"/>
      <c r="C31" s="3105" t="s">
        <v>2456</v>
      </c>
      <c r="D31" s="3106"/>
      <c r="E31" s="3107">
        <v>0.8</v>
      </c>
      <c r="F31" s="3104" t="s">
        <v>2457</v>
      </c>
      <c r="G31" s="3104"/>
    </row>
    <row r="32" spans="1:13" ht="19.5" customHeight="1">
      <c r="A32" s="3771"/>
      <c r="B32" s="3768"/>
      <c r="C32" s="3105" t="s">
        <v>2458</v>
      </c>
      <c r="D32" s="3106"/>
      <c r="E32" s="3107">
        <v>0.7</v>
      </c>
      <c r="F32" s="3104" t="s">
        <v>2459</v>
      </c>
      <c r="G32" s="3104"/>
    </row>
    <row r="33" spans="1:7" ht="19.5" customHeight="1">
      <c r="A33" s="3771"/>
      <c r="B33" s="3768"/>
      <c r="C33" s="3105" t="s">
        <v>2460</v>
      </c>
      <c r="D33" s="3106"/>
      <c r="E33" s="3107">
        <v>0.8</v>
      </c>
      <c r="F33" s="3104" t="s">
        <v>2461</v>
      </c>
      <c r="G33" s="3104"/>
    </row>
    <row r="34" spans="1:7" ht="19.5" customHeight="1">
      <c r="A34" s="3771"/>
      <c r="B34" s="3768"/>
      <c r="C34" s="3105" t="s">
        <v>2462</v>
      </c>
      <c r="D34" s="3106"/>
      <c r="E34" s="3107">
        <v>0.6</v>
      </c>
      <c r="F34" s="3104" t="s">
        <v>2463</v>
      </c>
      <c r="G34" s="3104"/>
    </row>
    <row r="35" spans="1:7" ht="19.5" customHeight="1">
      <c r="A35" s="3771"/>
      <c r="B35" s="3768"/>
      <c r="C35" s="3105" t="s">
        <v>2464</v>
      </c>
      <c r="D35" s="3106"/>
      <c r="E35" s="3107">
        <v>0.2</v>
      </c>
      <c r="F35" s="3104" t="s">
        <v>2465</v>
      </c>
      <c r="G35" s="3104"/>
    </row>
    <row r="36" spans="1:7" ht="19.5" customHeight="1">
      <c r="A36" s="3771"/>
      <c r="B36" s="3768"/>
      <c r="C36" s="3105" t="s">
        <v>2466</v>
      </c>
      <c r="D36" s="3106"/>
      <c r="E36" s="3107">
        <v>0.2</v>
      </c>
      <c r="F36" s="3104" t="s">
        <v>2467</v>
      </c>
      <c r="G36" s="3104"/>
    </row>
    <row r="37" spans="1:7" ht="19.5" customHeight="1">
      <c r="A37" s="3771"/>
      <c r="B37" s="3773" t="s">
        <v>2628</v>
      </c>
      <c r="C37" s="3105" t="s">
        <v>2468</v>
      </c>
      <c r="D37" s="3106"/>
      <c r="E37" s="3107">
        <v>0.6</v>
      </c>
      <c r="F37" s="3104" t="s">
        <v>2469</v>
      </c>
      <c r="G37" s="3104"/>
    </row>
    <row r="38" spans="1:7" ht="19.5" customHeight="1">
      <c r="A38" s="3771"/>
      <c r="B38" s="3768"/>
      <c r="C38" s="3105" t="s">
        <v>2470</v>
      </c>
      <c r="D38" s="3106"/>
      <c r="E38" s="3107">
        <v>0.6</v>
      </c>
      <c r="F38" s="3104" t="s">
        <v>2471</v>
      </c>
      <c r="G38" s="3104"/>
    </row>
    <row r="39" spans="1:7" ht="19.5" customHeight="1" thickBot="1">
      <c r="A39" s="3772"/>
      <c r="B39" s="3769"/>
      <c r="C39" s="3108" t="s">
        <v>2472</v>
      </c>
      <c r="D39" s="3109"/>
      <c r="E39" s="3110">
        <v>0.6</v>
      </c>
      <c r="F39" s="3104" t="s">
        <v>2473</v>
      </c>
      <c r="G39" s="3104"/>
    </row>
    <row r="40" spans="1:7" ht="19.5" customHeight="1" thickBot="1">
      <c r="A40" s="3111" t="s">
        <v>2605</v>
      </c>
      <c r="B40" s="3112" t="s">
        <v>2605</v>
      </c>
      <c r="C40" s="3113" t="s">
        <v>2629</v>
      </c>
      <c r="D40" s="3114"/>
      <c r="E40" s="3115">
        <v>1</v>
      </c>
      <c r="F40" s="3104" t="s">
        <v>2474</v>
      </c>
      <c r="G40" s="3104"/>
    </row>
    <row r="41" spans="1:7" ht="19.5" customHeight="1">
      <c r="A41" s="3774" t="s">
        <v>2606</v>
      </c>
      <c r="B41" s="3767" t="s">
        <v>2630</v>
      </c>
      <c r="C41" s="3101" t="s">
        <v>2475</v>
      </c>
      <c r="D41" s="3102"/>
      <c r="E41" s="3103">
        <v>1</v>
      </c>
      <c r="F41" s="3104" t="s">
        <v>2476</v>
      </c>
      <c r="G41" s="3104"/>
    </row>
    <row r="42" spans="1:7" ht="19.5" customHeight="1">
      <c r="A42" s="3775"/>
      <c r="B42" s="3768"/>
      <c r="C42" s="3105" t="s">
        <v>2477</v>
      </c>
      <c r="D42" s="3106"/>
      <c r="E42" s="3107">
        <v>1</v>
      </c>
      <c r="F42" s="3104" t="s">
        <v>2478</v>
      </c>
      <c r="G42" s="3104"/>
    </row>
    <row r="43" spans="1:7" ht="19.5" customHeight="1">
      <c r="A43" s="3775"/>
      <c r="B43" s="3777"/>
      <c r="C43" s="3105" t="s">
        <v>2479</v>
      </c>
      <c r="D43" s="3106"/>
      <c r="E43" s="3107">
        <v>1.5</v>
      </c>
      <c r="F43" s="3104" t="s">
        <v>2480</v>
      </c>
      <c r="G43" s="3104"/>
    </row>
    <row r="44" spans="1:7" ht="19.5" customHeight="1">
      <c r="A44" s="3775"/>
      <c r="B44" s="3116" t="s">
        <v>2631</v>
      </c>
      <c r="C44" s="3105" t="s">
        <v>2632</v>
      </c>
      <c r="D44" s="3106"/>
      <c r="E44" s="3107">
        <v>2</v>
      </c>
      <c r="F44" s="3104" t="s">
        <v>2481</v>
      </c>
      <c r="G44" s="3104"/>
    </row>
    <row r="45" spans="1:7" ht="19.5" customHeight="1">
      <c r="A45" s="3775"/>
      <c r="B45" s="3773" t="s">
        <v>2633</v>
      </c>
      <c r="C45" s="3105" t="s">
        <v>2482</v>
      </c>
      <c r="D45" s="3106"/>
      <c r="E45" s="3107">
        <v>1</v>
      </c>
      <c r="F45" s="3104" t="s">
        <v>2483</v>
      </c>
      <c r="G45" s="3104"/>
    </row>
    <row r="46" spans="1:7" ht="19.5" customHeight="1">
      <c r="A46" s="3775"/>
      <c r="B46" s="3768"/>
      <c r="C46" s="3105" t="s">
        <v>2484</v>
      </c>
      <c r="D46" s="3106"/>
      <c r="E46" s="3107">
        <v>1</v>
      </c>
      <c r="F46" s="3104" t="s">
        <v>2485</v>
      </c>
      <c r="G46" s="3104"/>
    </row>
    <row r="47" spans="1:7" ht="19.5" customHeight="1">
      <c r="A47" s="3775"/>
      <c r="B47" s="3768"/>
      <c r="C47" s="3105" t="s">
        <v>2486</v>
      </c>
      <c r="D47" s="3106"/>
      <c r="E47" s="3107">
        <v>1</v>
      </c>
      <c r="F47" s="3104" t="s">
        <v>2487</v>
      </c>
      <c r="G47" s="3104"/>
    </row>
    <row r="48" spans="1:7" ht="19.5" customHeight="1">
      <c r="A48" s="3775"/>
      <c r="B48" s="3768"/>
      <c r="C48" s="3105" t="s">
        <v>2488</v>
      </c>
      <c r="D48" s="3106"/>
      <c r="E48" s="3107">
        <v>1</v>
      </c>
      <c r="F48" s="3104" t="s">
        <v>2489</v>
      </c>
      <c r="G48" s="3104"/>
    </row>
    <row r="49" spans="1:7" ht="19.5" customHeight="1">
      <c r="A49" s="3775"/>
      <c r="B49" s="3768"/>
      <c r="C49" s="3105" t="s">
        <v>2490</v>
      </c>
      <c r="D49" s="3106"/>
      <c r="E49" s="3107">
        <v>1</v>
      </c>
      <c r="F49" s="3104" t="s">
        <v>2491</v>
      </c>
      <c r="G49" s="3104"/>
    </row>
    <row r="50" spans="1:7" ht="19.5" customHeight="1">
      <c r="A50" s="3775"/>
      <c r="B50" s="3768"/>
      <c r="C50" s="3105" t="s">
        <v>2492</v>
      </c>
      <c r="D50" s="3106"/>
      <c r="E50" s="3107">
        <v>1</v>
      </c>
      <c r="F50" s="3104" t="s">
        <v>2493</v>
      </c>
      <c r="G50" s="3104"/>
    </row>
    <row r="51" spans="1:7" ht="19.5" customHeight="1" thickBot="1">
      <c r="A51" s="3776"/>
      <c r="B51" s="3769"/>
      <c r="C51" s="3108" t="s">
        <v>2494</v>
      </c>
      <c r="D51" s="3109"/>
      <c r="E51" s="3110">
        <v>1</v>
      </c>
      <c r="F51" s="3104" t="s">
        <v>2495</v>
      </c>
      <c r="G51" s="3104"/>
    </row>
    <row r="52" spans="1:7" ht="19.5" customHeight="1">
      <c r="A52" s="3117"/>
      <c r="B52" s="3117"/>
      <c r="C52" s="3117"/>
      <c r="D52" s="3117"/>
      <c r="E52" s="3117"/>
      <c r="F52" s="3117"/>
      <c r="G52" s="3117"/>
    </row>
    <row r="54" spans="1:7" ht="19.5" customHeight="1">
      <c r="A54" s="3118"/>
      <c r="B54" s="3090" t="s">
        <v>2634</v>
      </c>
      <c r="C54" s="3090" t="s">
        <v>2634</v>
      </c>
      <c r="D54" s="3090" t="s">
        <v>2634</v>
      </c>
      <c r="E54" s="3093" t="s">
        <v>2634</v>
      </c>
      <c r="F54" s="3093" t="s">
        <v>2635</v>
      </c>
      <c r="G54" s="3093" t="s">
        <v>2636</v>
      </c>
    </row>
    <row r="55" spans="1:7" ht="19.5" customHeight="1">
      <c r="A55" s="3119"/>
      <c r="B55" s="3093" t="s">
        <v>2603</v>
      </c>
      <c r="C55" s="3093" t="s">
        <v>2603</v>
      </c>
      <c r="D55" s="3093" t="s">
        <v>2603</v>
      </c>
      <c r="E55" s="3090" t="s">
        <v>2604</v>
      </c>
      <c r="F55" s="3090" t="s">
        <v>2606</v>
      </c>
      <c r="G55" s="3090" t="s">
        <v>2637</v>
      </c>
    </row>
    <row r="56" spans="1:7" ht="19.5" customHeight="1">
      <c r="A56" s="3120"/>
      <c r="B56" s="3090">
        <v>1</v>
      </c>
      <c r="C56" s="3090">
        <v>2</v>
      </c>
      <c r="D56" s="3090">
        <v>3</v>
      </c>
      <c r="E56" s="3121" t="s">
        <v>2638</v>
      </c>
      <c r="F56" s="3121" t="s">
        <v>2638</v>
      </c>
      <c r="G56" s="3121" t="s">
        <v>2638</v>
      </c>
    </row>
    <row r="57" spans="1:7" ht="19.5" customHeight="1">
      <c r="A57" s="3122" t="s">
        <v>2591</v>
      </c>
      <c r="B57" s="3090">
        <v>0.7</v>
      </c>
      <c r="C57" s="3090">
        <v>0.4</v>
      </c>
      <c r="D57" s="3090">
        <v>0.3</v>
      </c>
      <c r="E57" s="3121">
        <v>0.3</v>
      </c>
      <c r="F57" s="3090">
        <v>0.3</v>
      </c>
      <c r="G57" s="3090">
        <v>0.2</v>
      </c>
    </row>
    <row r="58" spans="1:7" ht="19.5" customHeight="1">
      <c r="A58" s="3122" t="s">
        <v>2592</v>
      </c>
      <c r="B58" s="3090">
        <v>0.7</v>
      </c>
      <c r="C58" s="3090">
        <v>0.4</v>
      </c>
      <c r="D58" s="3090">
        <v>0.3</v>
      </c>
      <c r="E58" s="3090">
        <v>0.3</v>
      </c>
      <c r="F58" s="3090">
        <v>0.3</v>
      </c>
      <c r="G58" s="3090">
        <v>0.2</v>
      </c>
    </row>
    <row r="59" spans="1:7" ht="19.5" customHeight="1">
      <c r="A59" s="3122" t="s">
        <v>2593</v>
      </c>
      <c r="B59" s="3090">
        <v>0.6</v>
      </c>
      <c r="C59" s="3090">
        <v>0.3</v>
      </c>
      <c r="D59" s="3090">
        <v>0.25</v>
      </c>
      <c r="E59" s="3090">
        <v>0.25</v>
      </c>
      <c r="F59" s="3090">
        <v>0.25</v>
      </c>
      <c r="G59" s="3090">
        <v>0.15</v>
      </c>
    </row>
    <row r="60" spans="1:7" ht="19.5" customHeight="1">
      <c r="A60" s="3122" t="s">
        <v>2594</v>
      </c>
      <c r="B60" s="3090">
        <v>0.6</v>
      </c>
      <c r="C60" s="3090">
        <v>0.3</v>
      </c>
      <c r="D60" s="3090">
        <v>0.25</v>
      </c>
      <c r="E60" s="3090">
        <v>0.25</v>
      </c>
      <c r="F60" s="3090">
        <v>0.25</v>
      </c>
      <c r="G60" s="3090">
        <v>0.15</v>
      </c>
    </row>
    <row r="61" spans="1:7" ht="19.5" customHeight="1">
      <c r="A61" s="3122" t="s">
        <v>2595</v>
      </c>
      <c r="B61" s="3090">
        <v>0.6</v>
      </c>
      <c r="C61" s="3090">
        <v>0.3</v>
      </c>
      <c r="D61" s="3090">
        <v>0.25</v>
      </c>
      <c r="E61" s="3090">
        <v>0.25</v>
      </c>
      <c r="F61" s="3090">
        <v>0.25</v>
      </c>
      <c r="G61" s="3090">
        <v>0.15</v>
      </c>
    </row>
    <row r="62" spans="1:7" ht="19.5" customHeight="1">
      <c r="A62" s="3122" t="s">
        <v>2596</v>
      </c>
      <c r="B62" s="3090">
        <v>0.6</v>
      </c>
      <c r="C62" s="3090">
        <v>0.3</v>
      </c>
      <c r="D62" s="3090">
        <v>0.25</v>
      </c>
      <c r="E62" s="3090">
        <v>0.25</v>
      </c>
      <c r="F62" s="3090">
        <v>0.25</v>
      </c>
      <c r="G62" s="3090">
        <v>0.15</v>
      </c>
    </row>
    <row r="63" spans="1:7" ht="19.5" customHeight="1">
      <c r="A63" s="3122" t="s">
        <v>2597</v>
      </c>
      <c r="B63" s="3090">
        <v>0.6</v>
      </c>
      <c r="C63" s="3090">
        <v>0.3</v>
      </c>
      <c r="D63" s="3090">
        <v>0.25</v>
      </c>
      <c r="E63" s="3090">
        <v>0.25</v>
      </c>
      <c r="F63" s="3090">
        <v>0.25</v>
      </c>
      <c r="G63" s="3090">
        <v>0.15</v>
      </c>
    </row>
    <row r="64" spans="1:7" ht="19.5" customHeight="1">
      <c r="A64" s="3122" t="s">
        <v>2598</v>
      </c>
      <c r="B64" s="3090">
        <v>0.5</v>
      </c>
      <c r="C64" s="3090">
        <v>0.2</v>
      </c>
      <c r="D64" s="3090">
        <v>0.2</v>
      </c>
      <c r="E64" s="3090">
        <v>0.2</v>
      </c>
      <c r="F64" s="3090">
        <v>0.2</v>
      </c>
      <c r="G64" s="3090">
        <v>0.1</v>
      </c>
    </row>
    <row r="65" spans="1:7" ht="19.5" customHeight="1">
      <c r="A65" s="3122" t="s">
        <v>2599</v>
      </c>
      <c r="B65" s="3090">
        <v>0.5</v>
      </c>
      <c r="C65" s="3090">
        <v>0.2</v>
      </c>
      <c r="D65" s="3090">
        <v>0.2</v>
      </c>
      <c r="E65" s="3090">
        <v>0.2</v>
      </c>
      <c r="F65" s="3090">
        <v>0.2</v>
      </c>
      <c r="G65" s="3090">
        <v>0.1</v>
      </c>
    </row>
    <row r="66" spans="1:7" ht="19.5" customHeight="1">
      <c r="A66" s="3122" t="s">
        <v>2600</v>
      </c>
      <c r="B66" s="3090">
        <v>0.5</v>
      </c>
      <c r="C66" s="3090">
        <v>0.2</v>
      </c>
      <c r="D66" s="3090">
        <v>0.2</v>
      </c>
      <c r="E66" s="3090">
        <v>0.2</v>
      </c>
      <c r="F66" s="3090">
        <v>0.2</v>
      </c>
      <c r="G66" s="3090">
        <v>0.1</v>
      </c>
    </row>
    <row r="67" spans="1:7" ht="19.5" customHeight="1">
      <c r="A67" s="3122" t="s">
        <v>2601</v>
      </c>
      <c r="B67" s="3090">
        <v>0.5</v>
      </c>
      <c r="C67" s="3090">
        <v>0.2</v>
      </c>
      <c r="D67" s="3090">
        <v>0.2</v>
      </c>
      <c r="E67" s="3090">
        <v>0.2</v>
      </c>
      <c r="F67" s="3090">
        <v>0.2</v>
      </c>
      <c r="G67" s="3090">
        <v>0.1</v>
      </c>
    </row>
    <row r="68" spans="1:7" ht="19.5" customHeight="1">
      <c r="A68" s="3122" t="s">
        <v>2602</v>
      </c>
      <c r="B68" s="3090">
        <v>0.5</v>
      </c>
      <c r="C68" s="3090">
        <v>0.2</v>
      </c>
      <c r="D68" s="3090">
        <v>0.2</v>
      </c>
      <c r="E68" s="3090">
        <v>0.2</v>
      </c>
      <c r="F68" s="3090">
        <v>0.2</v>
      </c>
      <c r="G68" s="3090">
        <v>0.1</v>
      </c>
    </row>
    <row r="70" spans="1:7" ht="19.5" customHeight="1">
      <c r="A70" s="3123"/>
      <c r="B70" s="3124"/>
      <c r="C70" s="3124"/>
      <c r="D70" s="3124" t="s">
        <v>2639</v>
      </c>
      <c r="E70" s="3124"/>
      <c r="F70" s="3124"/>
    </row>
    <row r="71" spans="1:7" ht="19.5" customHeight="1">
      <c r="A71" s="3116" t="s">
        <v>2640</v>
      </c>
      <c r="B71" s="3116" t="s">
        <v>2641</v>
      </c>
      <c r="C71" s="3116" t="s">
        <v>2642</v>
      </c>
      <c r="D71" s="3116" t="s">
        <v>2643</v>
      </c>
      <c r="E71" s="3116" t="s">
        <v>2644</v>
      </c>
      <c r="F71" s="3116" t="s">
        <v>2645</v>
      </c>
    </row>
    <row r="72" spans="1:7" ht="13.5">
      <c r="A72" s="3116"/>
      <c r="B72" s="3116"/>
      <c r="C72" s="3116" t="s">
        <v>2646</v>
      </c>
      <c r="D72" s="3116"/>
      <c r="E72" s="3116" t="s">
        <v>2617</v>
      </c>
      <c r="F72" s="3116" t="s">
        <v>2617</v>
      </c>
    </row>
    <row r="73" spans="1:7" ht="13.5">
      <c r="A73" s="3116">
        <v>1</v>
      </c>
      <c r="B73" s="3773" t="s">
        <v>2647</v>
      </c>
      <c r="C73" s="3090" t="s">
        <v>2648</v>
      </c>
      <c r="D73" s="3090" t="s">
        <v>2649</v>
      </c>
      <c r="E73" s="3116">
        <v>0.2</v>
      </c>
      <c r="F73" s="3116">
        <v>25</v>
      </c>
    </row>
    <row r="74" spans="1:7" ht="24">
      <c r="A74" s="3116">
        <v>2</v>
      </c>
      <c r="B74" s="3768"/>
      <c r="C74" s="3090" t="s">
        <v>2650</v>
      </c>
      <c r="D74" s="3090" t="s">
        <v>2651</v>
      </c>
      <c r="E74" s="3116">
        <v>0.2</v>
      </c>
      <c r="F74" s="3116">
        <v>25</v>
      </c>
    </row>
    <row r="75" spans="1:7" ht="24">
      <c r="A75" s="3116">
        <v>3</v>
      </c>
      <c r="B75" s="3768"/>
      <c r="C75" s="3090" t="s">
        <v>2652</v>
      </c>
      <c r="D75" s="3090" t="s">
        <v>2653</v>
      </c>
      <c r="E75" s="3116">
        <v>0.2</v>
      </c>
      <c r="F75" s="3116">
        <v>25</v>
      </c>
    </row>
    <row r="76" spans="1:7" ht="13.5">
      <c r="A76" s="3116">
        <v>4</v>
      </c>
      <c r="B76" s="3768"/>
      <c r="C76" s="3090" t="s">
        <v>2654</v>
      </c>
      <c r="D76" s="3090" t="s">
        <v>2655</v>
      </c>
      <c r="E76" s="3116">
        <v>0.15</v>
      </c>
      <c r="F76" s="3116">
        <v>20</v>
      </c>
    </row>
    <row r="77" spans="1:7" ht="24">
      <c r="A77" s="3116">
        <v>5</v>
      </c>
      <c r="B77" s="3768"/>
      <c r="C77" s="3090" t="s">
        <v>2656</v>
      </c>
      <c r="D77" s="3090" t="s">
        <v>2657</v>
      </c>
      <c r="E77" s="3116">
        <v>0.15</v>
      </c>
      <c r="F77" s="3116">
        <v>20</v>
      </c>
    </row>
    <row r="78" spans="1:7" ht="24">
      <c r="A78" s="3116">
        <v>6</v>
      </c>
      <c r="B78" s="3768"/>
      <c r="C78" s="3090" t="s">
        <v>2658</v>
      </c>
      <c r="D78" s="3090" t="s">
        <v>2659</v>
      </c>
      <c r="E78" s="3116">
        <v>0.15</v>
      </c>
      <c r="F78" s="3116">
        <v>20</v>
      </c>
    </row>
    <row r="79" spans="1:7" ht="24">
      <c r="A79" s="3116">
        <v>7</v>
      </c>
      <c r="B79" s="3768"/>
      <c r="C79" s="3090" t="s">
        <v>2660</v>
      </c>
      <c r="D79" s="3090" t="s">
        <v>2661</v>
      </c>
      <c r="E79" s="3116">
        <v>0.15</v>
      </c>
      <c r="F79" s="3116">
        <v>20</v>
      </c>
    </row>
    <row r="80" spans="1:7" ht="24">
      <c r="A80" s="3116">
        <v>8</v>
      </c>
      <c r="B80" s="3768"/>
      <c r="C80" s="3090" t="s">
        <v>2662</v>
      </c>
      <c r="D80" s="3090" t="s">
        <v>2663</v>
      </c>
      <c r="E80" s="3116">
        <v>0.1</v>
      </c>
      <c r="F80" s="3116">
        <v>15</v>
      </c>
    </row>
    <row r="81" spans="1:6" ht="24">
      <c r="A81" s="3116">
        <v>9</v>
      </c>
      <c r="B81" s="3768"/>
      <c r="C81" s="3090" t="s">
        <v>2664</v>
      </c>
      <c r="D81" s="3090" t="s">
        <v>2665</v>
      </c>
      <c r="E81" s="3116">
        <v>0.1</v>
      </c>
      <c r="F81" s="3116">
        <v>15</v>
      </c>
    </row>
    <row r="82" spans="1:6" ht="24">
      <c r="A82" s="3116">
        <v>10</v>
      </c>
      <c r="B82" s="3768"/>
      <c r="C82" s="3090" t="s">
        <v>2666</v>
      </c>
      <c r="D82" s="3090" t="s">
        <v>2667</v>
      </c>
      <c r="E82" s="3116">
        <v>0.1</v>
      </c>
      <c r="F82" s="3116">
        <v>15</v>
      </c>
    </row>
    <row r="83" spans="1:6" ht="24">
      <c r="A83" s="3116">
        <v>11</v>
      </c>
      <c r="B83" s="3768"/>
      <c r="C83" s="3090" t="s">
        <v>2668</v>
      </c>
      <c r="D83" s="3090" t="s">
        <v>2669</v>
      </c>
      <c r="E83" s="3116">
        <v>0.1</v>
      </c>
      <c r="F83" s="3116">
        <v>15</v>
      </c>
    </row>
    <row r="84" spans="1:6" ht="24">
      <c r="A84" s="3116">
        <v>12</v>
      </c>
      <c r="B84" s="3768"/>
      <c r="C84" s="3090" t="s">
        <v>2670</v>
      </c>
      <c r="D84" s="3090" t="s">
        <v>2671</v>
      </c>
      <c r="E84" s="3116">
        <v>0.1</v>
      </c>
      <c r="F84" s="3116">
        <v>15</v>
      </c>
    </row>
    <row r="85" spans="1:6" ht="13.5">
      <c r="A85" s="3116">
        <v>13</v>
      </c>
      <c r="B85" s="3768"/>
      <c r="C85" s="3090" t="s">
        <v>2672</v>
      </c>
      <c r="D85" s="3090" t="s">
        <v>2673</v>
      </c>
      <c r="E85" s="3116">
        <v>0.1</v>
      </c>
      <c r="F85" s="3116">
        <v>15</v>
      </c>
    </row>
    <row r="86" spans="1:6" ht="13.5">
      <c r="A86" s="3116">
        <v>14</v>
      </c>
      <c r="B86" s="3768"/>
      <c r="C86" s="3090" t="s">
        <v>2674</v>
      </c>
      <c r="D86" s="3090" t="s">
        <v>2675</v>
      </c>
      <c r="E86" s="3116">
        <v>0.1</v>
      </c>
      <c r="F86" s="3116">
        <v>15</v>
      </c>
    </row>
    <row r="87" spans="1:6" ht="13.5">
      <c r="A87" s="3116">
        <v>15</v>
      </c>
      <c r="B87" s="3768"/>
      <c r="C87" s="3090" t="s">
        <v>2676</v>
      </c>
      <c r="D87" s="3090" t="s">
        <v>2677</v>
      </c>
      <c r="E87" s="3116">
        <v>0.1</v>
      </c>
      <c r="F87" s="3116">
        <v>15</v>
      </c>
    </row>
    <row r="88" spans="1:6" ht="24">
      <c r="A88" s="3116">
        <v>16</v>
      </c>
      <c r="B88" s="3768"/>
      <c r="C88" s="3090" t="s">
        <v>2678</v>
      </c>
      <c r="D88" s="3090" t="s">
        <v>2679</v>
      </c>
      <c r="E88" s="3116">
        <v>0.1</v>
      </c>
      <c r="F88" s="3116">
        <v>15</v>
      </c>
    </row>
    <row r="89" spans="1:6" ht="24">
      <c r="A89" s="3116">
        <v>17</v>
      </c>
      <c r="B89" s="3777"/>
      <c r="C89" s="3090" t="s">
        <v>2680</v>
      </c>
      <c r="D89" s="3090" t="s">
        <v>2681</v>
      </c>
      <c r="E89" s="3116">
        <v>0.1</v>
      </c>
      <c r="F89" s="3116">
        <v>15</v>
      </c>
    </row>
    <row r="90" spans="1:6" ht="13.5">
      <c r="A90" s="3116">
        <v>18</v>
      </c>
      <c r="B90" s="3773" t="s">
        <v>2682</v>
      </c>
      <c r="C90" s="3090" t="s">
        <v>2683</v>
      </c>
      <c r="D90" s="3090" t="s">
        <v>2684</v>
      </c>
      <c r="E90" s="3116">
        <v>0.2</v>
      </c>
      <c r="F90" s="3116">
        <v>25</v>
      </c>
    </row>
    <row r="91" spans="1:6" ht="24">
      <c r="A91" s="3116">
        <v>19</v>
      </c>
      <c r="B91" s="3768"/>
      <c r="C91" s="3090" t="s">
        <v>2685</v>
      </c>
      <c r="D91" s="3090" t="s">
        <v>2686</v>
      </c>
      <c r="E91" s="3116">
        <v>0.2</v>
      </c>
      <c r="F91" s="3116">
        <v>25</v>
      </c>
    </row>
    <row r="92" spans="1:6" ht="13.5">
      <c r="A92" s="3116">
        <v>20</v>
      </c>
      <c r="B92" s="3768"/>
      <c r="C92" s="3090" t="s">
        <v>2687</v>
      </c>
      <c r="D92" s="3090" t="s">
        <v>2688</v>
      </c>
      <c r="E92" s="3116">
        <v>0.15</v>
      </c>
      <c r="F92" s="3116">
        <v>20</v>
      </c>
    </row>
    <row r="93" spans="1:6" ht="13.5">
      <c r="A93" s="3116">
        <v>21</v>
      </c>
      <c r="B93" s="3768"/>
      <c r="C93" s="3090" t="s">
        <v>2689</v>
      </c>
      <c r="D93" s="3090" t="s">
        <v>2690</v>
      </c>
      <c r="E93" s="3116">
        <v>0.15</v>
      </c>
      <c r="F93" s="3116">
        <v>20</v>
      </c>
    </row>
    <row r="94" spans="1:6" ht="13.5">
      <c r="A94" s="3116">
        <v>22</v>
      </c>
      <c r="B94" s="3768"/>
      <c r="C94" s="3090" t="s">
        <v>2691</v>
      </c>
      <c r="D94" s="3090" t="s">
        <v>2692</v>
      </c>
      <c r="E94" s="3116">
        <v>0.15</v>
      </c>
      <c r="F94" s="3116">
        <v>20</v>
      </c>
    </row>
    <row r="95" spans="1:6" ht="36">
      <c r="A95" s="3116">
        <v>23</v>
      </c>
      <c r="B95" s="3768"/>
      <c r="C95" s="3090" t="s">
        <v>2693</v>
      </c>
      <c r="D95" s="3090" t="s">
        <v>2694</v>
      </c>
      <c r="E95" s="3116">
        <v>0.15</v>
      </c>
      <c r="F95" s="3116">
        <v>20</v>
      </c>
    </row>
    <row r="96" spans="1:6" ht="13.5">
      <c r="A96" s="3116">
        <v>24</v>
      </c>
      <c r="B96" s="3768"/>
      <c r="C96" s="3090" t="s">
        <v>2695</v>
      </c>
      <c r="D96" s="3090" t="s">
        <v>2696</v>
      </c>
      <c r="E96" s="3116">
        <v>0.1</v>
      </c>
      <c r="F96" s="3116">
        <v>15</v>
      </c>
    </row>
    <row r="97" spans="1:6" ht="13.5">
      <c r="A97" s="3116">
        <v>25</v>
      </c>
      <c r="B97" s="3768"/>
      <c r="C97" s="3090" t="s">
        <v>2697</v>
      </c>
      <c r="D97" s="3090" t="s">
        <v>2698</v>
      </c>
      <c r="E97" s="3116">
        <v>0.1</v>
      </c>
      <c r="F97" s="3116">
        <v>15</v>
      </c>
    </row>
    <row r="98" spans="1:6" ht="24">
      <c r="A98" s="3116">
        <v>26</v>
      </c>
      <c r="B98" s="3768"/>
      <c r="C98" s="3090" t="s">
        <v>2699</v>
      </c>
      <c r="D98" s="3090" t="s">
        <v>2700</v>
      </c>
      <c r="E98" s="3116">
        <v>0.1</v>
      </c>
      <c r="F98" s="3116">
        <v>15</v>
      </c>
    </row>
    <row r="99" spans="1:6" ht="24">
      <c r="A99" s="3116">
        <v>27</v>
      </c>
      <c r="B99" s="3768"/>
      <c r="C99" s="3090" t="s">
        <v>2701</v>
      </c>
      <c r="D99" s="3090" t="s">
        <v>2702</v>
      </c>
      <c r="E99" s="3116">
        <v>0.1</v>
      </c>
      <c r="F99" s="3116">
        <v>15</v>
      </c>
    </row>
    <row r="100" spans="1:6" ht="13.5">
      <c r="A100" s="3116">
        <v>28</v>
      </c>
      <c r="B100" s="3768"/>
      <c r="C100" s="3090" t="s">
        <v>2703</v>
      </c>
      <c r="D100" s="3090" t="s">
        <v>2704</v>
      </c>
      <c r="E100" s="3116">
        <v>0.1</v>
      </c>
      <c r="F100" s="3116">
        <v>15</v>
      </c>
    </row>
    <row r="101" spans="1:6" ht="13.5">
      <c r="A101" s="3116">
        <v>29</v>
      </c>
      <c r="B101" s="3768"/>
      <c r="C101" s="3090" t="s">
        <v>2705</v>
      </c>
      <c r="D101" s="3090" t="s">
        <v>2706</v>
      </c>
      <c r="E101" s="3116">
        <v>0.1</v>
      </c>
      <c r="F101" s="3116">
        <v>15</v>
      </c>
    </row>
    <row r="102" spans="1:6" ht="13.5">
      <c r="A102" s="3116">
        <v>30</v>
      </c>
      <c r="B102" s="3768"/>
      <c r="C102" s="3090" t="s">
        <v>2707</v>
      </c>
      <c r="D102" s="3090" t="s">
        <v>2708</v>
      </c>
      <c r="E102" s="3116">
        <v>0.1</v>
      </c>
      <c r="F102" s="3116">
        <v>15</v>
      </c>
    </row>
    <row r="103" spans="1:6" ht="24">
      <c r="A103" s="3116">
        <v>31</v>
      </c>
      <c r="B103" s="3768"/>
      <c r="C103" s="3090" t="s">
        <v>2709</v>
      </c>
      <c r="D103" s="3090" t="s">
        <v>2710</v>
      </c>
      <c r="E103" s="3116">
        <v>0.1</v>
      </c>
      <c r="F103" s="3116">
        <v>15</v>
      </c>
    </row>
    <row r="104" spans="1:6" ht="24">
      <c r="A104" s="3116">
        <v>32</v>
      </c>
      <c r="B104" s="3768"/>
      <c r="C104" s="3090" t="s">
        <v>2711</v>
      </c>
      <c r="D104" s="3090" t="s">
        <v>2712</v>
      </c>
      <c r="E104" s="3116">
        <v>0.1</v>
      </c>
      <c r="F104" s="3116">
        <v>15</v>
      </c>
    </row>
    <row r="105" spans="1:6" ht="24">
      <c r="A105" s="3116">
        <v>33</v>
      </c>
      <c r="B105" s="3768"/>
      <c r="C105" s="3090" t="s">
        <v>2713</v>
      </c>
      <c r="D105" s="3090" t="s">
        <v>2714</v>
      </c>
      <c r="E105" s="3116">
        <v>0.1</v>
      </c>
      <c r="F105" s="3116">
        <v>15</v>
      </c>
    </row>
    <row r="106" spans="1:6" ht="24">
      <c r="A106" s="3116">
        <v>34</v>
      </c>
      <c r="B106" s="3777"/>
      <c r="C106" s="3090" t="s">
        <v>2715</v>
      </c>
      <c r="D106" s="3090" t="s">
        <v>2716</v>
      </c>
      <c r="E106" s="3116">
        <v>0.1</v>
      </c>
      <c r="F106" s="3116">
        <v>15</v>
      </c>
    </row>
    <row r="107" spans="1:6" ht="24">
      <c r="A107" s="3116">
        <v>35</v>
      </c>
      <c r="B107" s="3773" t="s">
        <v>2717</v>
      </c>
      <c r="C107" s="3116" t="s">
        <v>2718</v>
      </c>
      <c r="D107" s="3090" t="s">
        <v>2719</v>
      </c>
      <c r="E107" s="3116">
        <v>0.15</v>
      </c>
      <c r="F107" s="3116">
        <v>20</v>
      </c>
    </row>
    <row r="108" spans="1:6" ht="13.5">
      <c r="A108" s="3116">
        <v>36</v>
      </c>
      <c r="B108" s="3768"/>
      <c r="C108" s="3116" t="s">
        <v>2720</v>
      </c>
      <c r="D108" s="3090" t="s">
        <v>2721</v>
      </c>
      <c r="E108" s="3116">
        <v>0.15</v>
      </c>
      <c r="F108" s="3116">
        <v>20</v>
      </c>
    </row>
    <row r="109" spans="1:6" ht="13.5">
      <c r="A109" s="3116">
        <v>37</v>
      </c>
      <c r="B109" s="3768"/>
      <c r="C109" s="3116" t="s">
        <v>2722</v>
      </c>
      <c r="D109" s="3090" t="s">
        <v>2723</v>
      </c>
      <c r="E109" s="3116">
        <v>0.15</v>
      </c>
      <c r="F109" s="3116">
        <v>20</v>
      </c>
    </row>
    <row r="110" spans="1:6" ht="13.5">
      <c r="A110" s="3116">
        <v>38</v>
      </c>
      <c r="B110" s="3768"/>
      <c r="C110" s="3116" t="s">
        <v>2724</v>
      </c>
      <c r="D110" s="3090" t="s">
        <v>2725</v>
      </c>
      <c r="E110" s="3116">
        <v>0.1</v>
      </c>
      <c r="F110" s="3116">
        <v>15</v>
      </c>
    </row>
    <row r="111" spans="1:6" ht="24">
      <c r="A111" s="3116">
        <v>39</v>
      </c>
      <c r="B111" s="3768"/>
      <c r="C111" s="3116" t="s">
        <v>2726</v>
      </c>
      <c r="D111" s="3090" t="s">
        <v>2727</v>
      </c>
      <c r="E111" s="3116">
        <v>0.1</v>
      </c>
      <c r="F111" s="3116">
        <v>15</v>
      </c>
    </row>
    <row r="112" spans="1:6" ht="24">
      <c r="A112" s="3116">
        <v>40</v>
      </c>
      <c r="B112" s="3777"/>
      <c r="C112" s="3116" t="s">
        <v>2728</v>
      </c>
      <c r="D112" s="3090" t="s">
        <v>2729</v>
      </c>
      <c r="E112" s="3116">
        <v>0.1</v>
      </c>
      <c r="F112" s="3116">
        <v>15</v>
      </c>
    </row>
    <row r="113" spans="1:6" ht="13.5">
      <c r="A113" s="3116">
        <v>41</v>
      </c>
      <c r="B113" s="3778" t="s">
        <v>2730</v>
      </c>
      <c r="C113" s="3116" t="s">
        <v>2731</v>
      </c>
      <c r="D113" s="3090" t="s">
        <v>2732</v>
      </c>
      <c r="E113" s="3116">
        <v>0.1</v>
      </c>
      <c r="F113" s="3116">
        <v>15</v>
      </c>
    </row>
    <row r="114" spans="1:6" ht="13.5">
      <c r="A114" s="3116">
        <v>42</v>
      </c>
      <c r="B114" s="3778"/>
      <c r="C114" s="3116" t="s">
        <v>2733</v>
      </c>
      <c r="D114" s="3090" t="s">
        <v>2734</v>
      </c>
      <c r="E114" s="3116">
        <v>0.1</v>
      </c>
      <c r="F114" s="3116">
        <v>15</v>
      </c>
    </row>
    <row r="115" spans="1:6" ht="24">
      <c r="A115" s="3116">
        <v>43</v>
      </c>
      <c r="B115" s="3778"/>
      <c r="C115" s="3116" t="s">
        <v>2735</v>
      </c>
      <c r="D115" s="3090" t="s">
        <v>2736</v>
      </c>
      <c r="E115" s="3116">
        <v>0.1</v>
      </c>
      <c r="F115" s="3116">
        <v>15</v>
      </c>
    </row>
    <row r="116" spans="1:6" ht="13.5">
      <c r="A116" s="3116">
        <v>44</v>
      </c>
      <c r="B116" s="3773" t="s">
        <v>2737</v>
      </c>
      <c r="C116" s="3116" t="s">
        <v>2738</v>
      </c>
      <c r="D116" s="3090" t="s">
        <v>2739</v>
      </c>
      <c r="E116" s="3116">
        <v>0.1</v>
      </c>
      <c r="F116" s="3116">
        <v>15</v>
      </c>
    </row>
    <row r="117" spans="1:6" ht="24">
      <c r="A117" s="3116">
        <v>45</v>
      </c>
      <c r="B117" s="3777"/>
      <c r="C117" s="3090" t="s">
        <v>2740</v>
      </c>
      <c r="D117" s="3090" t="s">
        <v>2741</v>
      </c>
      <c r="E117" s="3116">
        <v>0.1</v>
      </c>
      <c r="F117" s="3116">
        <v>15</v>
      </c>
    </row>
    <row r="118" spans="1:6" ht="24">
      <c r="A118" s="3116">
        <v>46</v>
      </c>
      <c r="B118" s="3773" t="s">
        <v>2742</v>
      </c>
      <c r="C118" s="3116" t="s">
        <v>2743</v>
      </c>
      <c r="D118" s="3090" t="s">
        <v>2744</v>
      </c>
      <c r="E118" s="3116">
        <v>0.1</v>
      </c>
      <c r="F118" s="3116">
        <v>15</v>
      </c>
    </row>
    <row r="119" spans="1:6" ht="24">
      <c r="A119" s="3116">
        <v>47</v>
      </c>
      <c r="B119" s="3777"/>
      <c r="C119" s="3116" t="s">
        <v>2745</v>
      </c>
      <c r="D119" s="3090" t="s">
        <v>2746</v>
      </c>
      <c r="E119" s="3116">
        <v>0.1</v>
      </c>
      <c r="F119" s="3116">
        <v>15</v>
      </c>
    </row>
    <row r="120" spans="1:6" ht="13.5">
      <c r="A120" s="3116">
        <v>48</v>
      </c>
      <c r="B120" s="3773" t="s">
        <v>2747</v>
      </c>
      <c r="C120" s="3116" t="s">
        <v>2748</v>
      </c>
      <c r="D120" s="3090" t="s">
        <v>2749</v>
      </c>
      <c r="E120" s="3116">
        <v>0.1</v>
      </c>
      <c r="F120" s="3116">
        <v>15</v>
      </c>
    </row>
    <row r="121" spans="1:6" ht="13.5">
      <c r="A121" s="3116">
        <v>49</v>
      </c>
      <c r="B121" s="3777"/>
      <c r="C121" s="3116" t="s">
        <v>2750</v>
      </c>
      <c r="D121" s="3090" t="s">
        <v>2751</v>
      </c>
      <c r="E121" s="3116">
        <v>0.1</v>
      </c>
      <c r="F121" s="3116">
        <v>15</v>
      </c>
    </row>
    <row r="122" spans="1:6" ht="24">
      <c r="A122" s="3116">
        <v>50</v>
      </c>
      <c r="B122" s="3778" t="s">
        <v>2752</v>
      </c>
      <c r="C122" s="3116" t="s">
        <v>2753</v>
      </c>
      <c r="D122" s="3090" t="s">
        <v>2754</v>
      </c>
      <c r="E122" s="3116">
        <v>0.1</v>
      </c>
      <c r="F122" s="3116">
        <v>15</v>
      </c>
    </row>
    <row r="123" spans="1:6" ht="24">
      <c r="A123" s="3116">
        <v>51</v>
      </c>
      <c r="B123" s="3778"/>
      <c r="C123" s="3116" t="s">
        <v>2755</v>
      </c>
      <c r="D123" s="3090" t="s">
        <v>2756</v>
      </c>
      <c r="E123" s="3116">
        <v>0.1</v>
      </c>
      <c r="F123" s="3116">
        <v>15</v>
      </c>
    </row>
    <row r="124" spans="1:6" ht="24">
      <c r="A124" s="3116">
        <v>52</v>
      </c>
      <c r="B124" s="3778" t="s">
        <v>2757</v>
      </c>
      <c r="C124" s="3116" t="s">
        <v>2758</v>
      </c>
      <c r="D124" s="3090" t="s">
        <v>2759</v>
      </c>
      <c r="E124" s="3116">
        <v>0.1</v>
      </c>
      <c r="F124" s="3116">
        <v>15</v>
      </c>
    </row>
    <row r="125" spans="1:6" ht="24">
      <c r="A125" s="3116">
        <v>53</v>
      </c>
      <c r="B125" s="3778"/>
      <c r="C125" s="3116" t="s">
        <v>2760</v>
      </c>
      <c r="D125" s="3090" t="s">
        <v>2761</v>
      </c>
      <c r="E125" s="3116">
        <v>0.1</v>
      </c>
      <c r="F125" s="3116">
        <v>15</v>
      </c>
    </row>
    <row r="126" spans="1:6" ht="13.5">
      <c r="A126" s="3116">
        <v>54</v>
      </c>
      <c r="B126" s="3116" t="s">
        <v>2762</v>
      </c>
      <c r="C126" s="3116" t="s">
        <v>2763</v>
      </c>
      <c r="D126" s="3090" t="s">
        <v>2764</v>
      </c>
      <c r="E126" s="3116">
        <v>0.1</v>
      </c>
      <c r="F126" s="3116">
        <v>15</v>
      </c>
    </row>
    <row r="127" spans="1:6" ht="13.5">
      <c r="A127" s="3116">
        <v>55</v>
      </c>
      <c r="B127" s="3778" t="s">
        <v>2765</v>
      </c>
      <c r="C127" s="3116" t="s">
        <v>2766</v>
      </c>
      <c r="D127" s="3090" t="s">
        <v>2767</v>
      </c>
      <c r="E127" s="3116">
        <v>0.1</v>
      </c>
      <c r="F127" s="3116">
        <v>15</v>
      </c>
    </row>
    <row r="128" spans="1:6" ht="13.5">
      <c r="A128" s="3116">
        <v>56</v>
      </c>
      <c r="B128" s="3778"/>
      <c r="C128" s="3116" t="s">
        <v>2768</v>
      </c>
      <c r="D128" s="3090" t="s">
        <v>2769</v>
      </c>
      <c r="E128" s="3116">
        <v>0.1</v>
      </c>
      <c r="F128" s="3116">
        <v>15</v>
      </c>
    </row>
    <row r="129" spans="1:6" ht="24">
      <c r="A129" s="3116">
        <v>57</v>
      </c>
      <c r="B129" s="3778"/>
      <c r="C129" s="3116" t="s">
        <v>2770</v>
      </c>
      <c r="D129" s="3090" t="s">
        <v>2771</v>
      </c>
      <c r="E129" s="3116">
        <v>0.1</v>
      </c>
      <c r="F129" s="3116">
        <v>15</v>
      </c>
    </row>
    <row r="130" spans="1:6" ht="24">
      <c r="A130" s="3116">
        <v>58</v>
      </c>
      <c r="B130" s="3778" t="s">
        <v>2772</v>
      </c>
      <c r="C130" s="3116" t="s">
        <v>2773</v>
      </c>
      <c r="D130" s="3090" t="s">
        <v>2774</v>
      </c>
      <c r="E130" s="3116">
        <v>0.1</v>
      </c>
      <c r="F130" s="3116">
        <v>15</v>
      </c>
    </row>
    <row r="131" spans="1:6" ht="13.5">
      <c r="A131" s="3116">
        <v>59</v>
      </c>
      <c r="B131" s="3778"/>
      <c r="C131" s="3116" t="s">
        <v>2775</v>
      </c>
      <c r="D131" s="3090" t="s">
        <v>2776</v>
      </c>
      <c r="E131" s="3116">
        <v>0.1</v>
      </c>
      <c r="F131" s="3116">
        <v>15</v>
      </c>
    </row>
    <row r="132" spans="1:6" ht="13.5">
      <c r="A132" s="3116">
        <v>60</v>
      </c>
      <c r="B132" s="3773" t="s">
        <v>2777</v>
      </c>
      <c r="C132" s="3116" t="s">
        <v>2778</v>
      </c>
      <c r="D132" s="3090" t="s">
        <v>2779</v>
      </c>
      <c r="E132" s="3116">
        <v>0.1</v>
      </c>
      <c r="F132" s="3116">
        <v>15</v>
      </c>
    </row>
    <row r="133" spans="1:6" ht="13.5">
      <c r="A133" s="3116">
        <v>61</v>
      </c>
      <c r="B133" s="3777"/>
      <c r="C133" s="3116" t="s">
        <v>2780</v>
      </c>
      <c r="D133" s="3090" t="s">
        <v>2781</v>
      </c>
      <c r="E133" s="3116">
        <v>0.1</v>
      </c>
      <c r="F133" s="3116">
        <v>15</v>
      </c>
    </row>
    <row r="134" spans="1:6" ht="24">
      <c r="A134" s="3116">
        <v>62</v>
      </c>
      <c r="B134" s="3116" t="s">
        <v>2782</v>
      </c>
      <c r="C134" s="3116" t="s">
        <v>2783</v>
      </c>
      <c r="D134" s="3090" t="s">
        <v>2784</v>
      </c>
      <c r="E134" s="3116">
        <v>0.1</v>
      </c>
      <c r="F134" s="3116">
        <v>15</v>
      </c>
    </row>
    <row r="135" spans="1:6" ht="13.5">
      <c r="A135" s="3116">
        <v>63</v>
      </c>
      <c r="B135" s="3778" t="s">
        <v>2785</v>
      </c>
      <c r="C135" s="3116" t="s">
        <v>2786</v>
      </c>
      <c r="D135" s="3090" t="s">
        <v>2787</v>
      </c>
      <c r="E135" s="3116">
        <v>0.1</v>
      </c>
      <c r="F135" s="3116">
        <v>15</v>
      </c>
    </row>
    <row r="136" spans="1:6" ht="13.5">
      <c r="A136" s="3116">
        <v>64</v>
      </c>
      <c r="B136" s="3778"/>
      <c r="C136" s="3116" t="s">
        <v>2788</v>
      </c>
      <c r="D136" s="3090" t="s">
        <v>2789</v>
      </c>
      <c r="E136" s="3116">
        <v>0.1</v>
      </c>
      <c r="F136" s="3116">
        <v>15</v>
      </c>
    </row>
    <row r="137" spans="1:6" ht="13.5">
      <c r="A137" s="3116">
        <v>65</v>
      </c>
      <c r="B137" s="3116" t="s">
        <v>2790</v>
      </c>
      <c r="C137" s="3116" t="s">
        <v>2791</v>
      </c>
      <c r="D137" s="3090" t="s">
        <v>2792</v>
      </c>
      <c r="E137" s="3116">
        <v>0.1</v>
      </c>
      <c r="F137" s="3116">
        <v>15</v>
      </c>
    </row>
    <row r="138" spans="1:6" ht="13.5">
      <c r="A138" s="3116"/>
      <c r="B138" s="3116"/>
      <c r="C138" s="3116"/>
      <c r="D138" s="3116"/>
      <c r="E138" s="3116" t="s">
        <v>2793</v>
      </c>
      <c r="F138" s="3116"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3"/>
      <c r="B4" s="3464" t="s">
        <v>917</v>
      </c>
      <c r="C4" s="3464"/>
      <c r="D4" s="3464"/>
      <c r="E4" s="1493"/>
    </row>
    <row r="5" spans="1:5" ht="16.5" thickTop="1">
      <c r="A5" s="1491"/>
      <c r="B5" s="3462" t="s">
        <v>909</v>
      </c>
      <c r="C5" s="1494" t="s">
        <v>910</v>
      </c>
      <c r="D5" s="850">
        <f ca="1">结果表!H101</f>
        <v>5388</v>
      </c>
      <c r="E5" s="1491"/>
    </row>
    <row r="6" spans="1:5" ht="15.75">
      <c r="A6" s="1491"/>
      <c r="B6" s="3462"/>
      <c r="C6" s="1494" t="s">
        <v>911</v>
      </c>
      <c r="D6" s="850" t="str">
        <f ca="1">NUMBERSTRING(INT(D5*10000),2)&amp;"元整"</f>
        <v>伍仟叁佰捌拾捌万元整</v>
      </c>
      <c r="E6" s="1491"/>
    </row>
    <row r="7" spans="1:5" ht="15.75">
      <c r="A7" s="1491"/>
      <c r="B7" s="3467"/>
      <c r="C7" s="1495" t="s">
        <v>912</v>
      </c>
      <c r="D7" s="851">
        <f ca="1">结果表!H102</f>
        <v>31348</v>
      </c>
      <c r="E7" s="1491"/>
    </row>
    <row r="8" spans="1:5" ht="15.75">
      <c r="A8" s="1491"/>
      <c r="B8" s="3468" t="str">
        <f>结果表!E103</f>
        <v>2.估价师知悉的法定优先受偿款</v>
      </c>
      <c r="C8" s="1496" t="s">
        <v>913</v>
      </c>
      <c r="D8" s="851">
        <f>结果表!H103</f>
        <v>0</v>
      </c>
      <c r="E8" s="1491"/>
    </row>
    <row r="9" spans="1:5" ht="15.75">
      <c r="A9" s="1491"/>
      <c r="B9" s="34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1" t="str">
        <f>结果表!E107</f>
        <v>3.房地产抵押价值</v>
      </c>
      <c r="C13" s="1499" t="s">
        <v>910</v>
      </c>
      <c r="D13" s="853">
        <f ca="1">结果表!H107</f>
        <v>5388</v>
      </c>
      <c r="E13" s="1491"/>
    </row>
    <row r="14" spans="1:5" ht="15.75">
      <c r="A14" s="1491"/>
      <c r="B14" s="3462"/>
      <c r="C14" s="1494" t="s">
        <v>911</v>
      </c>
      <c r="D14" s="850" t="str">
        <f ca="1">NUMBERSTRING(INT(D13*10000),2)&amp;"元整"</f>
        <v>伍仟叁佰捌拾捌万元整</v>
      </c>
      <c r="E14" s="1491"/>
    </row>
    <row r="15" spans="1:5" ht="15">
      <c r="A15" s="1491"/>
      <c r="B15" s="3467"/>
      <c r="C15" s="1495" t="s">
        <v>921</v>
      </c>
      <c r="D15" s="859">
        <f ca="1">结果表!H108</f>
        <v>31348</v>
      </c>
      <c r="E15" s="1491"/>
    </row>
    <row r="16" spans="1:5" ht="15">
      <c r="A16" s="1491"/>
      <c r="B16" s="3468" t="str">
        <f>结果表!E109</f>
        <v>——</v>
      </c>
      <c r="C16" s="1499" t="s">
        <v>922</v>
      </c>
      <c r="D16" s="1500" t="str">
        <f>结果表!H109</f>
        <v>——</v>
      </c>
      <c r="E16" s="1491"/>
    </row>
    <row r="17" spans="1:5" ht="15.75">
      <c r="A17" s="1491"/>
      <c r="B17" s="3469"/>
      <c r="C17" s="1494" t="s">
        <v>923</v>
      </c>
      <c r="D17" s="850" t="e">
        <f>NUMBERSTRING(INT(D16*10000),2)&amp;"元整"</f>
        <v>#VALUE!</v>
      </c>
      <c r="E17" s="1491"/>
    </row>
    <row r="18" spans="1:5" ht="15">
      <c r="A18" s="1491"/>
      <c r="B18" s="3470"/>
      <c r="C18" s="1495" t="s">
        <v>912</v>
      </c>
      <c r="D18" s="859" t="str">
        <f>结果表!H110</f>
        <v>——</v>
      </c>
      <c r="E18" s="1491"/>
    </row>
    <row r="19" spans="1:5" ht="15.75">
      <c r="A19" s="1491"/>
      <c r="B19" s="3461" t="str">
        <f>结果表!E111</f>
        <v>——</v>
      </c>
      <c r="C19" s="1499" t="s">
        <v>910</v>
      </c>
      <c r="D19" s="851" t="str">
        <f>结果表!H111</f>
        <v>——</v>
      </c>
      <c r="E19" s="1491"/>
    </row>
    <row r="20" spans="1:5" ht="15.75">
      <c r="A20" s="1491"/>
      <c r="B20" s="3462"/>
      <c r="C20" s="1494" t="s">
        <v>923</v>
      </c>
      <c r="D20" s="850" t="e">
        <f>NUMBERSTRING(INT(D19*10000),2)&amp;"元整"</f>
        <v>#VALUE!</v>
      </c>
      <c r="E20" s="1491"/>
    </row>
    <row r="21" spans="1:5" ht="15.75" thickBot="1">
      <c r="A21" s="1491"/>
      <c r="B21" s="346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2794</v>
      </c>
      <c r="B1" s="3125"/>
      <c r="C1" s="3125"/>
      <c r="D1" s="3125"/>
      <c r="E1" s="3125"/>
      <c r="F1" s="3125"/>
      <c r="G1" s="3125"/>
      <c r="H1" s="3125"/>
      <c r="I1" s="3125"/>
      <c r="J1" s="3125"/>
      <c r="K1" s="3125"/>
      <c r="L1" s="3125"/>
      <c r="M1" s="3125"/>
      <c r="N1" s="749"/>
    </row>
    <row r="2" spans="1:20">
      <c r="A2" s="3126" t="s">
        <v>2795</v>
      </c>
      <c r="B2" s="3127" t="s">
        <v>2591</v>
      </c>
      <c r="C2" s="3127" t="s">
        <v>2592</v>
      </c>
      <c r="D2" s="3127" t="s">
        <v>2593</v>
      </c>
      <c r="E2" s="3127" t="s">
        <v>2594</v>
      </c>
      <c r="F2" s="3127" t="s">
        <v>2595</v>
      </c>
      <c r="G2" s="3127" t="s">
        <v>2596</v>
      </c>
      <c r="H2" s="3128" t="s">
        <v>2597</v>
      </c>
      <c r="I2" s="3128" t="s">
        <v>2598</v>
      </c>
      <c r="J2" s="3129" t="s">
        <v>2599</v>
      </c>
      <c r="K2" s="3129" t="s">
        <v>2600</v>
      </c>
      <c r="L2" s="3129" t="s">
        <v>2601</v>
      </c>
      <c r="M2" s="3130" t="s">
        <v>2602</v>
      </c>
      <c r="Q2" s="3140" t="s">
        <v>2800</v>
      </c>
      <c r="R2" s="3140" t="s">
        <v>2801</v>
      </c>
      <c r="S2" s="3140" t="s">
        <v>2802</v>
      </c>
      <c r="T2" s="3140" t="s">
        <v>2803</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2796</v>
      </c>
      <c r="B93" s="3125"/>
      <c r="C93" s="3125"/>
      <c r="D93" s="3125"/>
      <c r="E93" s="3125"/>
      <c r="F93" s="3125"/>
      <c r="G93" s="3125"/>
      <c r="H93" s="3125"/>
      <c r="I93" s="3125"/>
      <c r="J93" s="3125"/>
      <c r="K93" s="3125"/>
      <c r="L93" s="3125"/>
      <c r="M93" s="3125"/>
    </row>
    <row r="94" spans="1:20">
      <c r="A94" s="3126" t="s">
        <v>2795</v>
      </c>
      <c r="B94" s="3127" t="s">
        <v>2591</v>
      </c>
      <c r="C94" s="3127" t="s">
        <v>2592</v>
      </c>
      <c r="D94" s="3127" t="s">
        <v>2593</v>
      </c>
      <c r="E94" s="3127" t="s">
        <v>2594</v>
      </c>
      <c r="F94" s="3127" t="s">
        <v>2595</v>
      </c>
      <c r="G94" s="3127" t="s">
        <v>2596</v>
      </c>
      <c r="H94" s="3128" t="s">
        <v>2597</v>
      </c>
      <c r="I94" s="3128" t="s">
        <v>2598</v>
      </c>
      <c r="J94" s="3129" t="s">
        <v>2599</v>
      </c>
      <c r="K94" s="3129" t="s">
        <v>2600</v>
      </c>
      <c r="L94" s="3129" t="s">
        <v>2601</v>
      </c>
      <c r="M94" s="3130" t="s">
        <v>2602</v>
      </c>
      <c r="N94" s="750">
        <f>SUMPRODUCT((A95:A184=ROUNDDOWN(基准地价修正!G3,1))*(B94:M94=基准地价修正!G2)*(B95:M184))</f>
        <v>0</v>
      </c>
      <c r="Q94" s="3140" t="s">
        <v>2800</v>
      </c>
      <c r="R94" s="3140" t="s">
        <v>2801</v>
      </c>
      <c r="S94" s="3140" t="s">
        <v>2802</v>
      </c>
      <c r="T94" s="3140" t="s">
        <v>2803</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2797</v>
      </c>
      <c r="B185" s="3125"/>
      <c r="C185" s="3125"/>
      <c r="D185" s="3125"/>
      <c r="E185" s="3125"/>
      <c r="F185" s="3125"/>
      <c r="G185" s="3125"/>
      <c r="H185" s="3125"/>
      <c r="I185" s="3125"/>
      <c r="J185" s="3125"/>
      <c r="K185" s="3125"/>
      <c r="L185" s="3125"/>
      <c r="M185" s="3125"/>
    </row>
    <row r="186" spans="1:20">
      <c r="A186" s="3126" t="s">
        <v>2795</v>
      </c>
      <c r="B186" s="3127" t="s">
        <v>2591</v>
      </c>
      <c r="C186" s="3127" t="s">
        <v>2592</v>
      </c>
      <c r="D186" s="3127" t="s">
        <v>2593</v>
      </c>
      <c r="E186" s="3127" t="s">
        <v>2594</v>
      </c>
      <c r="F186" s="3127" t="s">
        <v>2595</v>
      </c>
      <c r="G186" s="3127" t="s">
        <v>2596</v>
      </c>
      <c r="H186" s="3128" t="s">
        <v>2597</v>
      </c>
      <c r="I186" s="3128" t="s">
        <v>2598</v>
      </c>
      <c r="J186" s="3129" t="s">
        <v>2599</v>
      </c>
      <c r="K186" s="3129" t="s">
        <v>2600</v>
      </c>
      <c r="L186" s="3129" t="s">
        <v>2601</v>
      </c>
      <c r="M186" s="3130" t="s">
        <v>2602</v>
      </c>
      <c r="Q186" s="3140" t="s">
        <v>2800</v>
      </c>
      <c r="R186" s="3140" t="s">
        <v>2801</v>
      </c>
      <c r="S186" s="3140" t="s">
        <v>2802</v>
      </c>
      <c r="T186" s="3140" t="s">
        <v>2803</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2798</v>
      </c>
      <c r="B277" s="3125"/>
      <c r="C277" s="3125"/>
      <c r="D277" s="3125"/>
      <c r="E277" s="3125"/>
      <c r="F277" s="3125"/>
      <c r="G277" s="3125"/>
      <c r="H277" s="3125"/>
      <c r="I277" s="3125"/>
      <c r="J277" s="3125"/>
      <c r="K277" s="3125"/>
      <c r="L277" s="3125"/>
      <c r="M277" s="3125"/>
    </row>
    <row r="278" spans="1:21">
      <c r="A278" s="3126" t="s">
        <v>2795</v>
      </c>
      <c r="B278" s="3127" t="s">
        <v>2591</v>
      </c>
      <c r="C278" s="3127" t="s">
        <v>2592</v>
      </c>
      <c r="D278" s="3127" t="s">
        <v>2593</v>
      </c>
      <c r="E278" s="3127" t="s">
        <v>2594</v>
      </c>
      <c r="F278" s="3127" t="s">
        <v>2595</v>
      </c>
      <c r="G278" s="3127" t="s">
        <v>2596</v>
      </c>
      <c r="H278" s="3128" t="s">
        <v>2597</v>
      </c>
      <c r="I278" s="3128" t="s">
        <v>2598</v>
      </c>
      <c r="J278" s="3129" t="s">
        <v>2599</v>
      </c>
      <c r="K278" s="3129" t="s">
        <v>2600</v>
      </c>
      <c r="L278" s="3129" t="s">
        <v>2601</v>
      </c>
      <c r="M278" s="3130" t="s">
        <v>2602</v>
      </c>
      <c r="Q278" s="3140" t="s">
        <v>2800</v>
      </c>
      <c r="R278" s="3140" t="s">
        <v>2801</v>
      </c>
      <c r="S278" s="3140" t="s">
        <v>2804</v>
      </c>
      <c r="T278" s="3140" t="s">
        <v>2805</v>
      </c>
      <c r="U278" s="3140" t="s">
        <v>2803</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2799</v>
      </c>
      <c r="B369" s="3138"/>
      <c r="C369" s="3138"/>
      <c r="D369" s="3138"/>
      <c r="E369" s="3138"/>
      <c r="F369" s="3138"/>
      <c r="G369" s="3138"/>
      <c r="H369" s="3138"/>
      <c r="I369" s="3138"/>
      <c r="J369" s="3138"/>
      <c r="K369" s="3138"/>
      <c r="L369" s="3138"/>
      <c r="M369" s="3138"/>
    </row>
    <row r="370" spans="1:20">
      <c r="A370" s="3126" t="s">
        <v>2795</v>
      </c>
      <c r="B370" s="3127" t="s">
        <v>2591</v>
      </c>
      <c r="C370" s="3127" t="s">
        <v>2592</v>
      </c>
      <c r="D370" s="3127" t="s">
        <v>2593</v>
      </c>
      <c r="E370" s="3127" t="s">
        <v>2594</v>
      </c>
      <c r="F370" s="3127" t="s">
        <v>2595</v>
      </c>
      <c r="G370" s="3127" t="s">
        <v>2596</v>
      </c>
      <c r="H370" s="3128" t="s">
        <v>2597</v>
      </c>
      <c r="I370" s="3128" t="s">
        <v>2598</v>
      </c>
      <c r="J370" s="3129" t="s">
        <v>2599</v>
      </c>
      <c r="K370" s="3129" t="s">
        <v>2600</v>
      </c>
      <c r="L370" s="3129" t="s">
        <v>2601</v>
      </c>
      <c r="M370" s="3130" t="s">
        <v>2602</v>
      </c>
      <c r="N370" s="750">
        <f>SUMPRODUCT((A371:A460=ROUNDDOWN(基准地价修正!G3,1))*(B370:M370=基准地价修正!G2)*(B371:M460))</f>
        <v>0</v>
      </c>
      <c r="Q370" s="3140" t="s">
        <v>2800</v>
      </c>
      <c r="R370" s="3140" t="s">
        <v>2801</v>
      </c>
      <c r="S370" s="3140" t="s">
        <v>2802</v>
      </c>
      <c r="T370" s="3140" t="s">
        <v>2803</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28682</v>
      </c>
      <c r="C2" s="2" t="s">
        <v>106</v>
      </c>
      <c r="D2" s="199"/>
      <c r="E2" s="199"/>
      <c r="F2" s="199"/>
      <c r="G2" s="199"/>
    </row>
    <row r="3" spans="1:7" s="200" customFormat="1" ht="18" customHeight="1" thickBot="1">
      <c r="A3" s="203" t="s">
        <v>58</v>
      </c>
      <c r="B3" s="204">
        <f ca="1">ROUND(B2*10000/'数据-汇总表'!E3,0)</f>
        <v>166875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34</v>
      </c>
      <c r="D10" s="845">
        <f>'数据-汇总表'!E6</f>
        <v>1718.77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34</v>
      </c>
      <c r="D19" s="849">
        <f>'数据-汇总表'!E3</f>
        <v>1718.77</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1306</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3128</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3128</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861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773</v>
      </c>
      <c r="D34" s="217"/>
      <c r="E34" s="220"/>
      <c r="F34" s="257">
        <f>IF('数据-取费表'!B24=0,1,'数据-取费表'!N16)</f>
        <v>1</v>
      </c>
      <c r="G34" s="219" t="s">
        <v>89</v>
      </c>
    </row>
    <row r="35" spans="1:7" ht="13.5" customHeight="1">
      <c r="A35" s="780" t="s">
        <v>351</v>
      </c>
      <c r="B35" s="215" t="s">
        <v>33</v>
      </c>
      <c r="C35" s="220">
        <f>ROUND(C34*F35,0)</f>
        <v>39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v>
      </c>
      <c r="D37" s="217">
        <f>'数据-汇总表'!E3</f>
        <v>1718.77</v>
      </c>
      <c r="E37" s="249">
        <f>'数据-取费表'!B35</f>
        <v>200</v>
      </c>
      <c r="F37" s="259"/>
      <c r="G37" s="261" t="s">
        <v>92</v>
      </c>
    </row>
    <row r="38" spans="1:7" ht="13.5" customHeight="1">
      <c r="A38" s="780" t="s">
        <v>354</v>
      </c>
      <c r="B38" s="215" t="s">
        <v>36</v>
      </c>
      <c r="C38" s="220">
        <f>ROUND(C34*F38,0)</f>
        <v>15</v>
      </c>
      <c r="D38" s="220"/>
      <c r="E38" s="220"/>
      <c r="F38" s="259">
        <f>'数据-取费表'!B36</f>
        <v>0.02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27</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27</v>
      </c>
      <c r="D42" s="238"/>
      <c r="E42" s="238"/>
      <c r="F42" s="239"/>
      <c r="G42" s="3643" t="s">
        <v>94</v>
      </c>
    </row>
    <row r="43" spans="1:7" ht="13.5" customHeight="1">
      <c r="A43" s="780" t="s">
        <v>347</v>
      </c>
      <c r="B43" s="215" t="s">
        <v>426</v>
      </c>
      <c r="C43" s="238">
        <f ca="1">ROUND(IF('数据-取费表'!B22&lt;=1,C39*F22*'数据-取费表'!B21/2,C39*(POWER((1+F22),'数据-取费表'!B21/2)-1)),0)</f>
        <v>0</v>
      </c>
      <c r="D43" s="238"/>
      <c r="E43" s="238"/>
      <c r="F43" s="239"/>
      <c r="G43" s="3644"/>
    </row>
    <row r="44" spans="1:7" ht="13.5" customHeight="1">
      <c r="A44" s="780" t="s">
        <v>348</v>
      </c>
      <c r="B44" s="215" t="s">
        <v>428</v>
      </c>
      <c r="C44" s="238">
        <f ca="1">ROUND(IF('数据-取费表'!B22&lt;=1,C40*F22*'数据-取费表'!B21/2,C40*(POWER((1+F22),'数据-取费表'!B21/2)-1)),4)</f>
        <v>8.9999999999999998E-4</v>
      </c>
      <c r="D44" s="238"/>
      <c r="E44" s="238"/>
      <c r="F44" s="239"/>
      <c r="G44" s="3645"/>
    </row>
    <row r="45" spans="1:7" s="214" customFormat="1" ht="13.5" customHeight="1">
      <c r="A45" s="777" t="s">
        <v>341</v>
      </c>
      <c r="B45" s="244" t="s">
        <v>85</v>
      </c>
      <c r="C45" s="245">
        <f>C46</f>
        <v>131</v>
      </c>
      <c r="D45" s="235">
        <f>C47</f>
        <v>4.4999999999999997E-3</v>
      </c>
      <c r="E45" s="236" t="s">
        <v>102</v>
      </c>
      <c r="F45" s="246"/>
      <c r="G45" s="247" t="s">
        <v>434</v>
      </c>
    </row>
    <row r="46" spans="1:7" s="214" customFormat="1" ht="13.5" customHeight="1">
      <c r="A46" s="780" t="s">
        <v>349</v>
      </c>
      <c r="B46" s="248" t="s">
        <v>427</v>
      </c>
      <c r="C46" s="249">
        <f>ROUND((C33+C39)*F27,0)</f>
        <v>131</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1128</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936</v>
      </c>
      <c r="D51" s="232"/>
      <c r="E51" s="232"/>
      <c r="F51" s="264"/>
      <c r="G51" s="234" t="s">
        <v>37</v>
      </c>
    </row>
    <row r="52" spans="1:7" s="208" customFormat="1" ht="16.5" thickBot="1">
      <c r="A52" s="265" t="s">
        <v>38</v>
      </c>
      <c r="B52" s="266"/>
      <c r="C52" s="267">
        <f ca="1">C31+C51</f>
        <v>28682</v>
      </c>
      <c r="D52" s="266"/>
      <c r="E52" s="266"/>
      <c r="F52" s="266"/>
      <c r="G52" s="268"/>
    </row>
    <row r="55" spans="1:7" ht="15">
      <c r="B55" s="270" t="s">
        <v>39</v>
      </c>
      <c r="C55" s="271"/>
    </row>
    <row r="56" spans="1:7">
      <c r="B56" s="273" t="s">
        <v>40</v>
      </c>
      <c r="C56" s="274">
        <f ca="1">ROUND(C51/C52,3)</f>
        <v>3.3000000000000002E-2</v>
      </c>
    </row>
    <row r="57" spans="1:7">
      <c r="B57" s="273" t="s">
        <v>41</v>
      </c>
      <c r="C57" s="275">
        <f ca="1">1-C56</f>
        <v>0.96699999999999997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1" t="s">
        <v>2835</v>
      </c>
      <c r="B1" s="3781"/>
      <c r="C1" s="3781"/>
      <c r="D1" s="3781"/>
      <c r="E1" s="3781"/>
      <c r="F1" s="3781"/>
      <c r="G1" s="3782"/>
      <c r="I1" s="3221" t="s">
        <v>2836</v>
      </c>
      <c r="J1" s="3222" t="s">
        <v>2837</v>
      </c>
      <c r="K1" s="3222" t="s">
        <v>2838</v>
      </c>
      <c r="L1" s="3222" t="s">
        <v>2839</v>
      </c>
      <c r="M1" s="3222" t="s">
        <v>2840</v>
      </c>
      <c r="N1" s="3222" t="s">
        <v>2841</v>
      </c>
      <c r="O1" s="3222" t="s">
        <v>2842</v>
      </c>
      <c r="P1" s="3222" t="s">
        <v>2843</v>
      </c>
      <c r="Q1" s="3222" t="s">
        <v>2844</v>
      </c>
      <c r="R1" s="3222" t="s">
        <v>2845</v>
      </c>
      <c r="S1" s="3222" t="s">
        <v>2846</v>
      </c>
      <c r="T1" s="3223" t="s">
        <v>2847</v>
      </c>
    </row>
    <row r="2" spans="1:20" ht="12" thickBot="1">
      <c r="A2" s="3225" t="s">
        <v>2848</v>
      </c>
      <c r="B2" s="3225"/>
      <c r="C2" s="3225"/>
      <c r="D2" s="3225"/>
      <c r="E2" s="3225"/>
      <c r="F2" s="3225"/>
      <c r="G2" s="3226" t="s">
        <v>2849</v>
      </c>
      <c r="I2" s="3227" t="s">
        <v>2850</v>
      </c>
      <c r="J2" s="3227" t="s">
        <v>2851</v>
      </c>
      <c r="K2" s="3227" t="s">
        <v>2852</v>
      </c>
      <c r="L2" s="3227" t="s">
        <v>2853</v>
      </c>
      <c r="M2" s="3227" t="s">
        <v>2854</v>
      </c>
      <c r="N2" s="3227" t="s">
        <v>2855</v>
      </c>
      <c r="O2" s="3227" t="s">
        <v>2856</v>
      </c>
      <c r="P2" s="3227" t="s">
        <v>2857</v>
      </c>
      <c r="Q2" s="3227" t="s">
        <v>2858</v>
      </c>
      <c r="R2" s="3227" t="s">
        <v>2859</v>
      </c>
      <c r="S2" s="3227" t="s">
        <v>2860</v>
      </c>
      <c r="T2" s="3227" t="s">
        <v>2861</v>
      </c>
    </row>
    <row r="3" spans="1:20" s="3233" customFormat="1">
      <c r="A3" s="3779" t="s">
        <v>2862</v>
      </c>
      <c r="B3" s="3228"/>
      <c r="C3" s="3229" t="s">
        <v>2807</v>
      </c>
      <c r="D3" s="3229" t="s">
        <v>2863</v>
      </c>
      <c r="E3" s="3229" t="s">
        <v>2809</v>
      </c>
      <c r="F3" s="3229" t="s">
        <v>2864</v>
      </c>
      <c r="G3" s="3229" t="s">
        <v>2627</v>
      </c>
      <c r="H3" s="3230"/>
      <c r="I3" s="3231" t="s">
        <v>2865</v>
      </c>
      <c r="J3" s="3232" t="s">
        <v>128</v>
      </c>
      <c r="K3" s="3232" t="s">
        <v>129</v>
      </c>
      <c r="L3" s="3231" t="s">
        <v>130</v>
      </c>
      <c r="M3" s="3231" t="s">
        <v>131</v>
      </c>
      <c r="N3" s="3231" t="s">
        <v>132</v>
      </c>
      <c r="O3" s="3231" t="s">
        <v>133</v>
      </c>
      <c r="P3" s="3231" t="s">
        <v>134</v>
      </c>
      <c r="Q3" s="3231" t="s">
        <v>135</v>
      </c>
      <c r="R3" s="3231" t="s">
        <v>136</v>
      </c>
      <c r="S3" s="3231" t="s">
        <v>2866</v>
      </c>
      <c r="T3" s="3231" t="s">
        <v>2867</v>
      </c>
    </row>
    <row r="4" spans="1:20" s="3233" customFormat="1" ht="12" thickBot="1">
      <c r="A4" s="3780"/>
      <c r="B4" s="3234" t="s">
        <v>2868</v>
      </c>
      <c r="C4" s="3234" t="s">
        <v>2869</v>
      </c>
      <c r="D4" s="3234" t="s">
        <v>2869</v>
      </c>
      <c r="E4" s="3234" t="s">
        <v>2869</v>
      </c>
      <c r="F4" s="3235" t="s">
        <v>2869</v>
      </c>
      <c r="G4" s="3235" t="s">
        <v>2869</v>
      </c>
      <c r="H4" s="3230"/>
      <c r="I4" s="3232" t="s">
        <v>137</v>
      </c>
      <c r="J4" s="3232" t="s">
        <v>111</v>
      </c>
      <c r="K4" s="3232" t="s">
        <v>138</v>
      </c>
      <c r="L4" s="3231" t="s">
        <v>139</v>
      </c>
      <c r="M4" s="3231" t="s">
        <v>140</v>
      </c>
      <c r="N4" s="3231" t="s">
        <v>141</v>
      </c>
      <c r="O4" s="3231" t="s">
        <v>142</v>
      </c>
      <c r="P4" s="3231" t="s">
        <v>143</v>
      </c>
      <c r="Q4" s="3231" t="s">
        <v>2870</v>
      </c>
      <c r="R4" s="3231" t="s">
        <v>2871</v>
      </c>
      <c r="S4" s="3231" t="s">
        <v>2872</v>
      </c>
      <c r="T4" s="3231" t="s">
        <v>2873</v>
      </c>
    </row>
    <row r="5" spans="1:20">
      <c r="A5" s="3236" t="s">
        <v>2836</v>
      </c>
      <c r="B5" s="3227" t="s">
        <v>2850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2874</v>
      </c>
      <c r="R5" s="3231" t="s">
        <v>2875</v>
      </c>
      <c r="S5" s="3231" t="s">
        <v>153</v>
      </c>
      <c r="T5" s="3231" t="s">
        <v>2876</v>
      </c>
    </row>
    <row r="6" spans="1:20" ht="12" thickBot="1">
      <c r="A6" s="3231" t="s">
        <v>144</v>
      </c>
      <c r="B6" s="3231" t="s">
        <v>2865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2877</v>
      </c>
      <c r="Q6" s="3231" t="s">
        <v>2878</v>
      </c>
      <c r="R6" s="3231" t="s">
        <v>161</v>
      </c>
      <c r="S6" s="3231" t="s">
        <v>2879</v>
      </c>
      <c r="T6" s="3231" t="s">
        <v>2880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2881</v>
      </c>
      <c r="Q7" s="3231" t="s">
        <v>2882</v>
      </c>
      <c r="R7" s="3231" t="s">
        <v>2883</v>
      </c>
      <c r="S7" s="3231" t="s">
        <v>2884</v>
      </c>
      <c r="T7" s="3231" t="s">
        <v>2885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2886</v>
      </c>
      <c r="Q8" s="3231" t="s">
        <v>174</v>
      </c>
      <c r="R8" s="3231" t="s">
        <v>2887</v>
      </c>
      <c r="S8" s="3231" t="s">
        <v>2888</v>
      </c>
      <c r="T8" s="3238" t="s">
        <v>2889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2890</v>
      </c>
      <c r="Q9" s="3231" t="s">
        <v>182</v>
      </c>
      <c r="R9" s="3231" t="s">
        <v>183</v>
      </c>
      <c r="S9" s="3231" t="s">
        <v>200</v>
      </c>
    </row>
    <row r="10" spans="1:20">
      <c r="A10" s="3236" t="s">
        <v>184</v>
      </c>
      <c r="B10" s="3227" t="s">
        <v>2851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2892</v>
      </c>
      <c r="P11" s="3231" t="s">
        <v>191</v>
      </c>
      <c r="Q11" s="3231" t="s">
        <v>199</v>
      </c>
      <c r="R11" s="3231" t="s">
        <v>2893</v>
      </c>
      <c r="S11" s="3231" t="s">
        <v>2894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2895</v>
      </c>
      <c r="P12" s="3231" t="s">
        <v>2896</v>
      </c>
      <c r="Q12" s="3231" t="s">
        <v>2897</v>
      </c>
      <c r="R12" s="3231" t="s">
        <v>2898</v>
      </c>
      <c r="S12" s="3231" t="s">
        <v>2899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2901</v>
      </c>
      <c r="K14" s="3232" t="s">
        <v>215</v>
      </c>
      <c r="L14" s="3231" t="s">
        <v>216</v>
      </c>
      <c r="M14" s="3231" t="s">
        <v>217</v>
      </c>
      <c r="N14" s="3231" t="s">
        <v>218</v>
      </c>
      <c r="O14" s="3231" t="s">
        <v>240</v>
      </c>
      <c r="P14" s="3231" t="s">
        <v>213</v>
      </c>
      <c r="Q14" s="3231" t="s">
        <v>2902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2903</v>
      </c>
      <c r="P15" s="3231" t="s">
        <v>2904</v>
      </c>
      <c r="Q15" s="3231" t="s">
        <v>242</v>
      </c>
      <c r="R15" s="3231" t="s">
        <v>2905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2906</v>
      </c>
      <c r="P16" s="3231" t="s">
        <v>227</v>
      </c>
      <c r="Q16" s="3231" t="s">
        <v>250</v>
      </c>
      <c r="R16" s="3231" t="s">
        <v>207</v>
      </c>
      <c r="S16" s="3231" t="s">
        <v>2907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2908</v>
      </c>
      <c r="P17" s="3231" t="s">
        <v>2909</v>
      </c>
      <c r="Q17" s="3231" t="s">
        <v>256</v>
      </c>
      <c r="R17" s="3231" t="s">
        <v>2910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2911</v>
      </c>
      <c r="P18" s="3231" t="s">
        <v>241</v>
      </c>
      <c r="Q18" s="3231" t="s">
        <v>2912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2913</v>
      </c>
      <c r="P19" s="3231" t="s">
        <v>249</v>
      </c>
      <c r="Q19" s="3231" t="s">
        <v>2914</v>
      </c>
      <c r="R19" s="3231" t="s">
        <v>265</v>
      </c>
      <c r="S19" s="3231" t="s">
        <v>2915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2916</v>
      </c>
      <c r="P20" s="3231" t="s">
        <v>2917</v>
      </c>
      <c r="Q20" s="3231" t="s">
        <v>290</v>
      </c>
      <c r="R20" s="3231" t="s">
        <v>2918</v>
      </c>
      <c r="S20" s="3231" t="s">
        <v>277</v>
      </c>
    </row>
    <row r="21" spans="1:19" ht="14.25" customHeight="1" thickBot="1">
      <c r="A21" s="3231" t="s">
        <v>184</v>
      </c>
      <c r="B21" s="3232" t="s">
        <v>208</v>
      </c>
      <c r="C21" s="3231">
        <v>32370</v>
      </c>
      <c r="D21" s="3231">
        <v>26730</v>
      </c>
      <c r="E21" s="3231">
        <v>26640</v>
      </c>
      <c r="F21" s="3231"/>
      <c r="G21" s="3231">
        <v>19440</v>
      </c>
      <c r="J21" s="3238" t="s">
        <v>2919</v>
      </c>
      <c r="K21" s="3232" t="s">
        <v>267</v>
      </c>
      <c r="L21" s="3231" t="s">
        <v>268</v>
      </c>
      <c r="M21" s="3231" t="s">
        <v>269</v>
      </c>
      <c r="N21" s="3231" t="s">
        <v>270</v>
      </c>
      <c r="O21" s="3231" t="s">
        <v>264</v>
      </c>
      <c r="P21" s="3231" t="s">
        <v>283</v>
      </c>
      <c r="Q21" s="3231" t="s">
        <v>293</v>
      </c>
      <c r="R21" s="3231" t="s">
        <v>2920</v>
      </c>
      <c r="S21" s="3238" t="s">
        <v>2921</v>
      </c>
    </row>
    <row r="22" spans="1:19" ht="14.25" customHeight="1">
      <c r="A22" s="3231" t="s">
        <v>184</v>
      </c>
      <c r="B22" s="3232" t="s">
        <v>2901</v>
      </c>
      <c r="C22" s="3231">
        <v>29830</v>
      </c>
      <c r="D22" s="3231">
        <v>27600</v>
      </c>
      <c r="E22" s="3231">
        <v>28150</v>
      </c>
      <c r="F22" s="3231"/>
      <c r="G22" s="3231">
        <v>20080</v>
      </c>
      <c r="K22" s="3232" t="s">
        <v>2922</v>
      </c>
      <c r="L22" s="3231" t="s">
        <v>272</v>
      </c>
      <c r="M22" s="3231" t="s">
        <v>273</v>
      </c>
      <c r="N22" s="3231" t="s">
        <v>274</v>
      </c>
      <c r="O22" s="3231" t="s">
        <v>2923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2924</v>
      </c>
      <c r="L23" s="3231" t="s">
        <v>278</v>
      </c>
      <c r="M23" s="3231" t="s">
        <v>279</v>
      </c>
      <c r="N23" s="3231" t="s">
        <v>2925</v>
      </c>
      <c r="O23" s="3231" t="s">
        <v>2926</v>
      </c>
      <c r="P23" s="3231" t="s">
        <v>289</v>
      </c>
      <c r="Q23" s="3231" t="s">
        <v>298</v>
      </c>
      <c r="R23" s="3231" t="s">
        <v>2927</v>
      </c>
    </row>
    <row r="24" spans="1:19" ht="14.25" customHeight="1">
      <c r="A24" s="3231" t="s">
        <v>184</v>
      </c>
      <c r="B24" s="3232" t="s">
        <v>230</v>
      </c>
      <c r="C24" s="3231">
        <v>27930</v>
      </c>
      <c r="D24" s="3231">
        <v>32260</v>
      </c>
      <c r="E24" s="3231">
        <v>32120</v>
      </c>
      <c r="F24" s="3231"/>
      <c r="G24" s="3231">
        <v>23470</v>
      </c>
      <c r="K24" s="3232" t="s">
        <v>2928</v>
      </c>
      <c r="L24" s="3231" t="s">
        <v>281</v>
      </c>
      <c r="M24" s="3231" t="s">
        <v>282</v>
      </c>
      <c r="N24" s="3231" t="s">
        <v>2929</v>
      </c>
      <c r="O24" s="3231" t="s">
        <v>285</v>
      </c>
      <c r="P24" s="3231" t="s">
        <v>2930</v>
      </c>
      <c r="Q24" s="3240" t="s">
        <v>2931</v>
      </c>
      <c r="R24" s="3231" t="s">
        <v>2932</v>
      </c>
    </row>
    <row r="25" spans="1:19" ht="14.25" customHeight="1">
      <c r="A25" s="3231" t="s">
        <v>184</v>
      </c>
      <c r="B25" s="3232" t="s">
        <v>235</v>
      </c>
      <c r="C25" s="3231">
        <v>32230</v>
      </c>
      <c r="D25" s="3231">
        <v>29640</v>
      </c>
      <c r="E25" s="3231">
        <v>29510</v>
      </c>
      <c r="F25" s="3231"/>
      <c r="G25" s="3231">
        <v>21560</v>
      </c>
      <c r="K25" s="3232" t="s">
        <v>2933</v>
      </c>
      <c r="L25" s="3231" t="s">
        <v>2934</v>
      </c>
      <c r="M25" s="3231" t="s">
        <v>284</v>
      </c>
      <c r="N25" s="3231" t="s">
        <v>292</v>
      </c>
      <c r="O25" s="3231" t="s">
        <v>288</v>
      </c>
      <c r="P25" s="3231" t="s">
        <v>275</v>
      </c>
      <c r="Q25" s="3240" t="s">
        <v>271</v>
      </c>
      <c r="R25" s="3231" t="s">
        <v>2935</v>
      </c>
    </row>
    <row r="26" spans="1:19" ht="14.25" customHeight="1" thickBot="1">
      <c r="A26" s="3231" t="s">
        <v>184</v>
      </c>
      <c r="B26" s="3232" t="s">
        <v>244</v>
      </c>
      <c r="C26" s="3231">
        <v>31690</v>
      </c>
      <c r="D26" s="3231">
        <v>27650</v>
      </c>
      <c r="E26" s="3231">
        <v>28200</v>
      </c>
      <c r="F26" s="3231"/>
      <c r="G26" s="3231">
        <v>20110</v>
      </c>
      <c r="K26" s="3237" t="s">
        <v>2936</v>
      </c>
      <c r="L26" s="3231" t="s">
        <v>2937</v>
      </c>
      <c r="M26" s="3231" t="s">
        <v>287</v>
      </c>
      <c r="N26" s="3231" t="s">
        <v>294</v>
      </c>
      <c r="O26" s="3231" t="s">
        <v>2938</v>
      </c>
      <c r="P26" s="3231" t="s">
        <v>2939</v>
      </c>
      <c r="Q26" s="3240" t="s">
        <v>276</v>
      </c>
      <c r="R26" s="3231" t="s">
        <v>2940</v>
      </c>
    </row>
    <row r="27" spans="1:19" ht="14.25" customHeight="1">
      <c r="A27" s="3231" t="s">
        <v>184</v>
      </c>
      <c r="B27" s="3232" t="s">
        <v>251</v>
      </c>
      <c r="C27" s="3231">
        <v>29610</v>
      </c>
      <c r="D27" s="3231">
        <v>27770</v>
      </c>
      <c r="E27" s="3231">
        <v>28300</v>
      </c>
      <c r="F27" s="3231"/>
      <c r="G27" s="3231">
        <v>20210</v>
      </c>
      <c r="L27" s="3231" t="s">
        <v>2941</v>
      </c>
      <c r="M27" s="3231" t="s">
        <v>291</v>
      </c>
      <c r="N27" s="3231" t="s">
        <v>297</v>
      </c>
      <c r="O27" s="3231" t="s">
        <v>2942</v>
      </c>
      <c r="P27" s="3231" t="s">
        <v>2943</v>
      </c>
      <c r="Q27" s="3231" t="s">
        <v>2944</v>
      </c>
      <c r="R27" s="3231" t="s">
        <v>2945</v>
      </c>
    </row>
    <row r="28" spans="1:19" ht="14.25" customHeight="1">
      <c r="A28" s="3231" t="s">
        <v>184</v>
      </c>
      <c r="B28" s="3232" t="s">
        <v>259</v>
      </c>
      <c r="C28" s="3231"/>
      <c r="D28" s="3231">
        <v>31520</v>
      </c>
      <c r="E28" s="3231">
        <v>31410</v>
      </c>
      <c r="F28" s="3231"/>
      <c r="G28" s="3231">
        <v>22940</v>
      </c>
      <c r="L28" s="3231" t="s">
        <v>2946</v>
      </c>
      <c r="M28" s="3231" t="s">
        <v>2947</v>
      </c>
      <c r="N28" s="3231" t="s">
        <v>2948</v>
      </c>
      <c r="O28" s="3231" t="s">
        <v>2949</v>
      </c>
      <c r="P28" s="3231" t="s">
        <v>2950</v>
      </c>
      <c r="Q28" s="3231" t="s">
        <v>2951</v>
      </c>
      <c r="R28" s="3231" t="s">
        <v>2952</v>
      </c>
    </row>
    <row r="29" spans="1:19" ht="14.25" customHeight="1" thickBot="1">
      <c r="A29" s="3239" t="s">
        <v>184</v>
      </c>
      <c r="B29" s="3241" t="s">
        <v>2919</v>
      </c>
      <c r="C29" s="3242"/>
      <c r="D29" s="3242">
        <v>29460</v>
      </c>
      <c r="E29" s="3242">
        <v>28640</v>
      </c>
      <c r="F29" s="3242"/>
      <c r="G29" s="3242">
        <v>21430</v>
      </c>
      <c r="L29" s="3231" t="s">
        <v>2953</v>
      </c>
      <c r="M29" s="3231" t="s">
        <v>2954</v>
      </c>
      <c r="N29" s="3231" t="s">
        <v>2955</v>
      </c>
      <c r="O29" s="3231" t="s">
        <v>2956</v>
      </c>
      <c r="P29" s="3231" t="s">
        <v>2957</v>
      </c>
      <c r="Q29" s="3231" t="s">
        <v>2958</v>
      </c>
      <c r="R29" s="3231" t="s">
        <v>280</v>
      </c>
    </row>
    <row r="30" spans="1:19" ht="14.25" customHeight="1">
      <c r="A30" s="3236" t="s">
        <v>296</v>
      </c>
      <c r="B30" s="3227" t="s">
        <v>2852</v>
      </c>
      <c r="C30" s="3227">
        <v>26890</v>
      </c>
      <c r="D30" s="3227">
        <v>26770</v>
      </c>
      <c r="E30" s="3227">
        <v>25700</v>
      </c>
      <c r="F30" s="3227">
        <v>8180</v>
      </c>
      <c r="G30" s="3243">
        <v>18740</v>
      </c>
      <c r="L30" s="3231" t="s">
        <v>2959</v>
      </c>
      <c r="M30" s="3231" t="s">
        <v>2960</v>
      </c>
      <c r="N30" s="3231" t="s">
        <v>2961</v>
      </c>
      <c r="O30" s="3231" t="s">
        <v>2962</v>
      </c>
      <c r="P30" s="3231" t="s">
        <v>2963</v>
      </c>
      <c r="Q30" s="3231" t="s">
        <v>2964</v>
      </c>
      <c r="R30" s="3231" t="s">
        <v>2965</v>
      </c>
    </row>
    <row r="31" spans="1:19" ht="14.25" customHeight="1">
      <c r="A31" s="3231" t="s">
        <v>296</v>
      </c>
      <c r="B31" s="3232" t="s">
        <v>129</v>
      </c>
      <c r="C31" s="3231">
        <v>24550</v>
      </c>
      <c r="D31" s="3231">
        <v>23990</v>
      </c>
      <c r="E31" s="3231">
        <v>22930</v>
      </c>
      <c r="F31" s="3231">
        <v>7470</v>
      </c>
      <c r="G31" s="3244">
        <v>16790</v>
      </c>
      <c r="L31" s="3231" t="s">
        <v>2966</v>
      </c>
      <c r="M31" s="3231" t="s">
        <v>2967</v>
      </c>
      <c r="N31" s="3231" t="s">
        <v>2968</v>
      </c>
      <c r="O31" s="3231" t="s">
        <v>2969</v>
      </c>
      <c r="P31" s="3231" t="s">
        <v>2970</v>
      </c>
      <c r="Q31" s="3231" t="s">
        <v>2971</v>
      </c>
      <c r="R31" s="3231" t="s">
        <v>2972</v>
      </c>
    </row>
    <row r="32" spans="1:19" ht="14.25" customHeight="1" thickBot="1">
      <c r="A32" s="3231" t="s">
        <v>296</v>
      </c>
      <c r="B32" s="3232" t="s">
        <v>138</v>
      </c>
      <c r="C32" s="3231">
        <v>27210</v>
      </c>
      <c r="D32" s="3231">
        <v>23240</v>
      </c>
      <c r="E32" s="3231">
        <v>23260</v>
      </c>
      <c r="F32" s="3231">
        <v>7130</v>
      </c>
      <c r="G32" s="3244">
        <v>16270</v>
      </c>
      <c r="L32" s="3231" t="s">
        <v>2973</v>
      </c>
      <c r="M32" s="3231" t="s">
        <v>2974</v>
      </c>
      <c r="N32" s="3231" t="s">
        <v>300</v>
      </c>
      <c r="O32" s="3231" t="s">
        <v>2975</v>
      </c>
      <c r="P32" s="3231" t="s">
        <v>299</v>
      </c>
      <c r="Q32" s="3231" t="s">
        <v>2976</v>
      </c>
      <c r="R32" s="3238" t="s">
        <v>2977</v>
      </c>
    </row>
    <row r="33" spans="1:17" ht="14.25" customHeight="1" thickBot="1">
      <c r="A33" s="3231" t="s">
        <v>296</v>
      </c>
      <c r="B33" s="3232" t="s">
        <v>147</v>
      </c>
      <c r="C33" s="3231">
        <v>27300</v>
      </c>
      <c r="D33" s="3231">
        <v>22980</v>
      </c>
      <c r="E33" s="3231">
        <v>24260</v>
      </c>
      <c r="F33" s="3231">
        <v>5860</v>
      </c>
      <c r="G33" s="3244">
        <v>16090</v>
      </c>
      <c r="L33" s="3238" t="s">
        <v>2978</v>
      </c>
      <c r="M33" s="3231" t="s">
        <v>2979</v>
      </c>
      <c r="N33" s="3231" t="s">
        <v>301</v>
      </c>
      <c r="O33" s="3231" t="s">
        <v>2980</v>
      </c>
      <c r="P33" s="3231" t="s">
        <v>2981</v>
      </c>
      <c r="Q33" s="3231" t="s">
        <v>2982</v>
      </c>
    </row>
    <row r="34" spans="1:17" ht="14.25" customHeight="1">
      <c r="A34" s="3231" t="s">
        <v>296</v>
      </c>
      <c r="B34" s="3232" t="s">
        <v>156</v>
      </c>
      <c r="C34" s="3231">
        <v>23090</v>
      </c>
      <c r="D34" s="3231">
        <v>23390</v>
      </c>
      <c r="E34" s="3231">
        <v>23510</v>
      </c>
      <c r="F34" s="3231">
        <v>6700</v>
      </c>
      <c r="G34" s="3244">
        <v>16370</v>
      </c>
      <c r="M34" s="3231" t="s">
        <v>2983</v>
      </c>
      <c r="N34" s="3231" t="s">
        <v>302</v>
      </c>
      <c r="O34" s="3231" t="s">
        <v>2984</v>
      </c>
      <c r="P34" s="3231" t="s">
        <v>2985</v>
      </c>
      <c r="Q34" s="3231" t="s">
        <v>2986</v>
      </c>
    </row>
    <row r="35" spans="1:17" ht="14.25" customHeight="1">
      <c r="A35" s="3231" t="s">
        <v>296</v>
      </c>
      <c r="B35" s="3232" t="s">
        <v>163</v>
      </c>
      <c r="C35" s="3231">
        <v>27270</v>
      </c>
      <c r="D35" s="3231">
        <v>24270</v>
      </c>
      <c r="E35" s="3231">
        <v>24950</v>
      </c>
      <c r="F35" s="3231">
        <v>6600</v>
      </c>
      <c r="G35" s="3244">
        <v>16990</v>
      </c>
      <c r="M35" s="3231" t="s">
        <v>2987</v>
      </c>
      <c r="N35" s="3231" t="s">
        <v>2988</v>
      </c>
      <c r="O35" s="3231" t="s">
        <v>2989</v>
      </c>
      <c r="P35" s="3231" t="s">
        <v>2990</v>
      </c>
      <c r="Q35" s="3231" t="s">
        <v>2991</v>
      </c>
    </row>
    <row r="36" spans="1:17" ht="14.25" customHeight="1">
      <c r="A36" s="3231" t="s">
        <v>296</v>
      </c>
      <c r="B36" s="3232" t="s">
        <v>169</v>
      </c>
      <c r="C36" s="3231">
        <v>23490</v>
      </c>
      <c r="D36" s="3231">
        <v>23020</v>
      </c>
      <c r="E36" s="3231">
        <v>25230</v>
      </c>
      <c r="F36" s="3231">
        <v>6780</v>
      </c>
      <c r="G36" s="3244">
        <v>16120</v>
      </c>
      <c r="M36" s="3231" t="s">
        <v>2992</v>
      </c>
      <c r="N36" s="3231" t="s">
        <v>2993</v>
      </c>
      <c r="O36" s="3231" t="s">
        <v>2994</v>
      </c>
      <c r="P36" s="3231" t="s">
        <v>2995</v>
      </c>
      <c r="Q36" s="3231" t="s">
        <v>2996</v>
      </c>
    </row>
    <row r="37" spans="1:17" ht="14.25" customHeight="1">
      <c r="A37" s="3231" t="s">
        <v>296</v>
      </c>
      <c r="B37" s="3232" t="s">
        <v>176</v>
      </c>
      <c r="C37" s="3231">
        <v>24380</v>
      </c>
      <c r="D37" s="3231">
        <v>22240</v>
      </c>
      <c r="E37" s="3231">
        <v>25980</v>
      </c>
      <c r="F37" s="3231">
        <v>8160</v>
      </c>
      <c r="G37" s="3244">
        <v>15570</v>
      </c>
      <c r="M37" s="3231" t="s">
        <v>2997</v>
      </c>
      <c r="N37" s="3231" t="s">
        <v>2998</v>
      </c>
      <c r="O37" s="3231" t="s">
        <v>2999</v>
      </c>
      <c r="P37" s="3231" t="s">
        <v>3000</v>
      </c>
      <c r="Q37" s="3231" t="s">
        <v>3001</v>
      </c>
    </row>
    <row r="38" spans="1:17" ht="14.25" customHeight="1">
      <c r="A38" s="3231" t="s">
        <v>296</v>
      </c>
      <c r="B38" s="3232" t="s">
        <v>186</v>
      </c>
      <c r="C38" s="3231">
        <v>23120</v>
      </c>
      <c r="D38" s="3231">
        <v>24630</v>
      </c>
      <c r="E38" s="3231">
        <v>25030</v>
      </c>
      <c r="F38" s="3231">
        <v>7710</v>
      </c>
      <c r="G38" s="3244">
        <v>17240</v>
      </c>
      <c r="M38" s="3231" t="s">
        <v>3002</v>
      </c>
      <c r="N38" s="3231" t="s">
        <v>3003</v>
      </c>
      <c r="O38" s="3231" t="s">
        <v>3004</v>
      </c>
      <c r="P38" s="3231" t="s">
        <v>3005</v>
      </c>
      <c r="Q38" s="3231" t="s">
        <v>3006</v>
      </c>
    </row>
    <row r="39" spans="1:17" ht="14.25" customHeight="1">
      <c r="A39" s="3231" t="s">
        <v>296</v>
      </c>
      <c r="B39" s="3232" t="s">
        <v>195</v>
      </c>
      <c r="C39" s="3231">
        <v>22330</v>
      </c>
      <c r="D39" s="3231">
        <v>21140</v>
      </c>
      <c r="E39" s="3231">
        <v>23970</v>
      </c>
      <c r="F39" s="3231">
        <v>7940</v>
      </c>
      <c r="G39" s="3244">
        <v>14790</v>
      </c>
      <c r="M39" s="3231" t="s">
        <v>3007</v>
      </c>
      <c r="N39" s="3231" t="s">
        <v>3008</v>
      </c>
      <c r="O39" s="3231" t="s">
        <v>3009</v>
      </c>
      <c r="P39" s="3231" t="s">
        <v>3010</v>
      </c>
      <c r="Q39" s="3231" t="s">
        <v>3011</v>
      </c>
    </row>
    <row r="40" spans="1:17" ht="14.25" customHeight="1">
      <c r="A40" s="3231" t="s">
        <v>296</v>
      </c>
      <c r="B40" s="3232" t="s">
        <v>202</v>
      </c>
      <c r="C40" s="3231">
        <v>24740</v>
      </c>
      <c r="D40" s="3231">
        <v>24690</v>
      </c>
      <c r="E40" s="3231">
        <v>22610</v>
      </c>
      <c r="F40" s="3231"/>
      <c r="G40" s="3244">
        <v>17280</v>
      </c>
      <c r="M40" s="3231" t="s">
        <v>3012</v>
      </c>
      <c r="N40" s="3231" t="s">
        <v>3013</v>
      </c>
      <c r="O40" s="3231" t="s">
        <v>3014</v>
      </c>
      <c r="P40" s="3231" t="s">
        <v>3015</v>
      </c>
      <c r="Q40" s="3231" t="s">
        <v>3016</v>
      </c>
    </row>
    <row r="41" spans="1:17" ht="14.25" customHeight="1" thickBot="1">
      <c r="A41" s="3231" t="s">
        <v>296</v>
      </c>
      <c r="B41" s="3232" t="s">
        <v>209</v>
      </c>
      <c r="C41" s="3231">
        <v>21220</v>
      </c>
      <c r="D41" s="3231">
        <v>21120</v>
      </c>
      <c r="E41" s="3231">
        <v>22590</v>
      </c>
      <c r="F41" s="3231"/>
      <c r="G41" s="3244">
        <v>14780</v>
      </c>
      <c r="M41" s="3238" t="s">
        <v>3017</v>
      </c>
      <c r="N41" s="3231" t="s">
        <v>3018</v>
      </c>
      <c r="O41" s="3231" t="s">
        <v>3019</v>
      </c>
      <c r="P41" s="3231" t="s">
        <v>3020</v>
      </c>
      <c r="Q41" s="3231" t="s">
        <v>3021</v>
      </c>
    </row>
    <row r="42" spans="1:17" ht="14.25" customHeight="1">
      <c r="A42" s="3231" t="s">
        <v>296</v>
      </c>
      <c r="B42" s="3232" t="s">
        <v>215</v>
      </c>
      <c r="C42" s="3231">
        <v>24800</v>
      </c>
      <c r="D42" s="3231">
        <v>22280</v>
      </c>
      <c r="E42" s="3231">
        <v>24350</v>
      </c>
      <c r="F42" s="3231"/>
      <c r="G42" s="3244">
        <v>15590</v>
      </c>
      <c r="N42" s="3231" t="s">
        <v>3022</v>
      </c>
      <c r="O42" s="3231" t="s">
        <v>3023</v>
      </c>
      <c r="P42" s="3231" t="s">
        <v>3024</v>
      </c>
      <c r="Q42" s="3231" t="s">
        <v>3025</v>
      </c>
    </row>
    <row r="43" spans="1:17" ht="14.25" customHeight="1">
      <c r="A43" s="3231" t="s">
        <v>3026</v>
      </c>
      <c r="B43" s="3232" t="s">
        <v>223</v>
      </c>
      <c r="C43" s="3231">
        <v>21210</v>
      </c>
      <c r="D43" s="3231">
        <v>21160</v>
      </c>
      <c r="E43" s="3231">
        <v>22650</v>
      </c>
      <c r="F43" s="3231"/>
      <c r="G43" s="3244">
        <v>14800</v>
      </c>
      <c r="N43" s="3231" t="s">
        <v>3027</v>
      </c>
      <c r="O43" s="3231" t="s">
        <v>3028</v>
      </c>
      <c r="P43" s="3231" t="s">
        <v>3029</v>
      </c>
      <c r="Q43" s="3231" t="s">
        <v>3030</v>
      </c>
    </row>
    <row r="44" spans="1:17" ht="14.25" customHeight="1" thickBot="1">
      <c r="A44" s="3231" t="s">
        <v>296</v>
      </c>
      <c r="B44" s="3232" t="s">
        <v>231</v>
      </c>
      <c r="C44" s="3231">
        <v>22370</v>
      </c>
      <c r="D44" s="3231">
        <v>23140</v>
      </c>
      <c r="E44" s="3231">
        <v>25090</v>
      </c>
      <c r="F44" s="3231"/>
      <c r="G44" s="3244">
        <v>16190</v>
      </c>
      <c r="N44" s="3231" t="s">
        <v>3031</v>
      </c>
      <c r="O44" s="3231" t="s">
        <v>3032</v>
      </c>
      <c r="P44" s="3238" t="s">
        <v>3033</v>
      </c>
      <c r="Q44" s="3231" t="s">
        <v>3034</v>
      </c>
    </row>
    <row r="45" spans="1:17" ht="14.25" customHeight="1" thickBot="1">
      <c r="A45" s="3231" t="s">
        <v>296</v>
      </c>
      <c r="B45" s="3232" t="s">
        <v>236</v>
      </c>
      <c r="C45" s="3231">
        <v>21240</v>
      </c>
      <c r="D45" s="3231">
        <v>27050</v>
      </c>
      <c r="E45" s="3231">
        <v>28000</v>
      </c>
      <c r="F45" s="3231"/>
      <c r="G45" s="3244">
        <v>18940</v>
      </c>
      <c r="N45" s="3231" t="s">
        <v>3035</v>
      </c>
      <c r="O45" s="3238" t="s">
        <v>3036</v>
      </c>
      <c r="Q45" s="3231" t="s">
        <v>3037</v>
      </c>
    </row>
    <row r="46" spans="1:17" ht="14.25" customHeight="1">
      <c r="A46" s="3231" t="s">
        <v>296</v>
      </c>
      <c r="B46" s="3232" t="s">
        <v>245</v>
      </c>
      <c r="C46" s="3231">
        <v>23240</v>
      </c>
      <c r="D46" s="3231">
        <v>23000</v>
      </c>
      <c r="E46" s="3231">
        <v>24980</v>
      </c>
      <c r="F46" s="3231"/>
      <c r="G46" s="3244">
        <v>16100</v>
      </c>
      <c r="N46" s="3231" t="s">
        <v>3038</v>
      </c>
      <c r="Q46" s="3231" t="s">
        <v>3039</v>
      </c>
    </row>
    <row r="47" spans="1:17" ht="14.25" customHeight="1">
      <c r="A47" s="3231" t="s">
        <v>296</v>
      </c>
      <c r="B47" s="3232" t="s">
        <v>252</v>
      </c>
      <c r="C47" s="3231">
        <v>27150</v>
      </c>
      <c r="D47" s="3231">
        <v>23310</v>
      </c>
      <c r="E47" s="3231">
        <v>25150</v>
      </c>
      <c r="F47" s="3231"/>
      <c r="G47" s="3244">
        <v>16310</v>
      </c>
      <c r="N47" s="3231" t="s">
        <v>3040</v>
      </c>
      <c r="Q47" s="3231" t="s">
        <v>3041</v>
      </c>
    </row>
    <row r="48" spans="1:17" ht="14.25" customHeight="1">
      <c r="A48" s="3231" t="s">
        <v>296</v>
      </c>
      <c r="B48" s="3232" t="s">
        <v>260</v>
      </c>
      <c r="C48" s="3231">
        <v>23100</v>
      </c>
      <c r="D48" s="3231">
        <v>21110</v>
      </c>
      <c r="E48" s="3231">
        <v>23080</v>
      </c>
      <c r="F48" s="3231"/>
      <c r="G48" s="3244">
        <v>14780</v>
      </c>
      <c r="N48" s="3231" t="s">
        <v>3042</v>
      </c>
      <c r="Q48" s="3231" t="s">
        <v>3043</v>
      </c>
    </row>
    <row r="49" spans="1:17" ht="14.25" customHeight="1">
      <c r="A49" s="3231" t="s">
        <v>296</v>
      </c>
      <c r="B49" s="3232" t="s">
        <v>267</v>
      </c>
      <c r="C49" s="3231">
        <v>23400</v>
      </c>
      <c r="D49" s="3231">
        <v>22920</v>
      </c>
      <c r="E49" s="3231">
        <v>24900</v>
      </c>
      <c r="F49" s="3231"/>
      <c r="G49" s="3244">
        <v>16040</v>
      </c>
      <c r="N49" s="3231" t="s">
        <v>3044</v>
      </c>
      <c r="Q49" s="3231" t="s">
        <v>3045</v>
      </c>
    </row>
    <row r="50" spans="1:17" ht="14.25" customHeight="1">
      <c r="A50" s="3231" t="s">
        <v>296</v>
      </c>
      <c r="B50" s="3232" t="s">
        <v>2922</v>
      </c>
      <c r="C50" s="3231">
        <v>21200</v>
      </c>
      <c r="D50" s="3231">
        <v>26540</v>
      </c>
      <c r="E50" s="3231">
        <v>23200</v>
      </c>
      <c r="F50" s="3231"/>
      <c r="G50" s="3244">
        <v>18580</v>
      </c>
      <c r="N50" s="3231" t="s">
        <v>3046</v>
      </c>
      <c r="Q50" s="3232" t="s">
        <v>3047</v>
      </c>
    </row>
    <row r="51" spans="1:17" ht="14.25" customHeight="1" thickBot="1">
      <c r="A51" s="3231" t="s">
        <v>296</v>
      </c>
      <c r="B51" s="3232" t="s">
        <v>2924</v>
      </c>
      <c r="C51" s="3231">
        <v>23000</v>
      </c>
      <c r="D51" s="3231">
        <v>23460</v>
      </c>
      <c r="E51" s="3231">
        <v>25290</v>
      </c>
      <c r="F51" s="3231"/>
      <c r="G51" s="3244">
        <v>16420</v>
      </c>
      <c r="N51" s="3231" t="s">
        <v>3048</v>
      </c>
      <c r="Q51" s="3238" t="s">
        <v>3049</v>
      </c>
    </row>
    <row r="52" spans="1:17" ht="14.25" customHeight="1">
      <c r="A52" s="3231" t="s">
        <v>296</v>
      </c>
      <c r="B52" s="3232" t="s">
        <v>2928</v>
      </c>
      <c r="C52" s="3231">
        <v>26660</v>
      </c>
      <c r="D52" s="3231">
        <v>22350</v>
      </c>
      <c r="E52" s="3231">
        <v>22920</v>
      </c>
      <c r="F52" s="3231"/>
      <c r="G52" s="3244">
        <v>15640</v>
      </c>
      <c r="N52" s="3231" t="s">
        <v>3050</v>
      </c>
    </row>
    <row r="53" spans="1:17" ht="14.25" customHeight="1">
      <c r="A53" s="3231" t="s">
        <v>296</v>
      </c>
      <c r="B53" s="3232" t="s">
        <v>2933</v>
      </c>
      <c r="C53" s="3231">
        <v>23580</v>
      </c>
      <c r="D53" s="3231"/>
      <c r="E53" s="3231">
        <v>24280</v>
      </c>
      <c r="F53" s="3231"/>
      <c r="G53" s="3244"/>
      <c r="N53" s="3231" t="s">
        <v>3051</v>
      </c>
    </row>
    <row r="54" spans="1:17" ht="14.25" customHeight="1" thickBot="1">
      <c r="A54" s="3245" t="s">
        <v>296</v>
      </c>
      <c r="B54" s="3237" t="s">
        <v>2936</v>
      </c>
      <c r="C54" s="3238">
        <v>22460</v>
      </c>
      <c r="D54" s="3238"/>
      <c r="E54" s="3238"/>
      <c r="F54" s="3238"/>
      <c r="G54" s="3246"/>
      <c r="N54" s="3231" t="s">
        <v>3052</v>
      </c>
    </row>
    <row r="55" spans="1:17" ht="14.25" customHeight="1">
      <c r="A55" s="3236" t="s">
        <v>110</v>
      </c>
      <c r="B55" s="3227" t="s">
        <v>3053</v>
      </c>
      <c r="C55" s="3231">
        <v>21970</v>
      </c>
      <c r="D55" s="3231">
        <v>20370</v>
      </c>
      <c r="E55" s="3231">
        <v>20180</v>
      </c>
      <c r="F55" s="3231">
        <v>5730</v>
      </c>
      <c r="G55" s="3231">
        <v>13820</v>
      </c>
      <c r="N55" s="3231" t="s">
        <v>3054</v>
      </c>
    </row>
    <row r="56" spans="1:17" ht="14.25" customHeight="1">
      <c r="A56" s="3231" t="s">
        <v>110</v>
      </c>
      <c r="B56" s="3231" t="s">
        <v>130</v>
      </c>
      <c r="C56" s="3231">
        <v>20470</v>
      </c>
      <c r="D56" s="3231">
        <v>20700</v>
      </c>
      <c r="E56" s="3231">
        <v>20380</v>
      </c>
      <c r="F56" s="3231">
        <v>4760</v>
      </c>
      <c r="G56" s="3231">
        <v>14050</v>
      </c>
      <c r="N56" s="3231" t="s">
        <v>3055</v>
      </c>
    </row>
    <row r="57" spans="1:17" ht="14.25" customHeight="1">
      <c r="A57" s="3231" t="s">
        <v>110</v>
      </c>
      <c r="B57" s="3231" t="s">
        <v>139</v>
      </c>
      <c r="C57" s="3231">
        <v>20790</v>
      </c>
      <c r="D57" s="3231">
        <v>21370</v>
      </c>
      <c r="E57" s="3231">
        <v>20890</v>
      </c>
      <c r="F57" s="3231">
        <v>4910</v>
      </c>
      <c r="G57" s="3231">
        <v>14510</v>
      </c>
      <c r="N57" s="3231" t="s">
        <v>3056</v>
      </c>
    </row>
    <row r="58" spans="1:17" ht="14.25" customHeight="1">
      <c r="A58" s="3231" t="s">
        <v>110</v>
      </c>
      <c r="B58" s="3231" t="s">
        <v>148</v>
      </c>
      <c r="C58" s="3231">
        <v>21460</v>
      </c>
      <c r="D58" s="3231">
        <v>20920</v>
      </c>
      <c r="E58" s="3231">
        <v>23410</v>
      </c>
      <c r="F58" s="3231">
        <v>5100</v>
      </c>
      <c r="G58" s="3231">
        <v>14200</v>
      </c>
      <c r="N58" s="3231" t="s">
        <v>3057</v>
      </c>
    </row>
    <row r="59" spans="1:17" ht="14.25" customHeight="1">
      <c r="A59" s="3231" t="s">
        <v>110</v>
      </c>
      <c r="B59" s="3231" t="s">
        <v>157</v>
      </c>
      <c r="C59" s="3231">
        <v>21000</v>
      </c>
      <c r="D59" s="3231">
        <v>21550</v>
      </c>
      <c r="E59" s="3231">
        <v>21150</v>
      </c>
      <c r="F59" s="3231">
        <v>5250</v>
      </c>
      <c r="G59" s="3231">
        <v>14630</v>
      </c>
      <c r="N59" s="3231" t="s">
        <v>3058</v>
      </c>
    </row>
    <row r="60" spans="1:17" ht="14.25" customHeight="1">
      <c r="A60" s="3231" t="s">
        <v>110</v>
      </c>
      <c r="B60" s="3231" t="s">
        <v>164</v>
      </c>
      <c r="C60" s="3231">
        <v>21640</v>
      </c>
      <c r="D60" s="3231">
        <v>21260</v>
      </c>
      <c r="E60" s="3231">
        <v>24040</v>
      </c>
      <c r="F60" s="3231">
        <v>4470</v>
      </c>
      <c r="G60" s="3231">
        <v>14430</v>
      </c>
      <c r="N60" s="3231" t="s">
        <v>3059</v>
      </c>
    </row>
    <row r="61" spans="1:17" ht="14.25" customHeight="1">
      <c r="A61" s="3231" t="s">
        <v>110</v>
      </c>
      <c r="B61" s="3231" t="s">
        <v>170</v>
      </c>
      <c r="C61" s="3231">
        <v>21330</v>
      </c>
      <c r="D61" s="3231">
        <v>18640</v>
      </c>
      <c r="E61" s="3231">
        <v>21190</v>
      </c>
      <c r="F61" s="3231">
        <v>4180</v>
      </c>
      <c r="G61" s="3231">
        <v>12650</v>
      </c>
      <c r="N61" s="3231" t="s">
        <v>3060</v>
      </c>
    </row>
    <row r="62" spans="1:17" ht="14.25" customHeight="1">
      <c r="A62" s="3231" t="s">
        <v>110</v>
      </c>
      <c r="B62" s="3231" t="s">
        <v>177</v>
      </c>
      <c r="C62" s="3231">
        <v>18710</v>
      </c>
      <c r="D62" s="3231">
        <v>19400</v>
      </c>
      <c r="E62" s="3231">
        <v>23750</v>
      </c>
      <c r="F62" s="3231">
        <v>4860</v>
      </c>
      <c r="G62" s="3231">
        <v>13170</v>
      </c>
      <c r="N62" s="3231" t="s">
        <v>3061</v>
      </c>
    </row>
    <row r="63" spans="1:17" ht="14.25" customHeight="1">
      <c r="A63" s="3231" t="s">
        <v>110</v>
      </c>
      <c r="B63" s="3231" t="s">
        <v>187</v>
      </c>
      <c r="C63" s="3231">
        <v>19480</v>
      </c>
      <c r="D63" s="3231">
        <v>16830</v>
      </c>
      <c r="E63" s="3231">
        <v>21590</v>
      </c>
      <c r="F63" s="3231">
        <v>4560</v>
      </c>
      <c r="G63" s="3231">
        <v>11420</v>
      </c>
      <c r="N63" s="3231" t="s">
        <v>3062</v>
      </c>
    </row>
    <row r="64" spans="1:17" ht="14.25" customHeight="1" thickBot="1">
      <c r="A64" s="3231" t="s">
        <v>110</v>
      </c>
      <c r="B64" s="3231" t="s">
        <v>196</v>
      </c>
      <c r="C64" s="3231">
        <v>16920</v>
      </c>
      <c r="D64" s="3231">
        <v>19190</v>
      </c>
      <c r="E64" s="3231">
        <v>22200</v>
      </c>
      <c r="F64" s="3231">
        <v>4390</v>
      </c>
      <c r="G64" s="3231">
        <v>13030</v>
      </c>
      <c r="N64" s="3238" t="s">
        <v>3063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2934</v>
      </c>
      <c r="C78" s="3231">
        <v>19820</v>
      </c>
      <c r="D78" s="3231">
        <v>19780</v>
      </c>
      <c r="E78" s="3231">
        <v>18560</v>
      </c>
      <c r="F78" s="3231"/>
      <c r="G78" s="3231">
        <v>13430</v>
      </c>
    </row>
    <row r="79" spans="1:7" s="3220" customFormat="1" ht="14.25" customHeight="1">
      <c r="A79" s="3231" t="s">
        <v>110</v>
      </c>
      <c r="B79" s="3231" t="s">
        <v>2937</v>
      </c>
      <c r="C79" s="3231">
        <v>21660</v>
      </c>
      <c r="D79" s="3231">
        <v>18000</v>
      </c>
      <c r="E79" s="3231">
        <v>22570</v>
      </c>
      <c r="F79" s="3231"/>
      <c r="G79" s="3231">
        <v>12220</v>
      </c>
    </row>
    <row r="80" spans="1:7" s="3220" customFormat="1" ht="14.25" customHeight="1">
      <c r="A80" s="3231" t="s">
        <v>110</v>
      </c>
      <c r="B80" s="3231" t="s">
        <v>2941</v>
      </c>
      <c r="C80" s="3231">
        <v>19850</v>
      </c>
      <c r="D80" s="3231"/>
      <c r="E80" s="3231">
        <v>21700</v>
      </c>
      <c r="F80" s="3231"/>
      <c r="G80" s="3231"/>
    </row>
    <row r="81" spans="1:7" s="3220" customFormat="1" ht="14.25" customHeight="1">
      <c r="A81" s="3231" t="s">
        <v>110</v>
      </c>
      <c r="B81" s="3231" t="s">
        <v>2946</v>
      </c>
      <c r="C81" s="3231">
        <v>18080</v>
      </c>
      <c r="D81" s="3231"/>
      <c r="E81" s="3231">
        <v>20900</v>
      </c>
      <c r="F81" s="3231"/>
      <c r="G81" s="3231"/>
    </row>
    <row r="82" spans="1:7" s="3220" customFormat="1" ht="14.25" customHeight="1">
      <c r="A82" s="3231" t="s">
        <v>110</v>
      </c>
      <c r="B82" s="3231" t="s">
        <v>2953</v>
      </c>
      <c r="C82" s="3231"/>
      <c r="D82" s="3231"/>
      <c r="E82" s="3231">
        <v>20840</v>
      </c>
      <c r="F82" s="3231"/>
      <c r="G82" s="3231"/>
    </row>
    <row r="83" spans="1:7" s="3220" customFormat="1" ht="14.25" customHeight="1">
      <c r="A83" s="3231" t="s">
        <v>110</v>
      </c>
      <c r="B83" s="3231" t="s">
        <v>3064</v>
      </c>
      <c r="C83" s="3231"/>
      <c r="D83" s="3231"/>
      <c r="E83" s="3231"/>
      <c r="F83" s="3231">
        <v>4770</v>
      </c>
      <c r="G83" s="3231"/>
    </row>
    <row r="84" spans="1:7" s="3220" customFormat="1" ht="14.25" customHeight="1">
      <c r="A84" s="3231" t="s">
        <v>110</v>
      </c>
      <c r="B84" s="3231" t="s">
        <v>3065</v>
      </c>
      <c r="C84" s="3231"/>
      <c r="D84" s="3231"/>
      <c r="E84" s="3231"/>
      <c r="F84" s="3231">
        <v>4600</v>
      </c>
      <c r="G84" s="3231"/>
    </row>
    <row r="85" spans="1:7" s="3220" customFormat="1" ht="14.25" customHeight="1">
      <c r="A85" s="3231" t="s">
        <v>110</v>
      </c>
      <c r="B85" s="3231" t="s">
        <v>3066</v>
      </c>
      <c r="C85" s="3231"/>
      <c r="D85" s="3231"/>
      <c r="E85" s="3231"/>
      <c r="F85" s="3231">
        <v>4680</v>
      </c>
      <c r="G85" s="3231"/>
    </row>
    <row r="86" spans="1:7" s="3220" customFormat="1" ht="14.25" customHeight="1" thickBot="1">
      <c r="A86" s="3239" t="s">
        <v>110</v>
      </c>
      <c r="B86" s="3241" t="s">
        <v>3067</v>
      </c>
      <c r="C86" s="3242">
        <v>16610</v>
      </c>
      <c r="D86" s="3242">
        <v>16540</v>
      </c>
      <c r="E86" s="3242">
        <v>18850</v>
      </c>
      <c r="F86" s="3242"/>
      <c r="G86" s="3242">
        <v>11220</v>
      </c>
    </row>
    <row r="87" spans="1:7" s="3220" customFormat="1" ht="14.25" customHeight="1">
      <c r="A87" s="3236" t="s">
        <v>303</v>
      </c>
      <c r="B87" s="3227" t="s">
        <v>3068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2947</v>
      </c>
      <c r="C113" s="3231">
        <v>15520</v>
      </c>
      <c r="D113" s="3231">
        <v>15450</v>
      </c>
      <c r="E113" s="3231"/>
      <c r="F113" s="3231"/>
      <c r="G113" s="3244">
        <v>10210</v>
      </c>
    </row>
    <row r="114" spans="1:7" s="3220" customFormat="1" ht="14.25" customHeight="1">
      <c r="A114" s="3231" t="s">
        <v>303</v>
      </c>
      <c r="B114" s="3231" t="s">
        <v>2954</v>
      </c>
      <c r="C114" s="3231">
        <v>13110</v>
      </c>
      <c r="D114" s="3231">
        <v>13050</v>
      </c>
      <c r="E114" s="3231"/>
      <c r="F114" s="3231"/>
      <c r="G114" s="3244">
        <v>8620</v>
      </c>
    </row>
    <row r="115" spans="1:7" s="3220" customFormat="1" ht="14.25" customHeight="1">
      <c r="A115" s="3231" t="s">
        <v>303</v>
      </c>
      <c r="B115" s="3231" t="s">
        <v>2960</v>
      </c>
      <c r="C115" s="3231">
        <v>12460</v>
      </c>
      <c r="D115" s="3231">
        <v>12390</v>
      </c>
      <c r="E115" s="3231"/>
      <c r="F115" s="3231"/>
      <c r="G115" s="3244">
        <v>8190</v>
      </c>
    </row>
    <row r="116" spans="1:7" s="3220" customFormat="1" ht="14.25" customHeight="1">
      <c r="A116" s="3231" t="s">
        <v>303</v>
      </c>
      <c r="B116" s="3231" t="s">
        <v>2967</v>
      </c>
      <c r="C116" s="3231">
        <v>13580</v>
      </c>
      <c r="D116" s="3231">
        <v>13520</v>
      </c>
      <c r="E116" s="3231"/>
      <c r="F116" s="3231"/>
      <c r="G116" s="3244">
        <v>8930</v>
      </c>
    </row>
    <row r="117" spans="1:7" s="3220" customFormat="1" ht="14.25" customHeight="1">
      <c r="A117" s="3231" t="s">
        <v>303</v>
      </c>
      <c r="B117" s="3231" t="s">
        <v>2974</v>
      </c>
      <c r="C117" s="3231">
        <v>17120</v>
      </c>
      <c r="D117" s="3231">
        <v>17040</v>
      </c>
      <c r="E117" s="3231"/>
      <c r="F117" s="3231"/>
      <c r="G117" s="3244">
        <v>11260</v>
      </c>
    </row>
    <row r="118" spans="1:7" s="3220" customFormat="1" ht="14.25" customHeight="1">
      <c r="A118" s="3231" t="s">
        <v>303</v>
      </c>
      <c r="B118" s="3231" t="s">
        <v>2979</v>
      </c>
      <c r="C118" s="3231">
        <v>14860</v>
      </c>
      <c r="D118" s="3231">
        <v>14790</v>
      </c>
      <c r="E118" s="3231"/>
      <c r="F118" s="3231"/>
      <c r="G118" s="3244">
        <v>9780</v>
      </c>
    </row>
    <row r="119" spans="1:7" s="3220" customFormat="1" ht="14.25" customHeight="1">
      <c r="A119" s="3231" t="s">
        <v>303</v>
      </c>
      <c r="B119" s="3231" t="s">
        <v>2983</v>
      </c>
      <c r="C119" s="3231">
        <v>16470</v>
      </c>
      <c r="D119" s="3231">
        <v>16400</v>
      </c>
      <c r="E119" s="3231"/>
      <c r="F119" s="3231"/>
      <c r="G119" s="3244">
        <v>10840</v>
      </c>
    </row>
    <row r="120" spans="1:7" s="3220" customFormat="1" ht="14.25" customHeight="1">
      <c r="A120" s="3231" t="s">
        <v>303</v>
      </c>
      <c r="B120" s="3231" t="s">
        <v>3069</v>
      </c>
      <c r="C120" s="3231"/>
      <c r="D120" s="3231"/>
      <c r="E120" s="3231"/>
      <c r="F120" s="3231">
        <v>4160</v>
      </c>
      <c r="G120" s="3244"/>
    </row>
    <row r="121" spans="1:7" s="3220" customFormat="1" ht="14.25" customHeight="1">
      <c r="A121" s="3231" t="s">
        <v>303</v>
      </c>
      <c r="B121" s="3231" t="s">
        <v>3070</v>
      </c>
      <c r="C121" s="3231"/>
      <c r="D121" s="3231"/>
      <c r="E121" s="3231"/>
      <c r="F121" s="3231">
        <v>3880</v>
      </c>
      <c r="G121" s="3244"/>
    </row>
    <row r="122" spans="1:7" s="3220" customFormat="1" ht="14.25" customHeight="1">
      <c r="A122" s="3231" t="s">
        <v>303</v>
      </c>
      <c r="B122" s="3231" t="s">
        <v>3071</v>
      </c>
      <c r="C122" s="3231">
        <v>13750</v>
      </c>
      <c r="D122" s="3231">
        <v>13680</v>
      </c>
      <c r="E122" s="3231">
        <v>16460</v>
      </c>
      <c r="F122" s="3231">
        <v>2880</v>
      </c>
      <c r="G122" s="3244">
        <v>9040</v>
      </c>
    </row>
    <row r="123" spans="1:7" s="3220" customFormat="1" ht="14.25" customHeight="1">
      <c r="A123" s="3231" t="s">
        <v>303</v>
      </c>
      <c r="B123" s="3231" t="s">
        <v>3002</v>
      </c>
      <c r="C123" s="3231">
        <v>13590</v>
      </c>
      <c r="D123" s="3231">
        <v>13520</v>
      </c>
      <c r="E123" s="3231">
        <v>16290</v>
      </c>
      <c r="F123" s="3231">
        <v>2790</v>
      </c>
      <c r="G123" s="3244">
        <v>8930</v>
      </c>
    </row>
    <row r="124" spans="1:7" s="3220" customFormat="1" ht="14.25" customHeight="1">
      <c r="A124" s="3231" t="s">
        <v>303</v>
      </c>
      <c r="B124" s="3231" t="s">
        <v>3007</v>
      </c>
      <c r="C124" s="3231">
        <v>13400</v>
      </c>
      <c r="D124" s="3231">
        <v>13320</v>
      </c>
      <c r="E124" s="3231">
        <v>16100</v>
      </c>
      <c r="F124" s="3231">
        <v>2320</v>
      </c>
      <c r="G124" s="3244">
        <v>8800</v>
      </c>
    </row>
    <row r="125" spans="1:7" s="3220" customFormat="1" ht="14.25" customHeight="1">
      <c r="A125" s="3231" t="s">
        <v>303</v>
      </c>
      <c r="B125" s="3231" t="s">
        <v>3012</v>
      </c>
      <c r="C125" s="3231">
        <v>12860</v>
      </c>
      <c r="D125" s="3231">
        <v>12790</v>
      </c>
      <c r="E125" s="3231">
        <v>15370</v>
      </c>
      <c r="F125" s="3231">
        <v>2280</v>
      </c>
      <c r="G125" s="3244">
        <v>8450</v>
      </c>
    </row>
    <row r="126" spans="1:7" s="3220" customFormat="1" ht="14.25" customHeight="1" thickBot="1">
      <c r="A126" s="3245" t="s">
        <v>303</v>
      </c>
      <c r="B126" s="3238" t="s">
        <v>3017</v>
      </c>
      <c r="C126" s="3238">
        <v>12960</v>
      </c>
      <c r="D126" s="3238">
        <v>12890</v>
      </c>
      <c r="E126" s="3238">
        <v>15530</v>
      </c>
      <c r="F126" s="3238">
        <v>2910</v>
      </c>
      <c r="G126" s="3246">
        <v>8520</v>
      </c>
    </row>
    <row r="127" spans="1:7" s="3220" customFormat="1" ht="14.25" customHeight="1">
      <c r="A127" s="3236" t="s">
        <v>29</v>
      </c>
      <c r="B127" s="3227" t="s">
        <v>3072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3073</v>
      </c>
      <c r="C148" s="3231">
        <v>10370</v>
      </c>
      <c r="D148" s="3231">
        <v>10310</v>
      </c>
      <c r="E148" s="3231">
        <v>12970</v>
      </c>
      <c r="F148" s="3231"/>
      <c r="G148" s="3231">
        <v>6630</v>
      </c>
    </row>
    <row r="149" spans="1:7" s="3220" customFormat="1" ht="14.25" customHeight="1">
      <c r="A149" s="3231" t="s">
        <v>29</v>
      </c>
      <c r="B149" s="3231" t="s">
        <v>3074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2948</v>
      </c>
      <c r="C153" s="3231">
        <v>10880</v>
      </c>
      <c r="D153" s="3231">
        <v>10820</v>
      </c>
      <c r="E153" s="3231">
        <v>13660</v>
      </c>
      <c r="F153" s="3231">
        <v>2260</v>
      </c>
      <c r="G153" s="3231">
        <v>6970</v>
      </c>
    </row>
    <row r="154" spans="1:7" s="3220" customFormat="1" ht="14.25" customHeight="1">
      <c r="A154" s="3231" t="s">
        <v>29</v>
      </c>
      <c r="B154" s="3231" t="s">
        <v>3075</v>
      </c>
      <c r="C154" s="3231">
        <v>11220</v>
      </c>
      <c r="D154" s="3231">
        <v>11160</v>
      </c>
      <c r="E154" s="3231">
        <v>14130</v>
      </c>
      <c r="F154" s="3231">
        <v>2230</v>
      </c>
      <c r="G154" s="3231">
        <v>7180</v>
      </c>
    </row>
    <row r="155" spans="1:7" s="3220" customFormat="1" ht="14.25" customHeight="1">
      <c r="A155" s="3231" t="s">
        <v>29</v>
      </c>
      <c r="B155" s="3231" t="s">
        <v>2961</v>
      </c>
      <c r="C155" s="3231">
        <v>10430</v>
      </c>
      <c r="D155" s="3231">
        <v>10380</v>
      </c>
      <c r="E155" s="3231">
        <v>13140</v>
      </c>
      <c r="F155" s="3231">
        <v>2080</v>
      </c>
      <c r="G155" s="3231">
        <v>6650</v>
      </c>
    </row>
    <row r="156" spans="1:7" s="3220" customFormat="1" ht="14.25" customHeight="1">
      <c r="A156" s="3231" t="s">
        <v>29</v>
      </c>
      <c r="B156" s="3231" t="s">
        <v>3076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3077</v>
      </c>
      <c r="C160" s="3231">
        <v>11180</v>
      </c>
      <c r="D160" s="3231">
        <v>11140</v>
      </c>
      <c r="E160" s="3231">
        <v>14050</v>
      </c>
      <c r="F160" s="3231">
        <v>2270</v>
      </c>
      <c r="G160" s="3231">
        <v>7170</v>
      </c>
    </row>
    <row r="161" spans="1:7" s="3220" customFormat="1" ht="14.25" customHeight="1">
      <c r="A161" s="3231" t="s">
        <v>29</v>
      </c>
      <c r="B161" s="3231" t="s">
        <v>2993</v>
      </c>
      <c r="C161" s="3231">
        <v>11160</v>
      </c>
      <c r="D161" s="3231">
        <v>11120</v>
      </c>
      <c r="E161" s="3231">
        <v>14020</v>
      </c>
      <c r="F161" s="3231">
        <v>2150</v>
      </c>
      <c r="G161" s="3231">
        <v>7160</v>
      </c>
    </row>
    <row r="162" spans="1:7" s="3220" customFormat="1" ht="14.25" customHeight="1">
      <c r="A162" s="3231" t="s">
        <v>29</v>
      </c>
      <c r="B162" s="3231" t="s">
        <v>2998</v>
      </c>
      <c r="C162" s="3231">
        <v>9620</v>
      </c>
      <c r="D162" s="3231">
        <v>9570</v>
      </c>
      <c r="E162" s="3231">
        <v>12320</v>
      </c>
      <c r="F162" s="3231">
        <v>2010</v>
      </c>
      <c r="G162" s="3231">
        <v>6160</v>
      </c>
    </row>
    <row r="163" spans="1:7" s="3220" customFormat="1" ht="14.25" customHeight="1">
      <c r="A163" s="3231" t="s">
        <v>29</v>
      </c>
      <c r="B163" s="3231" t="s">
        <v>3003</v>
      </c>
      <c r="C163" s="3231">
        <v>9320</v>
      </c>
      <c r="D163" s="3231">
        <v>9270</v>
      </c>
      <c r="E163" s="3231">
        <v>11790</v>
      </c>
      <c r="F163" s="3231">
        <v>1920</v>
      </c>
      <c r="G163" s="3231">
        <v>5960</v>
      </c>
    </row>
    <row r="164" spans="1:7" s="3220" customFormat="1" ht="14.25" customHeight="1">
      <c r="A164" s="3231" t="s">
        <v>29</v>
      </c>
      <c r="B164" s="3231" t="s">
        <v>3008</v>
      </c>
      <c r="C164" s="3231"/>
      <c r="D164" s="3231"/>
      <c r="E164" s="3231"/>
      <c r="F164" s="3231">
        <v>1980</v>
      </c>
      <c r="G164" s="3231"/>
    </row>
    <row r="165" spans="1:7" s="3220" customFormat="1" ht="14.25" customHeight="1">
      <c r="A165" s="3231" t="s">
        <v>29</v>
      </c>
      <c r="B165" s="3231" t="s">
        <v>3078</v>
      </c>
      <c r="C165" s="3231">
        <v>11060</v>
      </c>
      <c r="D165" s="3231">
        <v>11030</v>
      </c>
      <c r="E165" s="3231">
        <v>13850</v>
      </c>
      <c r="F165" s="3231">
        <v>2170</v>
      </c>
      <c r="G165" s="3231">
        <v>7090</v>
      </c>
    </row>
    <row r="166" spans="1:7" s="3220" customFormat="1" ht="14.25" customHeight="1">
      <c r="A166" s="3231" t="s">
        <v>29</v>
      </c>
      <c r="B166" s="3231" t="s">
        <v>3018</v>
      </c>
      <c r="C166" s="3231">
        <v>11050</v>
      </c>
      <c r="D166" s="3231">
        <v>11010</v>
      </c>
      <c r="E166" s="3231">
        <v>13920</v>
      </c>
      <c r="F166" s="3231">
        <v>2140</v>
      </c>
      <c r="G166" s="3231">
        <v>7080</v>
      </c>
    </row>
    <row r="167" spans="1:7" s="3220" customFormat="1" ht="14.25" customHeight="1">
      <c r="A167" s="3231" t="s">
        <v>29</v>
      </c>
      <c r="B167" s="3231" t="s">
        <v>3022</v>
      </c>
      <c r="C167" s="3231">
        <v>10930</v>
      </c>
      <c r="D167" s="3231">
        <v>10890</v>
      </c>
      <c r="E167" s="3231">
        <v>13790</v>
      </c>
      <c r="F167" s="3231">
        <v>2010</v>
      </c>
      <c r="G167" s="3231">
        <v>7000</v>
      </c>
    </row>
    <row r="168" spans="1:7" s="3220" customFormat="1" ht="14.25" customHeight="1">
      <c r="A168" s="3231" t="s">
        <v>29</v>
      </c>
      <c r="B168" s="3231" t="s">
        <v>3027</v>
      </c>
      <c r="C168" s="3231">
        <v>9420</v>
      </c>
      <c r="D168" s="3231">
        <v>9380</v>
      </c>
      <c r="E168" s="3231">
        <v>11970</v>
      </c>
      <c r="F168" s="3231"/>
      <c r="G168" s="3231">
        <v>6040</v>
      </c>
    </row>
    <row r="169" spans="1:7" s="3220" customFormat="1" ht="14.25" customHeight="1">
      <c r="A169" s="3231" t="s">
        <v>29</v>
      </c>
      <c r="B169" s="3231" t="s">
        <v>3079</v>
      </c>
      <c r="C169" s="3231"/>
      <c r="D169" s="3231"/>
      <c r="E169" s="3231"/>
      <c r="F169" s="3231">
        <v>2880</v>
      </c>
      <c r="G169" s="3231"/>
    </row>
    <row r="170" spans="1:7" s="3220" customFormat="1" ht="14.25" customHeight="1">
      <c r="A170" s="3231" t="s">
        <v>29</v>
      </c>
      <c r="B170" s="3231" t="s">
        <v>3035</v>
      </c>
      <c r="C170" s="3231"/>
      <c r="D170" s="3231"/>
      <c r="E170" s="3231"/>
      <c r="F170" s="3231">
        <v>2880</v>
      </c>
      <c r="G170" s="3231"/>
    </row>
    <row r="171" spans="1:7" s="3220" customFormat="1" ht="14.25" customHeight="1">
      <c r="A171" s="3231" t="s">
        <v>29</v>
      </c>
      <c r="B171" s="3231" t="s">
        <v>3038</v>
      </c>
      <c r="C171" s="3231"/>
      <c r="D171" s="3231"/>
      <c r="E171" s="3231"/>
      <c r="F171" s="3231">
        <v>2880</v>
      </c>
      <c r="G171" s="3231"/>
    </row>
    <row r="172" spans="1:7" s="3220" customFormat="1" ht="14.25" customHeight="1">
      <c r="A172" s="3231" t="s">
        <v>29</v>
      </c>
      <c r="B172" s="3231" t="s">
        <v>3040</v>
      </c>
      <c r="C172" s="3231"/>
      <c r="D172" s="3231"/>
      <c r="E172" s="3231"/>
      <c r="F172" s="3231">
        <v>2880</v>
      </c>
      <c r="G172" s="3231"/>
    </row>
    <row r="173" spans="1:7" s="3220" customFormat="1" ht="14.25" customHeight="1">
      <c r="A173" s="3231" t="s">
        <v>29</v>
      </c>
      <c r="B173" s="3231" t="s">
        <v>3042</v>
      </c>
      <c r="C173" s="3231"/>
      <c r="D173" s="3231"/>
      <c r="E173" s="3231"/>
      <c r="F173" s="3231">
        <v>2150</v>
      </c>
      <c r="G173" s="3231"/>
    </row>
    <row r="174" spans="1:7" s="3220" customFormat="1" ht="14.25" customHeight="1">
      <c r="A174" s="3231" t="s">
        <v>29</v>
      </c>
      <c r="B174" s="3231" t="s">
        <v>3044</v>
      </c>
      <c r="C174" s="3231"/>
      <c r="D174" s="3231"/>
      <c r="E174" s="3231"/>
      <c r="F174" s="3231">
        <v>2030</v>
      </c>
      <c r="G174" s="3231"/>
    </row>
    <row r="175" spans="1:7" s="3220" customFormat="1" ht="14.25" customHeight="1">
      <c r="A175" s="3231" t="s">
        <v>29</v>
      </c>
      <c r="B175" s="3231" t="s">
        <v>3046</v>
      </c>
      <c r="C175" s="3231"/>
      <c r="D175" s="3231"/>
      <c r="E175" s="3231"/>
      <c r="F175" s="3231">
        <v>2780</v>
      </c>
      <c r="G175" s="3231"/>
    </row>
    <row r="176" spans="1:7" s="3220" customFormat="1" ht="14.25" customHeight="1">
      <c r="A176" s="3231" t="s">
        <v>29</v>
      </c>
      <c r="B176" s="3231" t="s">
        <v>3048</v>
      </c>
      <c r="C176" s="3231"/>
      <c r="D176" s="3231"/>
      <c r="E176" s="3231"/>
      <c r="F176" s="3231">
        <v>2780</v>
      </c>
      <c r="G176" s="3231"/>
    </row>
    <row r="177" spans="1:7" s="3220" customFormat="1" ht="14.25" customHeight="1">
      <c r="A177" s="3231" t="s">
        <v>29</v>
      </c>
      <c r="B177" s="3231" t="s">
        <v>3080</v>
      </c>
      <c r="C177" s="3231"/>
      <c r="D177" s="3231"/>
      <c r="E177" s="3231"/>
      <c r="F177" s="3231">
        <v>2780</v>
      </c>
      <c r="G177" s="3231"/>
    </row>
    <row r="178" spans="1:7" s="3220" customFormat="1" ht="14.25" customHeight="1">
      <c r="A178" s="3231" t="s">
        <v>29</v>
      </c>
      <c r="B178" s="3231" t="s">
        <v>3081</v>
      </c>
      <c r="C178" s="3231"/>
      <c r="D178" s="3231"/>
      <c r="E178" s="3231"/>
      <c r="F178" s="3231">
        <v>2060</v>
      </c>
      <c r="G178" s="3231"/>
    </row>
    <row r="179" spans="1:7" s="3220" customFormat="1" ht="14.25" customHeight="1">
      <c r="A179" s="3231" t="s">
        <v>29</v>
      </c>
      <c r="B179" s="3231" t="s">
        <v>3082</v>
      </c>
      <c r="C179" s="3231"/>
      <c r="D179" s="3231"/>
      <c r="E179" s="3231"/>
      <c r="F179" s="3231">
        <v>2120</v>
      </c>
      <c r="G179" s="3231"/>
    </row>
    <row r="180" spans="1:7" s="3220" customFormat="1" ht="14.25" customHeight="1">
      <c r="A180" s="3231" t="s">
        <v>29</v>
      </c>
      <c r="B180" s="3231" t="s">
        <v>3054</v>
      </c>
      <c r="C180" s="3231"/>
      <c r="D180" s="3231"/>
      <c r="E180" s="3231"/>
      <c r="F180" s="3231">
        <v>2340</v>
      </c>
      <c r="G180" s="3231"/>
    </row>
    <row r="181" spans="1:7" s="3220" customFormat="1" ht="14.25" customHeight="1">
      <c r="A181" s="3231" t="s">
        <v>29</v>
      </c>
      <c r="B181" s="3231" t="s">
        <v>3055</v>
      </c>
      <c r="C181" s="3231"/>
      <c r="D181" s="3231"/>
      <c r="E181" s="3231"/>
      <c r="F181" s="3231">
        <v>2340</v>
      </c>
      <c r="G181" s="3231"/>
    </row>
    <row r="182" spans="1:7" s="3220" customFormat="1" ht="14.25" customHeight="1">
      <c r="A182" s="3231" t="s">
        <v>29</v>
      </c>
      <c r="B182" s="3231" t="s">
        <v>3056</v>
      </c>
      <c r="C182" s="3231"/>
      <c r="D182" s="3231"/>
      <c r="E182" s="3231"/>
      <c r="F182" s="3231">
        <v>2340</v>
      </c>
      <c r="G182" s="3231"/>
    </row>
    <row r="183" spans="1:7" s="3220" customFormat="1" ht="14.25" customHeight="1">
      <c r="A183" s="3231" t="s">
        <v>29</v>
      </c>
      <c r="B183" s="3231" t="s">
        <v>3057</v>
      </c>
      <c r="C183" s="3231"/>
      <c r="D183" s="3231"/>
      <c r="E183" s="3231"/>
      <c r="F183" s="3231">
        <v>2340</v>
      </c>
      <c r="G183" s="3231"/>
    </row>
    <row r="184" spans="1:7" s="3220" customFormat="1" ht="14.25" customHeight="1">
      <c r="A184" s="3231" t="s">
        <v>29</v>
      </c>
      <c r="B184" s="3231" t="s">
        <v>3058</v>
      </c>
      <c r="C184" s="3231"/>
      <c r="D184" s="3231"/>
      <c r="E184" s="3231"/>
      <c r="F184" s="3231">
        <v>2340</v>
      </c>
      <c r="G184" s="3231"/>
    </row>
    <row r="185" spans="1:7" s="3220" customFormat="1" ht="14.25" customHeight="1">
      <c r="A185" s="3231" t="s">
        <v>29</v>
      </c>
      <c r="B185" s="3231" t="s">
        <v>3059</v>
      </c>
      <c r="C185" s="3231"/>
      <c r="D185" s="3231"/>
      <c r="E185" s="3231"/>
      <c r="F185" s="3231">
        <v>2530</v>
      </c>
      <c r="G185" s="3231"/>
    </row>
    <row r="186" spans="1:7" s="3220" customFormat="1" ht="14.25" customHeight="1">
      <c r="A186" s="3231" t="s">
        <v>29</v>
      </c>
      <c r="B186" s="3231" t="s">
        <v>3060</v>
      </c>
      <c r="C186" s="3231"/>
      <c r="D186" s="3231"/>
      <c r="E186" s="3231"/>
      <c r="F186" s="3231">
        <v>2550</v>
      </c>
      <c r="G186" s="3231"/>
    </row>
    <row r="187" spans="1:7" s="3220" customFormat="1" ht="14.25" customHeight="1">
      <c r="A187" s="3231" t="s">
        <v>29</v>
      </c>
      <c r="B187" s="3231" t="s">
        <v>3061</v>
      </c>
      <c r="C187" s="3231"/>
      <c r="D187" s="3231"/>
      <c r="E187" s="3231"/>
      <c r="F187" s="3231">
        <v>2070</v>
      </c>
      <c r="G187" s="3231"/>
    </row>
    <row r="188" spans="1:7" s="3220" customFormat="1" ht="14.25" customHeight="1">
      <c r="A188" s="3231" t="s">
        <v>29</v>
      </c>
      <c r="B188" s="3231" t="s">
        <v>3062</v>
      </c>
      <c r="C188" s="3231"/>
      <c r="D188" s="3231"/>
      <c r="E188" s="3231"/>
      <c r="F188" s="3231">
        <v>2340</v>
      </c>
      <c r="G188" s="3231"/>
    </row>
    <row r="189" spans="1:7" s="3220" customFormat="1" ht="14.25" customHeight="1" thickBot="1">
      <c r="A189" s="3239" t="s">
        <v>29</v>
      </c>
      <c r="B189" s="3242" t="s">
        <v>3063</v>
      </c>
      <c r="C189" s="3242"/>
      <c r="D189" s="3242"/>
      <c r="E189" s="3242"/>
      <c r="F189" s="3242">
        <v>2050</v>
      </c>
      <c r="G189" s="3242"/>
    </row>
    <row r="190" spans="1:7" s="3220" customFormat="1" ht="14.25" customHeight="1">
      <c r="A190" s="3236" t="s">
        <v>304</v>
      </c>
      <c r="B190" s="3227" t="s">
        <v>3083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3084</v>
      </c>
      <c r="C199" s="3231">
        <v>8690</v>
      </c>
      <c r="D199" s="3231">
        <v>8630</v>
      </c>
      <c r="E199" s="3231">
        <v>11350</v>
      </c>
      <c r="F199" s="3231">
        <v>1600</v>
      </c>
      <c r="G199" s="3244">
        <v>5450</v>
      </c>
    </row>
    <row r="200" spans="1:7" s="3220" customFormat="1" ht="14.25" customHeight="1">
      <c r="A200" s="3231" t="s">
        <v>304</v>
      </c>
      <c r="B200" s="3231" t="s">
        <v>2895</v>
      </c>
      <c r="C200" s="3231"/>
      <c r="D200" s="3231"/>
      <c r="E200" s="3231"/>
      <c r="F200" s="3231">
        <v>1510</v>
      </c>
      <c r="G200" s="3244"/>
    </row>
    <row r="201" spans="1:7" s="3220" customFormat="1" ht="14.25" customHeight="1">
      <c r="A201" s="3231" t="s">
        <v>304</v>
      </c>
      <c r="B201" s="3231" t="s">
        <v>3085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3086</v>
      </c>
      <c r="C203" s="3231">
        <v>8130</v>
      </c>
      <c r="D203" s="3231">
        <v>8070</v>
      </c>
      <c r="E203" s="3231">
        <v>10820</v>
      </c>
      <c r="F203" s="3231">
        <v>1690</v>
      </c>
      <c r="G203" s="3244">
        <v>5100</v>
      </c>
    </row>
    <row r="204" spans="1:7" s="3220" customFormat="1" ht="14.25" customHeight="1">
      <c r="A204" s="3231" t="s">
        <v>304</v>
      </c>
      <c r="B204" s="3231" t="s">
        <v>2906</v>
      </c>
      <c r="C204" s="3231">
        <v>8350</v>
      </c>
      <c r="D204" s="3231">
        <v>8290</v>
      </c>
      <c r="E204" s="3231">
        <v>11080</v>
      </c>
      <c r="F204" s="3231">
        <v>1450</v>
      </c>
      <c r="G204" s="3244">
        <v>5240</v>
      </c>
    </row>
    <row r="205" spans="1:7" s="3220" customFormat="1" ht="14.25" customHeight="1">
      <c r="A205" s="3231" t="s">
        <v>304</v>
      </c>
      <c r="B205" s="3231" t="s">
        <v>2908</v>
      </c>
      <c r="C205" s="3231">
        <v>7190</v>
      </c>
      <c r="D205" s="3231">
        <v>7130</v>
      </c>
      <c r="E205" s="3231">
        <v>9490</v>
      </c>
      <c r="F205" s="3231">
        <v>1470</v>
      </c>
      <c r="G205" s="3244">
        <v>4510</v>
      </c>
    </row>
    <row r="206" spans="1:7" s="3220" customFormat="1" ht="14.25" customHeight="1">
      <c r="A206" s="3231" t="s">
        <v>304</v>
      </c>
      <c r="B206" s="3231" t="s">
        <v>2911</v>
      </c>
      <c r="C206" s="3231">
        <v>7000</v>
      </c>
      <c r="D206" s="3231">
        <v>6950</v>
      </c>
      <c r="E206" s="3231">
        <v>9170</v>
      </c>
      <c r="F206" s="3231">
        <v>1400</v>
      </c>
      <c r="G206" s="3244">
        <v>4380</v>
      </c>
    </row>
    <row r="207" spans="1:7" s="3220" customFormat="1" ht="14.25" customHeight="1">
      <c r="A207" s="3231" t="s">
        <v>304</v>
      </c>
      <c r="B207" s="3231" t="s">
        <v>2913</v>
      </c>
      <c r="C207" s="3231">
        <v>6950</v>
      </c>
      <c r="D207" s="3231">
        <v>6900</v>
      </c>
      <c r="E207" s="3231">
        <v>9110</v>
      </c>
      <c r="F207" s="3231">
        <v>1790</v>
      </c>
      <c r="G207" s="3244">
        <v>4360</v>
      </c>
    </row>
    <row r="208" spans="1:7" s="3220" customFormat="1" ht="14.25" customHeight="1">
      <c r="A208" s="3231" t="s">
        <v>304</v>
      </c>
      <c r="B208" s="3231" t="s">
        <v>3087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2923</v>
      </c>
      <c r="C210" s="3231">
        <v>8710</v>
      </c>
      <c r="D210" s="3231">
        <v>8660</v>
      </c>
      <c r="E210" s="3231">
        <v>11440</v>
      </c>
      <c r="F210" s="3231">
        <v>1740</v>
      </c>
      <c r="G210" s="3244">
        <v>5470</v>
      </c>
    </row>
    <row r="211" spans="1:7" s="3220" customFormat="1" ht="14.25" customHeight="1">
      <c r="A211" s="3231" t="s">
        <v>304</v>
      </c>
      <c r="B211" s="3231" t="s">
        <v>3088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3089</v>
      </c>
      <c r="C214" s="3231">
        <v>8090</v>
      </c>
      <c r="D214" s="3231">
        <v>8030</v>
      </c>
      <c r="E214" s="3231">
        <v>10780</v>
      </c>
      <c r="F214" s="3231">
        <v>1570</v>
      </c>
      <c r="G214" s="3244">
        <v>5070</v>
      </c>
    </row>
    <row r="215" spans="1:7" s="3220" customFormat="1" ht="14.25" customHeight="1">
      <c r="A215" s="3231" t="s">
        <v>304</v>
      </c>
      <c r="B215" s="3231" t="s">
        <v>3090</v>
      </c>
      <c r="C215" s="3231">
        <v>7950</v>
      </c>
      <c r="D215" s="3231">
        <v>7900</v>
      </c>
      <c r="E215" s="3231">
        <v>10560</v>
      </c>
      <c r="F215" s="3231">
        <v>1630</v>
      </c>
      <c r="G215" s="3244">
        <v>4990</v>
      </c>
    </row>
    <row r="216" spans="1:7" s="3220" customFormat="1" ht="14.25" customHeight="1">
      <c r="A216" s="3231" t="s">
        <v>304</v>
      </c>
      <c r="B216" s="3231" t="s">
        <v>3091</v>
      </c>
      <c r="C216" s="3231">
        <v>8490</v>
      </c>
      <c r="D216" s="3231">
        <v>8440</v>
      </c>
      <c r="E216" s="3231">
        <v>11260</v>
      </c>
      <c r="F216" s="3231">
        <v>1690</v>
      </c>
      <c r="G216" s="3244">
        <v>5330</v>
      </c>
    </row>
    <row r="217" spans="1:7" s="3220" customFormat="1" ht="14.25" customHeight="1">
      <c r="A217" s="3231" t="s">
        <v>304</v>
      </c>
      <c r="B217" s="3231" t="s">
        <v>2956</v>
      </c>
      <c r="C217" s="3231">
        <v>8200</v>
      </c>
      <c r="D217" s="3231">
        <v>8150</v>
      </c>
      <c r="E217" s="3231">
        <v>10910</v>
      </c>
      <c r="F217" s="3231">
        <v>1670</v>
      </c>
      <c r="G217" s="3244">
        <v>5150</v>
      </c>
    </row>
    <row r="218" spans="1:7" s="3220" customFormat="1" ht="14.25" customHeight="1">
      <c r="A218" s="3231" t="s">
        <v>304</v>
      </c>
      <c r="B218" s="3231" t="s">
        <v>3092</v>
      </c>
      <c r="C218" s="3231"/>
      <c r="D218" s="3231"/>
      <c r="E218" s="3231"/>
      <c r="F218" s="3231">
        <v>2040</v>
      </c>
      <c r="G218" s="3244"/>
    </row>
    <row r="219" spans="1:7" s="3220" customFormat="1" ht="14.25" customHeight="1">
      <c r="A219" s="3231" t="s">
        <v>304</v>
      </c>
      <c r="B219" s="3231" t="s">
        <v>3093</v>
      </c>
      <c r="C219" s="3231"/>
      <c r="D219" s="3231"/>
      <c r="E219" s="3231"/>
      <c r="F219" s="3231">
        <v>2040</v>
      </c>
      <c r="G219" s="3244"/>
    </row>
    <row r="220" spans="1:7" s="3220" customFormat="1" ht="14.25" customHeight="1">
      <c r="A220" s="3231" t="s">
        <v>304</v>
      </c>
      <c r="B220" s="3231" t="s">
        <v>3094</v>
      </c>
      <c r="C220" s="3231"/>
      <c r="D220" s="3231"/>
      <c r="E220" s="3231"/>
      <c r="F220" s="3231">
        <v>2040</v>
      </c>
      <c r="G220" s="3244"/>
    </row>
    <row r="221" spans="1:7" s="3220" customFormat="1" ht="14.25" customHeight="1">
      <c r="A221" s="3231" t="s">
        <v>304</v>
      </c>
      <c r="B221" s="3231" t="s">
        <v>3095</v>
      </c>
      <c r="C221" s="3231"/>
      <c r="D221" s="3231"/>
      <c r="E221" s="3231"/>
      <c r="F221" s="3231">
        <v>2040</v>
      </c>
      <c r="G221" s="3244"/>
    </row>
    <row r="222" spans="1:7" s="3220" customFormat="1" ht="14.25" customHeight="1">
      <c r="A222" s="3231" t="s">
        <v>304</v>
      </c>
      <c r="B222" s="3231" t="s">
        <v>3096</v>
      </c>
      <c r="C222" s="3231"/>
      <c r="D222" s="3231"/>
      <c r="E222" s="3231"/>
      <c r="F222" s="3231">
        <v>2040</v>
      </c>
      <c r="G222" s="3244"/>
    </row>
    <row r="223" spans="1:7" s="3220" customFormat="1" ht="14.25" customHeight="1">
      <c r="A223" s="3231" t="s">
        <v>304</v>
      </c>
      <c r="B223" s="3231" t="s">
        <v>3097</v>
      </c>
      <c r="C223" s="3231"/>
      <c r="D223" s="3231"/>
      <c r="E223" s="3231"/>
      <c r="F223" s="3231">
        <v>1930</v>
      </c>
      <c r="G223" s="3244"/>
    </row>
    <row r="224" spans="1:7" s="3220" customFormat="1" ht="14.25" customHeight="1">
      <c r="A224" s="3231" t="s">
        <v>304</v>
      </c>
      <c r="B224" s="3231" t="s">
        <v>3098</v>
      </c>
      <c r="C224" s="3231"/>
      <c r="D224" s="3231"/>
      <c r="E224" s="3231"/>
      <c r="F224" s="3231">
        <v>1930</v>
      </c>
      <c r="G224" s="3244"/>
    </row>
    <row r="225" spans="1:7" s="3220" customFormat="1" ht="14.25" customHeight="1">
      <c r="A225" s="3231" t="s">
        <v>304</v>
      </c>
      <c r="B225" s="3231" t="s">
        <v>3099</v>
      </c>
      <c r="C225" s="3231"/>
      <c r="D225" s="3231"/>
      <c r="E225" s="3231"/>
      <c r="F225" s="3231">
        <v>1930</v>
      </c>
      <c r="G225" s="3244"/>
    </row>
    <row r="226" spans="1:7" s="3220" customFormat="1" ht="14.25" customHeight="1">
      <c r="A226" s="3231" t="s">
        <v>304</v>
      </c>
      <c r="B226" s="3231" t="s">
        <v>3100</v>
      </c>
      <c r="C226" s="3231"/>
      <c r="D226" s="3231"/>
      <c r="E226" s="3231"/>
      <c r="F226" s="3231">
        <v>1700</v>
      </c>
      <c r="G226" s="3244"/>
    </row>
    <row r="227" spans="1:7" s="3220" customFormat="1" ht="14.25" customHeight="1">
      <c r="A227" s="3231" t="s">
        <v>304</v>
      </c>
      <c r="B227" s="3231" t="s">
        <v>3101</v>
      </c>
      <c r="C227" s="3231"/>
      <c r="D227" s="3231"/>
      <c r="E227" s="3231"/>
      <c r="F227" s="3231">
        <v>1520</v>
      </c>
      <c r="G227" s="3244"/>
    </row>
    <row r="228" spans="1:7" s="3220" customFormat="1" ht="14.25" customHeight="1">
      <c r="A228" s="3231" t="s">
        <v>304</v>
      </c>
      <c r="B228" s="3231" t="s">
        <v>3102</v>
      </c>
      <c r="C228" s="3231"/>
      <c r="D228" s="3231"/>
      <c r="E228" s="3231"/>
      <c r="F228" s="3231">
        <v>1520</v>
      </c>
      <c r="G228" s="3244"/>
    </row>
    <row r="229" spans="1:7" s="3220" customFormat="1" ht="14.25" customHeight="1">
      <c r="A229" s="3231" t="s">
        <v>304</v>
      </c>
      <c r="B229" s="3231" t="s">
        <v>3019</v>
      </c>
      <c r="C229" s="3231"/>
      <c r="D229" s="3231"/>
      <c r="E229" s="3231"/>
      <c r="F229" s="3231">
        <v>1520</v>
      </c>
      <c r="G229" s="3244"/>
    </row>
    <row r="230" spans="1:7" s="3220" customFormat="1" ht="14.25" customHeight="1">
      <c r="A230" s="3231" t="s">
        <v>304</v>
      </c>
      <c r="B230" s="3231" t="s">
        <v>3103</v>
      </c>
      <c r="C230" s="3231"/>
      <c r="D230" s="3231"/>
      <c r="E230" s="3231"/>
      <c r="F230" s="3231">
        <v>1820</v>
      </c>
      <c r="G230" s="3244"/>
    </row>
    <row r="231" spans="1:7" s="3220" customFormat="1" ht="14.25" customHeight="1">
      <c r="A231" s="3231" t="s">
        <v>304</v>
      </c>
      <c r="B231" s="3231" t="s">
        <v>3104</v>
      </c>
      <c r="C231" s="3231"/>
      <c r="D231" s="3231"/>
      <c r="E231" s="3231"/>
      <c r="F231" s="3231">
        <v>1760</v>
      </c>
      <c r="G231" s="3244"/>
    </row>
    <row r="232" spans="1:7" s="3220" customFormat="1" ht="14.25" customHeight="1">
      <c r="A232" s="3231" t="s">
        <v>304</v>
      </c>
      <c r="B232" s="3231" t="s">
        <v>3105</v>
      </c>
      <c r="C232" s="3231"/>
      <c r="D232" s="3231"/>
      <c r="E232" s="3231"/>
      <c r="F232" s="3231">
        <v>1840</v>
      </c>
      <c r="G232" s="3244"/>
    </row>
    <row r="233" spans="1:7" s="3220" customFormat="1" ht="14.25" customHeight="1" thickBot="1">
      <c r="A233" s="3245" t="s">
        <v>304</v>
      </c>
      <c r="B233" s="3238" t="s">
        <v>3036</v>
      </c>
      <c r="C233" s="3238"/>
      <c r="D233" s="3238"/>
      <c r="E233" s="3238"/>
      <c r="F233" s="3238">
        <v>1770</v>
      </c>
      <c r="G233" s="3246"/>
    </row>
    <row r="234" spans="1:7" s="3220" customFormat="1" ht="14.25" customHeight="1">
      <c r="A234" s="3236" t="s">
        <v>305</v>
      </c>
      <c r="B234" s="3227" t="s">
        <v>3106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2877</v>
      </c>
      <c r="C238" s="3231">
        <v>6920</v>
      </c>
      <c r="D238" s="3231">
        <v>6890</v>
      </c>
      <c r="E238" s="3231">
        <v>8640</v>
      </c>
      <c r="F238" s="3231">
        <v>1310</v>
      </c>
      <c r="G238" s="3231">
        <v>4230</v>
      </c>
    </row>
    <row r="239" spans="1:7" s="3220" customFormat="1" ht="14.25" customHeight="1">
      <c r="A239" s="3231" t="s">
        <v>305</v>
      </c>
      <c r="B239" s="3231" t="s">
        <v>3107</v>
      </c>
      <c r="C239" s="3231">
        <v>6780</v>
      </c>
      <c r="D239" s="3231">
        <v>6750</v>
      </c>
      <c r="E239" s="3231">
        <v>8440</v>
      </c>
      <c r="F239" s="3231">
        <v>1160</v>
      </c>
      <c r="G239" s="3231">
        <v>4140</v>
      </c>
    </row>
    <row r="240" spans="1:7" s="3220" customFormat="1" ht="14.25" customHeight="1">
      <c r="A240" s="3231" t="s">
        <v>305</v>
      </c>
      <c r="B240" s="3231" t="s">
        <v>3108</v>
      </c>
      <c r="C240" s="3231">
        <v>5420</v>
      </c>
      <c r="D240" s="3231">
        <v>5380</v>
      </c>
      <c r="E240" s="3231">
        <v>6640</v>
      </c>
      <c r="F240" s="3231">
        <v>1020</v>
      </c>
      <c r="G240" s="3231">
        <v>3300</v>
      </c>
    </row>
    <row r="241" spans="1:7" s="3220" customFormat="1" ht="14.25" customHeight="1">
      <c r="A241" s="3231" t="s">
        <v>305</v>
      </c>
      <c r="B241" s="3231" t="s">
        <v>3109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2939</v>
      </c>
      <c r="C258" s="3231">
        <v>6190</v>
      </c>
      <c r="D258" s="3231">
        <v>6160</v>
      </c>
      <c r="E258" s="3231">
        <v>7680</v>
      </c>
      <c r="F258" s="3231">
        <v>1170</v>
      </c>
      <c r="G258" s="3231">
        <v>3780</v>
      </c>
    </row>
    <row r="259" spans="1:7" s="3220" customFormat="1" ht="14.25" customHeight="1">
      <c r="A259" s="3231" t="s">
        <v>305</v>
      </c>
      <c r="B259" s="3231" t="s">
        <v>3115</v>
      </c>
      <c r="C259" s="3231">
        <v>7610</v>
      </c>
      <c r="D259" s="3231">
        <v>7570</v>
      </c>
      <c r="E259" s="3231">
        <v>9350</v>
      </c>
      <c r="F259" s="3231">
        <v>1350</v>
      </c>
      <c r="G259" s="3231">
        <v>4650</v>
      </c>
    </row>
    <row r="260" spans="1:7" s="3220" customFormat="1" ht="14.25" customHeight="1">
      <c r="A260" s="3231" t="s">
        <v>305</v>
      </c>
      <c r="B260" s="3231" t="s">
        <v>3116</v>
      </c>
      <c r="C260" s="3231">
        <v>6920</v>
      </c>
      <c r="D260" s="3231">
        <v>6880</v>
      </c>
      <c r="E260" s="3231">
        <v>8380</v>
      </c>
      <c r="F260" s="3231">
        <v>1160</v>
      </c>
      <c r="G260" s="3231">
        <v>4220</v>
      </c>
    </row>
    <row r="261" spans="1:7" s="3220" customFormat="1" ht="14.25" customHeight="1">
      <c r="A261" s="3231" t="s">
        <v>305</v>
      </c>
      <c r="B261" s="3231" t="s">
        <v>3117</v>
      </c>
      <c r="C261" s="3231">
        <v>6850</v>
      </c>
      <c r="D261" s="3231">
        <v>6810</v>
      </c>
      <c r="E261" s="3231">
        <v>8290</v>
      </c>
      <c r="F261" s="3231">
        <v>1130</v>
      </c>
      <c r="G261" s="3231">
        <v>4180</v>
      </c>
    </row>
    <row r="262" spans="1:7" s="3220" customFormat="1" ht="14.25" customHeight="1">
      <c r="A262" s="3231" t="s">
        <v>305</v>
      </c>
      <c r="B262" s="3231" t="s">
        <v>3118</v>
      </c>
      <c r="C262" s="3231">
        <v>5860</v>
      </c>
      <c r="D262" s="3231">
        <v>5820</v>
      </c>
      <c r="E262" s="3231">
        <v>7640</v>
      </c>
      <c r="F262" s="3231">
        <v>1070</v>
      </c>
      <c r="G262" s="3231">
        <v>3570</v>
      </c>
    </row>
    <row r="263" spans="1:7" s="3220" customFormat="1" ht="14.25" customHeight="1">
      <c r="A263" s="3231" t="s">
        <v>305</v>
      </c>
      <c r="B263" s="3231" t="s">
        <v>3119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3120</v>
      </c>
      <c r="C265" s="3231"/>
      <c r="D265" s="3231"/>
      <c r="E265" s="3231"/>
      <c r="F265" s="3231">
        <v>1500</v>
      </c>
      <c r="G265" s="3231"/>
    </row>
    <row r="266" spans="1:7" s="3220" customFormat="1" ht="14.25" customHeight="1">
      <c r="A266" s="3231" t="s">
        <v>305</v>
      </c>
      <c r="B266" s="3231" t="s">
        <v>3121</v>
      </c>
      <c r="C266" s="3231"/>
      <c r="D266" s="3231"/>
      <c r="E266" s="3231"/>
      <c r="F266" s="3231">
        <v>1500</v>
      </c>
      <c r="G266" s="3231"/>
    </row>
    <row r="267" spans="1:7" s="3220" customFormat="1" ht="14.25" customHeight="1">
      <c r="A267" s="3231" t="s">
        <v>305</v>
      </c>
      <c r="B267" s="3231" t="s">
        <v>3122</v>
      </c>
      <c r="C267" s="3231"/>
      <c r="D267" s="3231"/>
      <c r="E267" s="3231"/>
      <c r="F267" s="3231">
        <v>1500</v>
      </c>
      <c r="G267" s="3231"/>
    </row>
    <row r="268" spans="1:7" s="3220" customFormat="1" ht="14.25" customHeight="1">
      <c r="A268" s="3231" t="s">
        <v>305</v>
      </c>
      <c r="B268" s="3231" t="s">
        <v>3123</v>
      </c>
      <c r="C268" s="3231"/>
      <c r="D268" s="3231"/>
      <c r="E268" s="3231"/>
      <c r="F268" s="3231">
        <v>1290</v>
      </c>
      <c r="G268" s="3231"/>
    </row>
    <row r="269" spans="1:7" s="3220" customFormat="1" ht="14.25" customHeight="1">
      <c r="A269" s="3231" t="s">
        <v>305</v>
      </c>
      <c r="B269" s="3231" t="s">
        <v>3124</v>
      </c>
      <c r="C269" s="3231"/>
      <c r="D269" s="3231"/>
      <c r="E269" s="3231"/>
      <c r="F269" s="3231">
        <v>1150</v>
      </c>
      <c r="G269" s="3231"/>
    </row>
    <row r="270" spans="1:7" s="3220" customFormat="1" ht="14.25" customHeight="1">
      <c r="A270" s="3231" t="s">
        <v>305</v>
      </c>
      <c r="B270" s="3231" t="s">
        <v>3125</v>
      </c>
      <c r="C270" s="3231"/>
      <c r="D270" s="3231"/>
      <c r="E270" s="3231"/>
      <c r="F270" s="3231">
        <v>1380</v>
      </c>
      <c r="G270" s="3231"/>
    </row>
    <row r="271" spans="1:7" s="3220" customFormat="1" ht="14.25" customHeight="1">
      <c r="A271" s="3231" t="s">
        <v>305</v>
      </c>
      <c r="B271" s="3231" t="s">
        <v>3126</v>
      </c>
      <c r="C271" s="3231"/>
      <c r="D271" s="3231"/>
      <c r="E271" s="3231"/>
      <c r="F271" s="3231">
        <v>1460</v>
      </c>
      <c r="G271" s="3231"/>
    </row>
    <row r="272" spans="1:7" s="3220" customFormat="1" ht="14.25" customHeight="1">
      <c r="A272" s="3231" t="s">
        <v>305</v>
      </c>
      <c r="B272" s="3231" t="s">
        <v>3127</v>
      </c>
      <c r="C272" s="3231"/>
      <c r="D272" s="3231"/>
      <c r="E272" s="3231"/>
      <c r="F272" s="3231">
        <v>1460</v>
      </c>
      <c r="G272" s="3231"/>
    </row>
    <row r="273" spans="1:7" s="3220" customFormat="1" ht="14.25" customHeight="1">
      <c r="A273" s="3231" t="s">
        <v>305</v>
      </c>
      <c r="B273" s="3231" t="s">
        <v>3020</v>
      </c>
      <c r="C273" s="3231"/>
      <c r="D273" s="3231"/>
      <c r="E273" s="3231"/>
      <c r="F273" s="3231">
        <v>1490</v>
      </c>
      <c r="G273" s="3231"/>
    </row>
    <row r="274" spans="1:7" s="3220" customFormat="1" ht="14.25" customHeight="1">
      <c r="A274" s="3231" t="s">
        <v>305</v>
      </c>
      <c r="B274" s="3231" t="s">
        <v>3128</v>
      </c>
      <c r="C274" s="3231"/>
      <c r="D274" s="3231"/>
      <c r="E274" s="3231"/>
      <c r="F274" s="3231">
        <v>1490</v>
      </c>
      <c r="G274" s="3231"/>
    </row>
    <row r="275" spans="1:7" s="3220" customFormat="1" ht="14.25" customHeight="1">
      <c r="A275" s="3231" t="s">
        <v>305</v>
      </c>
      <c r="B275" s="3231" t="s">
        <v>3129</v>
      </c>
      <c r="C275" s="3231"/>
      <c r="D275" s="3231"/>
      <c r="E275" s="3231"/>
      <c r="F275" s="3231">
        <v>1220</v>
      </c>
      <c r="G275" s="3231"/>
    </row>
    <row r="276" spans="1:7" s="3220" customFormat="1" ht="14.25" customHeight="1" thickBot="1">
      <c r="A276" s="3239" t="s">
        <v>305</v>
      </c>
      <c r="B276" s="3241" t="s">
        <v>3130</v>
      </c>
      <c r="C276" s="3242"/>
      <c r="D276" s="3242"/>
      <c r="E276" s="3242"/>
      <c r="F276" s="3242">
        <v>1380</v>
      </c>
      <c r="G276" s="3242"/>
    </row>
    <row r="277" spans="1:7" s="3220" customFormat="1" ht="14.25" customHeight="1">
      <c r="A277" s="3236" t="s">
        <v>306</v>
      </c>
      <c r="B277" s="3227" t="s">
        <v>3131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3132</v>
      </c>
      <c r="C279" s="3231">
        <v>4760</v>
      </c>
      <c r="D279" s="3231">
        <v>4720</v>
      </c>
      <c r="E279" s="3231">
        <v>5540</v>
      </c>
      <c r="F279" s="3231">
        <v>810</v>
      </c>
      <c r="G279" s="3244">
        <v>2850</v>
      </c>
    </row>
    <row r="280" spans="1:7" s="3220" customFormat="1" ht="14.25" customHeight="1">
      <c r="A280" s="3231" t="s">
        <v>306</v>
      </c>
      <c r="B280" s="3231" t="s">
        <v>3133</v>
      </c>
      <c r="C280" s="3231">
        <v>4010</v>
      </c>
      <c r="D280" s="3231">
        <v>3950</v>
      </c>
      <c r="E280" s="3231">
        <v>4710</v>
      </c>
      <c r="F280" s="3231">
        <v>800</v>
      </c>
      <c r="G280" s="3244">
        <v>2390</v>
      </c>
    </row>
    <row r="281" spans="1:7" s="3220" customFormat="1" ht="14.25" customHeight="1">
      <c r="A281" s="3231" t="s">
        <v>306</v>
      </c>
      <c r="B281" s="3231" t="s">
        <v>3134</v>
      </c>
      <c r="C281" s="3231">
        <v>4480</v>
      </c>
      <c r="D281" s="3231">
        <v>4420</v>
      </c>
      <c r="E281" s="3231">
        <v>5230</v>
      </c>
      <c r="F281" s="3231">
        <v>870</v>
      </c>
      <c r="G281" s="3244">
        <v>2660</v>
      </c>
    </row>
    <row r="282" spans="1:7" s="3220" customFormat="1" ht="14.25" customHeight="1">
      <c r="A282" s="3231" t="s">
        <v>306</v>
      </c>
      <c r="B282" s="3231" t="s">
        <v>3135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2912</v>
      </c>
      <c r="C293" s="3231">
        <v>5320</v>
      </c>
      <c r="D293" s="3231">
        <v>5270</v>
      </c>
      <c r="E293" s="3231">
        <v>6160</v>
      </c>
      <c r="F293" s="3231">
        <v>990</v>
      </c>
      <c r="G293" s="3244">
        <v>3170</v>
      </c>
    </row>
    <row r="294" spans="1:7" s="3220" customFormat="1" ht="14.25" customHeight="1">
      <c r="A294" s="3231" t="s">
        <v>306</v>
      </c>
      <c r="B294" s="3231" t="s">
        <v>3138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3139</v>
      </c>
      <c r="C302" s="3231">
        <v>5520</v>
      </c>
      <c r="D302" s="3231">
        <v>5470</v>
      </c>
      <c r="E302" s="3231">
        <v>6410</v>
      </c>
      <c r="F302" s="3231">
        <v>950</v>
      </c>
      <c r="G302" s="3244">
        <v>3300</v>
      </c>
    </row>
    <row r="303" spans="1:7" s="3220" customFormat="1" ht="14.25" customHeight="1">
      <c r="A303" s="3231" t="s">
        <v>306</v>
      </c>
      <c r="B303" s="3231" t="s">
        <v>2951</v>
      </c>
      <c r="C303" s="3231">
        <v>5630</v>
      </c>
      <c r="D303" s="3231">
        <v>5590</v>
      </c>
      <c r="E303" s="3231">
        <v>6550</v>
      </c>
      <c r="F303" s="3231">
        <v>1010</v>
      </c>
      <c r="G303" s="3244">
        <v>3370</v>
      </c>
    </row>
    <row r="304" spans="1:7" s="3220" customFormat="1" ht="14.25" customHeight="1">
      <c r="A304" s="3231" t="s">
        <v>306</v>
      </c>
      <c r="B304" s="3231" t="s">
        <v>2958</v>
      </c>
      <c r="C304" s="3231">
        <v>5680</v>
      </c>
      <c r="D304" s="3231">
        <v>5620</v>
      </c>
      <c r="E304" s="3231">
        <v>6620</v>
      </c>
      <c r="F304" s="3231">
        <v>1050</v>
      </c>
      <c r="G304" s="3244">
        <v>3390</v>
      </c>
    </row>
    <row r="305" spans="1:7" s="3220" customFormat="1" ht="14.25" customHeight="1">
      <c r="A305" s="3231" t="s">
        <v>306</v>
      </c>
      <c r="B305" s="3231" t="s">
        <v>2964</v>
      </c>
      <c r="C305" s="3231">
        <v>5590</v>
      </c>
      <c r="D305" s="3231">
        <v>5530</v>
      </c>
      <c r="E305" s="3231">
        <v>6460</v>
      </c>
      <c r="F305" s="3231">
        <v>900</v>
      </c>
      <c r="G305" s="3244">
        <v>3340</v>
      </c>
    </row>
    <row r="306" spans="1:7" s="3220" customFormat="1" ht="14.25" customHeight="1">
      <c r="A306" s="3231" t="s">
        <v>306</v>
      </c>
      <c r="B306" s="3231" t="s">
        <v>3140</v>
      </c>
      <c r="C306" s="3231">
        <v>5560</v>
      </c>
      <c r="D306" s="3231">
        <v>5510</v>
      </c>
      <c r="E306" s="3231">
        <v>6440</v>
      </c>
      <c r="F306" s="3231">
        <v>900</v>
      </c>
      <c r="G306" s="3244">
        <v>3320</v>
      </c>
    </row>
    <row r="307" spans="1:7" s="3220" customFormat="1" ht="14.25" customHeight="1">
      <c r="A307" s="3231" t="s">
        <v>306</v>
      </c>
      <c r="B307" s="3231" t="s">
        <v>2976</v>
      </c>
      <c r="C307" s="3231">
        <v>5650</v>
      </c>
      <c r="D307" s="3231">
        <v>5600</v>
      </c>
      <c r="E307" s="3231">
        <v>6590</v>
      </c>
      <c r="F307" s="3231">
        <v>930</v>
      </c>
      <c r="G307" s="3244">
        <v>3380</v>
      </c>
    </row>
    <row r="308" spans="1:7" s="3220" customFormat="1" ht="14.25" customHeight="1">
      <c r="A308" s="3231" t="s">
        <v>306</v>
      </c>
      <c r="B308" s="3231" t="s">
        <v>3141</v>
      </c>
      <c r="C308" s="3231">
        <v>5620</v>
      </c>
      <c r="D308" s="3231">
        <v>5580</v>
      </c>
      <c r="E308" s="3231">
        <v>6540</v>
      </c>
      <c r="F308" s="3231">
        <v>910</v>
      </c>
      <c r="G308" s="3244">
        <v>3370</v>
      </c>
    </row>
    <row r="309" spans="1:7" s="3220" customFormat="1" ht="14.25" customHeight="1">
      <c r="A309" s="3231" t="s">
        <v>306</v>
      </c>
      <c r="B309" s="3231" t="s">
        <v>3142</v>
      </c>
      <c r="C309" s="3231">
        <v>5060</v>
      </c>
      <c r="D309" s="3231">
        <v>5020</v>
      </c>
      <c r="E309" s="3231">
        <v>6370</v>
      </c>
      <c r="F309" s="3231">
        <v>800</v>
      </c>
      <c r="G309" s="3244">
        <v>3020</v>
      </c>
    </row>
    <row r="310" spans="1:7" s="3220" customFormat="1" ht="14.25" customHeight="1">
      <c r="A310" s="3231" t="s">
        <v>306</v>
      </c>
      <c r="B310" s="3231" t="s">
        <v>2991</v>
      </c>
      <c r="C310" s="3231">
        <v>5150</v>
      </c>
      <c r="D310" s="3231">
        <v>5110</v>
      </c>
      <c r="E310" s="3231">
        <v>6500</v>
      </c>
      <c r="F310" s="3231">
        <v>880</v>
      </c>
      <c r="G310" s="3244">
        <v>3080</v>
      </c>
    </row>
    <row r="311" spans="1:7" s="3220" customFormat="1" ht="14.25" customHeight="1">
      <c r="A311" s="3231" t="s">
        <v>306</v>
      </c>
      <c r="B311" s="3231" t="s">
        <v>3143</v>
      </c>
      <c r="C311" s="3231">
        <v>4750</v>
      </c>
      <c r="D311" s="3231">
        <v>4710</v>
      </c>
      <c r="E311" s="3231">
        <v>5510</v>
      </c>
      <c r="F311" s="3231">
        <v>880</v>
      </c>
      <c r="G311" s="3244">
        <v>2840</v>
      </c>
    </row>
    <row r="312" spans="1:7" s="3220" customFormat="1" ht="14.25" customHeight="1">
      <c r="A312" s="3231" t="s">
        <v>306</v>
      </c>
      <c r="B312" s="3231" t="s">
        <v>3001</v>
      </c>
      <c r="C312" s="3231">
        <v>4690</v>
      </c>
      <c r="D312" s="3231">
        <v>4640</v>
      </c>
      <c r="E312" s="3231">
        <v>5420</v>
      </c>
      <c r="F312" s="3231">
        <v>800</v>
      </c>
      <c r="G312" s="3244">
        <v>2800</v>
      </c>
    </row>
    <row r="313" spans="1:7" s="3220" customFormat="1" ht="14.25" customHeight="1">
      <c r="A313" s="3231" t="s">
        <v>306</v>
      </c>
      <c r="B313" s="3231" t="s">
        <v>3006</v>
      </c>
      <c r="C313" s="3231">
        <v>4810</v>
      </c>
      <c r="D313" s="3231">
        <v>4760</v>
      </c>
      <c r="E313" s="3231">
        <v>5550</v>
      </c>
      <c r="F313" s="3231">
        <v>920</v>
      </c>
      <c r="G313" s="3244">
        <v>2870</v>
      </c>
    </row>
    <row r="314" spans="1:7" s="3220" customFormat="1" ht="14.25" customHeight="1">
      <c r="A314" s="3231" t="s">
        <v>306</v>
      </c>
      <c r="B314" s="3231" t="s">
        <v>3144</v>
      </c>
      <c r="C314" s="3231"/>
      <c r="D314" s="3231"/>
      <c r="E314" s="3231"/>
      <c r="F314" s="3231">
        <v>1020</v>
      </c>
      <c r="G314" s="3244"/>
    </row>
    <row r="315" spans="1:7" s="3220" customFormat="1" ht="14.25" customHeight="1">
      <c r="A315" s="3231" t="s">
        <v>306</v>
      </c>
      <c r="B315" s="3231" t="s">
        <v>3145</v>
      </c>
      <c r="C315" s="3231"/>
      <c r="D315" s="3231"/>
      <c r="E315" s="3231"/>
      <c r="F315" s="3231">
        <v>1050</v>
      </c>
      <c r="G315" s="3244"/>
    </row>
    <row r="316" spans="1:7" s="3220" customFormat="1" ht="14.25" customHeight="1">
      <c r="A316" s="3231" t="s">
        <v>306</v>
      </c>
      <c r="B316" s="3231" t="s">
        <v>3021</v>
      </c>
      <c r="C316" s="3231"/>
      <c r="D316" s="3231"/>
      <c r="E316" s="3231"/>
      <c r="F316" s="3231">
        <v>900</v>
      </c>
      <c r="G316" s="3244"/>
    </row>
    <row r="317" spans="1:7" s="3220" customFormat="1" ht="14.25" customHeight="1">
      <c r="A317" s="3231" t="s">
        <v>306</v>
      </c>
      <c r="B317" s="3231" t="s">
        <v>3146</v>
      </c>
      <c r="C317" s="3231"/>
      <c r="D317" s="3231"/>
      <c r="E317" s="3231"/>
      <c r="F317" s="3231">
        <v>920</v>
      </c>
      <c r="G317" s="3244"/>
    </row>
    <row r="318" spans="1:7" s="3220" customFormat="1" ht="14.25" customHeight="1">
      <c r="A318" s="3231" t="s">
        <v>306</v>
      </c>
      <c r="B318" s="3231" t="s">
        <v>3147</v>
      </c>
      <c r="C318" s="3231"/>
      <c r="D318" s="3231"/>
      <c r="E318" s="3231"/>
      <c r="F318" s="3231">
        <v>1080</v>
      </c>
      <c r="G318" s="3244"/>
    </row>
    <row r="319" spans="1:7" s="3220" customFormat="1" ht="14.25" customHeight="1">
      <c r="A319" s="3231" t="s">
        <v>306</v>
      </c>
      <c r="B319" s="3231" t="s">
        <v>3034</v>
      </c>
      <c r="C319" s="3231"/>
      <c r="D319" s="3231"/>
      <c r="E319" s="3231"/>
      <c r="F319" s="3231">
        <v>1020</v>
      </c>
      <c r="G319" s="3244"/>
    </row>
    <row r="320" spans="1:7" s="3220" customFormat="1" ht="14.25" customHeight="1">
      <c r="A320" s="3231" t="s">
        <v>306</v>
      </c>
      <c r="B320" s="3231" t="s">
        <v>3037</v>
      </c>
      <c r="C320" s="3231"/>
      <c r="D320" s="3231"/>
      <c r="E320" s="3231"/>
      <c r="F320" s="3231">
        <v>1050</v>
      </c>
      <c r="G320" s="3244"/>
    </row>
    <row r="321" spans="1:7" s="3220" customFormat="1" ht="14.25" customHeight="1">
      <c r="A321" s="3231" t="s">
        <v>306</v>
      </c>
      <c r="B321" s="3231" t="s">
        <v>3039</v>
      </c>
      <c r="C321" s="3231"/>
      <c r="D321" s="3231"/>
      <c r="E321" s="3231"/>
      <c r="F321" s="3231">
        <v>960</v>
      </c>
      <c r="G321" s="3244"/>
    </row>
    <row r="322" spans="1:7" s="3220" customFormat="1" ht="14.25" customHeight="1">
      <c r="A322" s="3231" t="s">
        <v>306</v>
      </c>
      <c r="B322" s="3231" t="s">
        <v>3041</v>
      </c>
      <c r="C322" s="3231"/>
      <c r="D322" s="3231"/>
      <c r="E322" s="3231"/>
      <c r="F322" s="3231">
        <v>960</v>
      </c>
      <c r="G322" s="3244"/>
    </row>
    <row r="323" spans="1:7" s="3220" customFormat="1" ht="14.25" customHeight="1">
      <c r="A323" s="3231" t="s">
        <v>306</v>
      </c>
      <c r="B323" s="3231" t="s">
        <v>3043</v>
      </c>
      <c r="C323" s="3231"/>
      <c r="D323" s="3231"/>
      <c r="E323" s="3231"/>
      <c r="F323" s="3231">
        <v>880</v>
      </c>
      <c r="G323" s="3244"/>
    </row>
    <row r="324" spans="1:7" s="3220" customFormat="1" ht="14.25" customHeight="1">
      <c r="A324" s="3231" t="s">
        <v>306</v>
      </c>
      <c r="B324" s="3231" t="s">
        <v>3045</v>
      </c>
      <c r="C324" s="3231"/>
      <c r="D324" s="3231"/>
      <c r="E324" s="3231"/>
      <c r="F324" s="3231">
        <v>930</v>
      </c>
      <c r="G324" s="3244"/>
    </row>
    <row r="325" spans="1:7" s="3220" customFormat="1" ht="14.25" customHeight="1">
      <c r="A325" s="3231" t="s">
        <v>306</v>
      </c>
      <c r="B325" s="3232" t="s">
        <v>3047</v>
      </c>
      <c r="C325" s="3231"/>
      <c r="D325" s="3231"/>
      <c r="E325" s="3231"/>
      <c r="F325" s="3231">
        <v>900</v>
      </c>
      <c r="G325" s="3244"/>
    </row>
    <row r="326" spans="1:7" s="3220" customFormat="1" ht="14.25" customHeight="1" thickBot="1">
      <c r="A326" s="3245" t="s">
        <v>306</v>
      </c>
      <c r="B326" s="3238" t="s">
        <v>3049</v>
      </c>
      <c r="C326" s="3238"/>
      <c r="D326" s="3238"/>
      <c r="E326" s="3238"/>
      <c r="F326" s="3238">
        <v>790</v>
      </c>
      <c r="G326" s="3246"/>
    </row>
    <row r="327" spans="1:7" s="3220" customFormat="1" ht="14.25" customHeight="1">
      <c r="A327" s="3236" t="s">
        <v>307</v>
      </c>
      <c r="B327" s="3227" t="s">
        <v>3148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3149</v>
      </c>
      <c r="C329" s="3231">
        <v>2730</v>
      </c>
      <c r="D329" s="3231">
        <v>2690</v>
      </c>
      <c r="E329" s="3231">
        <v>3100</v>
      </c>
      <c r="F329" s="3231">
        <v>660</v>
      </c>
      <c r="G329" s="3231">
        <v>1610</v>
      </c>
    </row>
    <row r="330" spans="1:7" s="3220" customFormat="1" ht="14.25" customHeight="1">
      <c r="A330" s="3231" t="s">
        <v>307</v>
      </c>
      <c r="B330" s="3231" t="s">
        <v>3150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2883</v>
      </c>
      <c r="C332" s="3231">
        <v>3520</v>
      </c>
      <c r="D332" s="3231">
        <v>3480</v>
      </c>
      <c r="E332" s="3231">
        <v>3830</v>
      </c>
      <c r="F332" s="3231">
        <v>720</v>
      </c>
      <c r="G332" s="3231">
        <v>2090</v>
      </c>
    </row>
    <row r="333" spans="1:7" s="3220" customFormat="1" ht="14.25" customHeight="1">
      <c r="A333" s="3231" t="s">
        <v>307</v>
      </c>
      <c r="B333" s="3231" t="s">
        <v>3151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2893</v>
      </c>
      <c r="C336" s="3231">
        <v>3570</v>
      </c>
      <c r="D336" s="3231">
        <v>3530</v>
      </c>
      <c r="E336" s="3231">
        <v>3880</v>
      </c>
      <c r="F336" s="3231">
        <v>770</v>
      </c>
      <c r="G336" s="3231">
        <v>2110</v>
      </c>
    </row>
    <row r="337" spans="1:10" s="3220" customFormat="1" ht="14.25" customHeight="1">
      <c r="A337" s="3231" t="s">
        <v>307</v>
      </c>
      <c r="B337" s="3231" t="s">
        <v>3152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2918</v>
      </c>
      <c r="C345" s="3231">
        <v>3190</v>
      </c>
      <c r="D345" s="3231">
        <v>3140</v>
      </c>
      <c r="E345" s="3231">
        <v>3450</v>
      </c>
      <c r="F345" s="3231">
        <v>720</v>
      </c>
      <c r="G345" s="3231">
        <v>1880</v>
      </c>
      <c r="J345" s="3220"/>
    </row>
    <row r="346" spans="1:10">
      <c r="A346" s="3231" t="s">
        <v>307</v>
      </c>
      <c r="B346" s="3231" t="s">
        <v>3155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2927</v>
      </c>
      <c r="C348" s="3231">
        <v>4000</v>
      </c>
      <c r="D348" s="3231">
        <v>3950</v>
      </c>
      <c r="E348" s="3231">
        <v>4430</v>
      </c>
      <c r="F348" s="3231">
        <v>760</v>
      </c>
      <c r="G348" s="3231">
        <v>2360</v>
      </c>
      <c r="J348" s="3220"/>
    </row>
    <row r="349" spans="1:10">
      <c r="A349" s="3231" t="s">
        <v>307</v>
      </c>
      <c r="B349" s="3231" t="s">
        <v>2932</v>
      </c>
      <c r="C349" s="3231">
        <v>3820</v>
      </c>
      <c r="D349" s="3231">
        <v>3780</v>
      </c>
      <c r="E349" s="3231">
        <v>4170</v>
      </c>
      <c r="F349" s="3231">
        <v>710</v>
      </c>
      <c r="G349" s="3231">
        <v>2260</v>
      </c>
      <c r="J349" s="3220"/>
    </row>
    <row r="350" spans="1:10">
      <c r="A350" s="3231" t="s">
        <v>307</v>
      </c>
      <c r="B350" s="3231" t="s">
        <v>3156</v>
      </c>
      <c r="C350" s="3231">
        <v>3760</v>
      </c>
      <c r="D350" s="3231">
        <v>3730</v>
      </c>
      <c r="E350" s="3231">
        <v>4100</v>
      </c>
      <c r="F350" s="3231">
        <v>800</v>
      </c>
      <c r="G350" s="3231">
        <v>2230</v>
      </c>
      <c r="J350" s="3220"/>
    </row>
    <row r="351" spans="1:10">
      <c r="A351" s="3231" t="s">
        <v>307</v>
      </c>
      <c r="B351" s="3231" t="s">
        <v>2940</v>
      </c>
      <c r="C351" s="3231">
        <v>3610</v>
      </c>
      <c r="D351" s="3231">
        <v>3580</v>
      </c>
      <c r="E351" s="3231">
        <v>3930</v>
      </c>
      <c r="F351" s="3231">
        <v>700</v>
      </c>
      <c r="G351" s="3231">
        <v>2140</v>
      </c>
      <c r="J351" s="3220"/>
    </row>
    <row r="352" spans="1:10">
      <c r="A352" s="3231" t="s">
        <v>307</v>
      </c>
      <c r="B352" s="3231" t="s">
        <v>2945</v>
      </c>
      <c r="C352" s="3231">
        <v>3670</v>
      </c>
      <c r="D352" s="3231">
        <v>3630</v>
      </c>
      <c r="E352" s="3231">
        <v>4000</v>
      </c>
      <c r="F352" s="3231">
        <v>750</v>
      </c>
      <c r="G352" s="3231">
        <v>2180</v>
      </c>
    </row>
    <row r="353" spans="1:7" s="3224" customFormat="1">
      <c r="A353" s="3231" t="s">
        <v>307</v>
      </c>
      <c r="B353" s="3231" t="s">
        <v>3157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2965</v>
      </c>
      <c r="C355" s="3231">
        <v>3650</v>
      </c>
      <c r="D355" s="3231">
        <v>3610</v>
      </c>
      <c r="E355" s="3231">
        <v>4200</v>
      </c>
      <c r="F355" s="3231">
        <v>640</v>
      </c>
      <c r="G355" s="3231">
        <v>2160</v>
      </c>
    </row>
    <row r="356" spans="1:7" s="3224" customFormat="1">
      <c r="A356" s="3231" t="s">
        <v>307</v>
      </c>
      <c r="B356" s="3231" t="s">
        <v>2972</v>
      </c>
      <c r="C356" s="3231">
        <v>3260</v>
      </c>
      <c r="D356" s="3231">
        <v>3230</v>
      </c>
      <c r="E356" s="3231">
        <v>3740</v>
      </c>
      <c r="F356" s="3231">
        <v>600</v>
      </c>
      <c r="G356" s="3231">
        <v>1930</v>
      </c>
    </row>
    <row r="357" spans="1:7" s="3224" customFormat="1" ht="12" thickBot="1">
      <c r="A357" s="3239" t="s">
        <v>307</v>
      </c>
      <c r="B357" s="3242" t="s">
        <v>3158</v>
      </c>
      <c r="C357" s="3242">
        <v>3690</v>
      </c>
      <c r="D357" s="3242">
        <v>3650</v>
      </c>
      <c r="E357" s="3242">
        <v>4020</v>
      </c>
      <c r="F357" s="3242">
        <v>700</v>
      </c>
      <c r="G357" s="3242">
        <v>2190</v>
      </c>
    </row>
    <row r="358" spans="1:7" s="3224" customFormat="1">
      <c r="A358" s="3236" t="s">
        <v>3159</v>
      </c>
      <c r="B358" s="3227" t="s">
        <v>3160</v>
      </c>
      <c r="C358" s="3227">
        <v>2080</v>
      </c>
      <c r="D358" s="3227">
        <v>2040</v>
      </c>
      <c r="E358" s="3227">
        <v>2010</v>
      </c>
      <c r="F358" s="3227">
        <v>530</v>
      </c>
      <c r="G358" s="3243">
        <v>1230</v>
      </c>
    </row>
    <row r="359" spans="1:7" s="3224" customFormat="1">
      <c r="A359" s="3231" t="s">
        <v>3159</v>
      </c>
      <c r="B359" s="3231" t="s">
        <v>3161</v>
      </c>
      <c r="C359" s="3231">
        <v>1850</v>
      </c>
      <c r="D359" s="3231">
        <v>1820</v>
      </c>
      <c r="E359" s="3231">
        <v>1780</v>
      </c>
      <c r="F359" s="3231">
        <v>520</v>
      </c>
      <c r="G359" s="3244">
        <v>1100</v>
      </c>
    </row>
    <row r="360" spans="1:7" s="3224" customFormat="1">
      <c r="A360" s="3231" t="s">
        <v>3159</v>
      </c>
      <c r="B360" s="3231" t="s">
        <v>3162</v>
      </c>
      <c r="C360" s="3231">
        <v>2020</v>
      </c>
      <c r="D360" s="3231">
        <v>1990</v>
      </c>
      <c r="E360" s="3231">
        <v>1950</v>
      </c>
      <c r="F360" s="3231">
        <v>500</v>
      </c>
      <c r="G360" s="3244">
        <v>1200</v>
      </c>
    </row>
    <row r="361" spans="1:7" s="3224" customFormat="1">
      <c r="A361" s="3231" t="s">
        <v>3159</v>
      </c>
      <c r="B361" s="3231" t="s">
        <v>153</v>
      </c>
      <c r="C361" s="3231">
        <v>2260</v>
      </c>
      <c r="D361" s="3231">
        <v>2220</v>
      </c>
      <c r="E361" s="3231">
        <v>2180</v>
      </c>
      <c r="F361" s="3231">
        <v>580</v>
      </c>
      <c r="G361" s="3244">
        <v>1340</v>
      </c>
    </row>
    <row r="362" spans="1:7" s="3224" customFormat="1">
      <c r="A362" s="3231" t="s">
        <v>3159</v>
      </c>
      <c r="B362" s="3231" t="s">
        <v>3163</v>
      </c>
      <c r="C362" s="3231">
        <v>2650</v>
      </c>
      <c r="D362" s="3231">
        <v>2610</v>
      </c>
      <c r="E362" s="3231">
        <v>2570</v>
      </c>
      <c r="F362" s="3231">
        <v>630</v>
      </c>
      <c r="G362" s="3244">
        <v>1570</v>
      </c>
    </row>
    <row r="363" spans="1:7" s="3224" customFormat="1">
      <c r="A363" s="3231" t="s">
        <v>3159</v>
      </c>
      <c r="B363" s="3231" t="s">
        <v>2884</v>
      </c>
      <c r="C363" s="3231">
        <v>2390</v>
      </c>
      <c r="D363" s="3231">
        <v>2360</v>
      </c>
      <c r="E363" s="3231">
        <v>2320</v>
      </c>
      <c r="F363" s="3231">
        <v>600</v>
      </c>
      <c r="G363" s="3244">
        <v>1420</v>
      </c>
    </row>
    <row r="364" spans="1:7" s="3224" customFormat="1">
      <c r="A364" s="3231" t="s">
        <v>3159</v>
      </c>
      <c r="B364" s="3231" t="s">
        <v>3164</v>
      </c>
      <c r="C364" s="3231">
        <v>2050</v>
      </c>
      <c r="D364" s="3231">
        <v>2030</v>
      </c>
      <c r="E364" s="3231">
        <v>1990</v>
      </c>
      <c r="F364" s="3231">
        <v>550</v>
      </c>
      <c r="G364" s="3244">
        <v>1220</v>
      </c>
    </row>
    <row r="365" spans="1:7" s="3224" customFormat="1">
      <c r="A365" s="3231" t="s">
        <v>3159</v>
      </c>
      <c r="B365" s="3231" t="s">
        <v>200</v>
      </c>
      <c r="C365" s="3231">
        <v>2140</v>
      </c>
      <c r="D365" s="3231">
        <v>2100</v>
      </c>
      <c r="E365" s="3231">
        <v>2060</v>
      </c>
      <c r="F365" s="3231">
        <v>540</v>
      </c>
      <c r="G365" s="3244">
        <v>1270</v>
      </c>
    </row>
    <row r="366" spans="1:7" s="3224" customFormat="1">
      <c r="A366" s="3231" t="s">
        <v>3159</v>
      </c>
      <c r="B366" s="3231" t="s">
        <v>2891</v>
      </c>
      <c r="C366" s="3231">
        <v>2410</v>
      </c>
      <c r="D366" s="3231">
        <v>2370</v>
      </c>
      <c r="E366" s="3231">
        <v>2330</v>
      </c>
      <c r="F366" s="3231">
        <v>570</v>
      </c>
      <c r="G366" s="3244">
        <v>1440</v>
      </c>
    </row>
    <row r="367" spans="1:7" s="3224" customFormat="1">
      <c r="A367" s="3231" t="s">
        <v>3159</v>
      </c>
      <c r="B367" s="3231" t="s">
        <v>3165</v>
      </c>
      <c r="C367" s="3231">
        <v>2300</v>
      </c>
      <c r="D367" s="3231">
        <v>2260</v>
      </c>
      <c r="E367" s="3231">
        <v>2220</v>
      </c>
      <c r="F367" s="3231">
        <v>560</v>
      </c>
      <c r="G367" s="3244">
        <v>1370</v>
      </c>
    </row>
    <row r="368" spans="1:7" s="3224" customFormat="1">
      <c r="A368" s="3231" t="s">
        <v>3159</v>
      </c>
      <c r="B368" s="3231" t="s">
        <v>3166</v>
      </c>
      <c r="C368" s="3231">
        <v>2430</v>
      </c>
      <c r="D368" s="3231">
        <v>2390</v>
      </c>
      <c r="E368" s="3231">
        <v>2350</v>
      </c>
      <c r="F368" s="3231">
        <v>570</v>
      </c>
      <c r="G368" s="3244">
        <v>1450</v>
      </c>
    </row>
    <row r="369" spans="1:7" s="3224" customFormat="1">
      <c r="A369" s="3231" t="s">
        <v>3159</v>
      </c>
      <c r="B369" s="3231" t="s">
        <v>214</v>
      </c>
      <c r="C369" s="3231">
        <v>2320</v>
      </c>
      <c r="D369" s="3231">
        <v>2290</v>
      </c>
      <c r="E369" s="3231">
        <v>2250</v>
      </c>
      <c r="F369" s="3231">
        <v>550</v>
      </c>
      <c r="G369" s="3244">
        <v>1380</v>
      </c>
    </row>
    <row r="370" spans="1:7" s="3224" customFormat="1">
      <c r="A370" s="3231" t="s">
        <v>3159</v>
      </c>
      <c r="B370" s="3231" t="s">
        <v>221</v>
      </c>
      <c r="C370" s="3231">
        <v>2190</v>
      </c>
      <c r="D370" s="3231">
        <v>2170</v>
      </c>
      <c r="E370" s="3231">
        <v>2130</v>
      </c>
      <c r="F370" s="3231">
        <v>530</v>
      </c>
      <c r="G370" s="3244">
        <v>1310</v>
      </c>
    </row>
    <row r="371" spans="1:7" s="3224" customFormat="1">
      <c r="A371" s="3231" t="s">
        <v>3159</v>
      </c>
      <c r="B371" s="3231" t="s">
        <v>229</v>
      </c>
      <c r="C371" s="3231">
        <v>2460</v>
      </c>
      <c r="D371" s="3231">
        <v>2420</v>
      </c>
      <c r="E371" s="3231">
        <v>2370</v>
      </c>
      <c r="F371" s="3231">
        <v>560</v>
      </c>
      <c r="G371" s="3244">
        <v>1470</v>
      </c>
    </row>
    <row r="372" spans="1:7" s="3224" customFormat="1">
      <c r="A372" s="3231" t="s">
        <v>3159</v>
      </c>
      <c r="B372" s="3231" t="s">
        <v>3167</v>
      </c>
      <c r="C372" s="3231">
        <v>2250</v>
      </c>
      <c r="D372" s="3231">
        <v>2210</v>
      </c>
      <c r="E372" s="3231">
        <v>2180</v>
      </c>
      <c r="F372" s="3231">
        <v>550</v>
      </c>
      <c r="G372" s="3244">
        <v>1340</v>
      </c>
    </row>
    <row r="373" spans="1:7" s="3224" customFormat="1">
      <c r="A373" s="3231" t="s">
        <v>3159</v>
      </c>
      <c r="B373" s="3231" t="s">
        <v>258</v>
      </c>
      <c r="C373" s="3231">
        <v>2210</v>
      </c>
      <c r="D373" s="3231">
        <v>2190</v>
      </c>
      <c r="E373" s="3231">
        <v>2150</v>
      </c>
      <c r="F373" s="3231">
        <v>530</v>
      </c>
      <c r="G373" s="3244">
        <v>1320</v>
      </c>
    </row>
    <row r="374" spans="1:7" s="3224" customFormat="1">
      <c r="A374" s="3231" t="s">
        <v>3159</v>
      </c>
      <c r="B374" s="3231" t="s">
        <v>266</v>
      </c>
      <c r="C374" s="3231">
        <v>2320</v>
      </c>
      <c r="D374" s="3231">
        <v>2280</v>
      </c>
      <c r="E374" s="3231">
        <v>2230</v>
      </c>
      <c r="F374" s="3231">
        <v>580</v>
      </c>
      <c r="G374" s="3244">
        <v>1380</v>
      </c>
    </row>
    <row r="375" spans="1:7" s="3224" customFormat="1">
      <c r="A375" s="3231" t="s">
        <v>3159</v>
      </c>
      <c r="B375" s="3231" t="s">
        <v>3168</v>
      </c>
      <c r="C375" s="3231">
        <v>2090</v>
      </c>
      <c r="D375" s="3231">
        <v>2050</v>
      </c>
      <c r="E375" s="3231">
        <v>2020</v>
      </c>
      <c r="F375" s="3231">
        <v>520</v>
      </c>
      <c r="G375" s="3244">
        <v>1240</v>
      </c>
    </row>
    <row r="376" spans="1:7" s="3224" customFormat="1">
      <c r="A376" s="3231" t="s">
        <v>3159</v>
      </c>
      <c r="B376" s="3231" t="s">
        <v>277</v>
      </c>
      <c r="C376" s="3231">
        <v>2010</v>
      </c>
      <c r="D376" s="3231">
        <v>1980</v>
      </c>
      <c r="E376" s="3231">
        <v>1940</v>
      </c>
      <c r="F376" s="3231">
        <v>540</v>
      </c>
      <c r="G376" s="3244">
        <v>1190</v>
      </c>
    </row>
    <row r="377" spans="1:7" s="3224" customFormat="1" ht="12" thickBot="1">
      <c r="A377" s="3239" t="s">
        <v>3159</v>
      </c>
      <c r="B377" s="3242" t="s">
        <v>2921</v>
      </c>
      <c r="C377" s="3242">
        <v>1930</v>
      </c>
      <c r="D377" s="3242">
        <v>1890</v>
      </c>
      <c r="E377" s="3242">
        <v>1860</v>
      </c>
      <c r="F377" s="3242">
        <v>530</v>
      </c>
      <c r="G377" s="3247">
        <v>1150</v>
      </c>
    </row>
    <row r="378" spans="1:7" s="3224" customFormat="1">
      <c r="A378" s="3248" t="s">
        <v>3169</v>
      </c>
      <c r="B378" s="3227" t="s">
        <v>3170</v>
      </c>
      <c r="C378" s="3227">
        <v>1520</v>
      </c>
      <c r="D378" s="3227">
        <v>1490</v>
      </c>
      <c r="E378" s="3227">
        <v>1460</v>
      </c>
      <c r="F378" s="3227">
        <v>460</v>
      </c>
      <c r="G378" s="3243">
        <v>940</v>
      </c>
    </row>
    <row r="379" spans="1:7" s="3224" customFormat="1">
      <c r="A379" s="3249" t="s">
        <v>3169</v>
      </c>
      <c r="B379" s="3231" t="s">
        <v>3171</v>
      </c>
      <c r="C379" s="3231">
        <v>1500</v>
      </c>
      <c r="D379" s="3231">
        <v>1470</v>
      </c>
      <c r="E379" s="3231">
        <v>1430</v>
      </c>
      <c r="F379" s="3231">
        <v>460</v>
      </c>
      <c r="G379" s="3244">
        <v>920</v>
      </c>
    </row>
    <row r="380" spans="1:7" s="3224" customFormat="1">
      <c r="A380" s="3249" t="s">
        <v>3169</v>
      </c>
      <c r="B380" s="3231" t="s">
        <v>3172</v>
      </c>
      <c r="C380" s="3231">
        <v>1620</v>
      </c>
      <c r="D380" s="3231">
        <v>1590</v>
      </c>
      <c r="E380" s="3231">
        <v>1560</v>
      </c>
      <c r="F380" s="3231">
        <v>480</v>
      </c>
      <c r="G380" s="3244">
        <v>1000</v>
      </c>
    </row>
    <row r="381" spans="1:7" s="3224" customFormat="1">
      <c r="A381" s="3249" t="s">
        <v>3169</v>
      </c>
      <c r="B381" s="3231" t="s">
        <v>3173</v>
      </c>
      <c r="C381" s="3231">
        <v>1460</v>
      </c>
      <c r="D381" s="3231">
        <v>1430</v>
      </c>
      <c r="E381" s="3231">
        <v>1390</v>
      </c>
      <c r="F381" s="3231">
        <v>450</v>
      </c>
      <c r="G381" s="3244">
        <v>900</v>
      </c>
    </row>
    <row r="382" spans="1:7" s="3224" customFormat="1">
      <c r="A382" s="3249" t="s">
        <v>3169</v>
      </c>
      <c r="B382" s="3231" t="s">
        <v>3174</v>
      </c>
      <c r="C382" s="3231">
        <v>1310</v>
      </c>
      <c r="D382" s="3231">
        <v>1280</v>
      </c>
      <c r="E382" s="3231">
        <v>1250</v>
      </c>
      <c r="F382" s="3231">
        <v>440</v>
      </c>
      <c r="G382" s="3244">
        <v>800</v>
      </c>
    </row>
    <row r="383" spans="1:7" s="3224" customFormat="1">
      <c r="A383" s="3249" t="s">
        <v>3169</v>
      </c>
      <c r="B383" s="3231" t="s">
        <v>3175</v>
      </c>
      <c r="C383" s="3231">
        <v>1260</v>
      </c>
      <c r="D383" s="3231">
        <v>1230</v>
      </c>
      <c r="E383" s="3231">
        <v>1200</v>
      </c>
      <c r="F383" s="3231">
        <v>420</v>
      </c>
      <c r="G383" s="3244">
        <v>770</v>
      </c>
    </row>
    <row r="384" spans="1:7" s="3224" customFormat="1" ht="12" thickBot="1">
      <c r="A384" s="3250" t="s">
        <v>3169</v>
      </c>
      <c r="B384" s="3238" t="s">
        <v>3176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3" t="s">
        <v>3177</v>
      </c>
      <c r="B1" s="3783"/>
    </row>
    <row r="2" spans="1:7" ht="14.25" thickBot="1">
      <c r="A2" s="3253"/>
      <c r="B2" s="3253"/>
    </row>
    <row r="3" spans="1:7" ht="14.25" thickBot="1">
      <c r="A3" s="3253"/>
      <c r="B3" s="3253"/>
      <c r="C3" s="3254" t="s">
        <v>2807</v>
      </c>
      <c r="D3" s="3254" t="s">
        <v>2863</v>
      </c>
      <c r="E3" s="3254" t="s">
        <v>2809</v>
      </c>
      <c r="F3" s="3254" t="s">
        <v>2864</v>
      </c>
      <c r="G3" s="3254" t="s">
        <v>2627</v>
      </c>
    </row>
    <row r="4" spans="1:7" ht="14.25" thickBot="1">
      <c r="A4" s="3255" t="s">
        <v>2862</v>
      </c>
      <c r="B4" s="3256" t="s">
        <v>2868</v>
      </c>
      <c r="C4" s="3254"/>
      <c r="D4" s="3254"/>
      <c r="E4" s="3254"/>
      <c r="F4" s="3254"/>
      <c r="G4" s="3254"/>
    </row>
    <row r="5" spans="1:7">
      <c r="A5" s="3257" t="s">
        <v>2836</v>
      </c>
      <c r="B5" s="3258" t="s">
        <v>2850</v>
      </c>
      <c r="C5" s="3259">
        <v>9.8000000000000004E-2</v>
      </c>
      <c r="D5" s="3259">
        <v>8.6999999999999994E-2</v>
      </c>
      <c r="E5" s="3259">
        <v>8.6999999999999994E-2</v>
      </c>
      <c r="F5" s="3259">
        <v>9.8000000000000004E-2</v>
      </c>
      <c r="G5" s="3260">
        <v>9.5000000000000001E-2</v>
      </c>
    </row>
    <row r="6" spans="1:7">
      <c r="A6" s="3261" t="s">
        <v>144</v>
      </c>
      <c r="B6" s="3262" t="s">
        <v>2865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2919</v>
      </c>
      <c r="C29" s="3271"/>
      <c r="D29" s="3267">
        <v>5.1999999999999998E-2</v>
      </c>
      <c r="E29" s="3267">
        <v>7.0000000000000007E-2</v>
      </c>
      <c r="F29" s="3271"/>
      <c r="G29" s="3269">
        <v>7.0999999999999994E-2</v>
      </c>
    </row>
    <row r="30" spans="1:7">
      <c r="A30" s="3272" t="s">
        <v>296</v>
      </c>
      <c r="B30" s="3258" t="s">
        <v>2852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2922</v>
      </c>
      <c r="C50" s="3263">
        <v>9.8000000000000004E-2</v>
      </c>
      <c r="D50" s="3263">
        <v>7.2999999999999995E-2</v>
      </c>
      <c r="E50" s="3263">
        <v>7.0999999999999994E-2</v>
      </c>
      <c r="F50" s="3274"/>
      <c r="G50" s="3264">
        <v>7.2999999999999995E-2</v>
      </c>
    </row>
    <row r="51" spans="1:7">
      <c r="A51" s="3273" t="s">
        <v>296</v>
      </c>
      <c r="B51" s="3262" t="s">
        <v>2924</v>
      </c>
      <c r="C51" s="3263">
        <v>9.9000000000000005E-2</v>
      </c>
      <c r="D51" s="3263">
        <v>8.5000000000000006E-2</v>
      </c>
      <c r="E51" s="3263">
        <v>6.3E-2</v>
      </c>
      <c r="F51" s="3274"/>
      <c r="G51" s="3264">
        <v>9.6000000000000002E-2</v>
      </c>
    </row>
    <row r="52" spans="1:7">
      <c r="A52" s="3273" t="s">
        <v>296</v>
      </c>
      <c r="B52" s="3262" t="s">
        <v>2928</v>
      </c>
      <c r="C52" s="3263">
        <v>7.3999999999999996E-2</v>
      </c>
      <c r="D52" s="3263">
        <v>9.6000000000000002E-2</v>
      </c>
      <c r="E52" s="3263">
        <v>0.05</v>
      </c>
      <c r="F52" s="3274"/>
      <c r="G52" s="3264">
        <v>9.8000000000000004E-2</v>
      </c>
    </row>
    <row r="53" spans="1:7">
      <c r="A53" s="3273" t="s">
        <v>296</v>
      </c>
      <c r="B53" s="3262" t="s">
        <v>2933</v>
      </c>
      <c r="C53" s="3263">
        <v>8.5999999999999993E-2</v>
      </c>
      <c r="D53" s="3274"/>
      <c r="E53" s="3263">
        <v>9.1999999999999998E-2</v>
      </c>
      <c r="F53" s="3274"/>
      <c r="G53" s="3275"/>
    </row>
    <row r="54" spans="1:7" ht="14.25" thickBot="1">
      <c r="A54" s="3276" t="s">
        <v>296</v>
      </c>
      <c r="B54" s="3266" t="s">
        <v>2936</v>
      </c>
      <c r="C54" s="3267">
        <v>9.6000000000000002E-2</v>
      </c>
      <c r="D54" s="3268"/>
      <c r="E54" s="3277"/>
      <c r="F54" s="3268"/>
      <c r="G54" s="3278"/>
    </row>
    <row r="55" spans="1:7">
      <c r="A55" s="3272" t="s">
        <v>110</v>
      </c>
      <c r="B55" s="3258" t="s">
        <v>2853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2934</v>
      </c>
      <c r="C78" s="3263">
        <v>0.1</v>
      </c>
      <c r="D78" s="3263">
        <v>8.5000000000000006E-2</v>
      </c>
      <c r="E78" s="3263">
        <v>9.6000000000000002E-2</v>
      </c>
      <c r="F78" s="3274"/>
      <c r="G78" s="3264">
        <v>9.6000000000000002E-2</v>
      </c>
    </row>
    <row r="79" spans="1:7">
      <c r="A79" s="3273" t="s">
        <v>110</v>
      </c>
      <c r="B79" s="3262" t="s">
        <v>2937</v>
      </c>
      <c r="C79" s="3263">
        <v>0.05</v>
      </c>
      <c r="D79" s="3263">
        <v>9.6000000000000002E-2</v>
      </c>
      <c r="E79" s="3263">
        <v>9.5000000000000001E-2</v>
      </c>
      <c r="F79" s="3274"/>
      <c r="G79" s="3264">
        <v>9.8000000000000004E-2</v>
      </c>
    </row>
    <row r="80" spans="1:7">
      <c r="A80" s="3273" t="s">
        <v>110</v>
      </c>
      <c r="B80" s="3262" t="s">
        <v>2941</v>
      </c>
      <c r="C80" s="3263">
        <v>8.5999999999999993E-2</v>
      </c>
      <c r="D80" s="3279"/>
      <c r="E80" s="3263">
        <v>0.1</v>
      </c>
      <c r="F80" s="3274"/>
      <c r="G80" s="3275"/>
    </row>
    <row r="81" spans="1:7">
      <c r="A81" s="3273" t="s">
        <v>110</v>
      </c>
      <c r="B81" s="3262" t="s">
        <v>2946</v>
      </c>
      <c r="C81" s="3263">
        <v>9.6000000000000002E-2</v>
      </c>
      <c r="D81" s="3274"/>
      <c r="E81" s="3263">
        <v>9.8000000000000004E-2</v>
      </c>
      <c r="F81" s="3274"/>
      <c r="G81" s="3275"/>
    </row>
    <row r="82" spans="1:7">
      <c r="A82" s="3273" t="s">
        <v>110</v>
      </c>
      <c r="B82" s="3262" t="s">
        <v>2953</v>
      </c>
      <c r="C82" s="3279"/>
      <c r="D82" s="3274"/>
      <c r="E82" s="3263">
        <v>7.6999999999999999E-2</v>
      </c>
      <c r="F82" s="3274"/>
      <c r="G82" s="3275"/>
    </row>
    <row r="83" spans="1:7">
      <c r="A83" s="3273" t="s">
        <v>110</v>
      </c>
      <c r="B83" s="3262" t="s">
        <v>2959</v>
      </c>
      <c r="C83" s="3274"/>
      <c r="D83" s="3274"/>
      <c r="E83" s="3274"/>
      <c r="F83" s="3263">
        <v>0.1</v>
      </c>
      <c r="G83" s="3280"/>
    </row>
    <row r="84" spans="1:7">
      <c r="A84" s="3273" t="s">
        <v>110</v>
      </c>
      <c r="B84" s="3262" t="s">
        <v>2966</v>
      </c>
      <c r="C84" s="3274"/>
      <c r="D84" s="3274"/>
      <c r="E84" s="3274"/>
      <c r="F84" s="3263">
        <v>0.1</v>
      </c>
      <c r="G84" s="3280"/>
    </row>
    <row r="85" spans="1:7">
      <c r="A85" s="3273" t="s">
        <v>110</v>
      </c>
      <c r="B85" s="3262" t="s">
        <v>2973</v>
      </c>
      <c r="C85" s="3274"/>
      <c r="D85" s="3274"/>
      <c r="E85" s="3274"/>
      <c r="F85" s="3263">
        <v>0.1</v>
      </c>
      <c r="G85" s="3280"/>
    </row>
    <row r="86" spans="1:7" ht="14.25" thickBot="1">
      <c r="A86" s="3276" t="s">
        <v>110</v>
      </c>
      <c r="B86" s="3266" t="s">
        <v>2978</v>
      </c>
      <c r="C86" s="3267">
        <v>9.8000000000000004E-2</v>
      </c>
      <c r="D86" s="3267">
        <v>9.8000000000000004E-2</v>
      </c>
      <c r="E86" s="3267">
        <v>9.6000000000000002E-2</v>
      </c>
      <c r="F86" s="3277"/>
      <c r="G86" s="3269">
        <v>0.1</v>
      </c>
    </row>
    <row r="87" spans="1:7">
      <c r="A87" s="3272" t="s">
        <v>303</v>
      </c>
      <c r="B87" s="3258" t="s">
        <v>2854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2947</v>
      </c>
      <c r="C113" s="3263">
        <v>0.1</v>
      </c>
      <c r="D113" s="3263">
        <v>0.1</v>
      </c>
      <c r="E113" s="3274"/>
      <c r="F113" s="3274"/>
      <c r="G113" s="3264">
        <v>0.1</v>
      </c>
    </row>
    <row r="114" spans="1:7">
      <c r="A114" s="3273" t="s">
        <v>303</v>
      </c>
      <c r="B114" s="3262" t="s">
        <v>2954</v>
      </c>
      <c r="C114" s="3263">
        <v>9.7000000000000003E-2</v>
      </c>
      <c r="D114" s="3263">
        <v>9.7000000000000003E-2</v>
      </c>
      <c r="E114" s="3274"/>
      <c r="F114" s="3274"/>
      <c r="G114" s="3264">
        <v>9.9000000000000005E-2</v>
      </c>
    </row>
    <row r="115" spans="1:7">
      <c r="A115" s="3273" t="s">
        <v>303</v>
      </c>
      <c r="B115" s="3262" t="s">
        <v>2960</v>
      </c>
      <c r="C115" s="3263">
        <v>0.1</v>
      </c>
      <c r="D115" s="3263">
        <v>0.1</v>
      </c>
      <c r="E115" s="3274"/>
      <c r="F115" s="3274"/>
      <c r="G115" s="3264">
        <v>0.1</v>
      </c>
    </row>
    <row r="116" spans="1:7">
      <c r="A116" s="3273" t="s">
        <v>303</v>
      </c>
      <c r="B116" s="3262" t="s">
        <v>2967</v>
      </c>
      <c r="C116" s="3263">
        <v>0.1</v>
      </c>
      <c r="D116" s="3263">
        <v>0.1</v>
      </c>
      <c r="E116" s="3274"/>
      <c r="F116" s="3274"/>
      <c r="G116" s="3264">
        <v>0.1</v>
      </c>
    </row>
    <row r="117" spans="1:7">
      <c r="A117" s="3273" t="s">
        <v>303</v>
      </c>
      <c r="B117" s="3262" t="s">
        <v>2974</v>
      </c>
      <c r="C117" s="3263">
        <v>9.7000000000000003E-2</v>
      </c>
      <c r="D117" s="3263">
        <v>9.7000000000000003E-2</v>
      </c>
      <c r="E117" s="3274"/>
      <c r="F117" s="3274"/>
      <c r="G117" s="3264">
        <v>9.7000000000000003E-2</v>
      </c>
    </row>
    <row r="118" spans="1:7">
      <c r="A118" s="3273" t="s">
        <v>303</v>
      </c>
      <c r="B118" s="3262" t="s">
        <v>2979</v>
      </c>
      <c r="C118" s="3263">
        <v>0.1</v>
      </c>
      <c r="D118" s="3263">
        <v>0.1</v>
      </c>
      <c r="E118" s="3274"/>
      <c r="F118" s="3274"/>
      <c r="G118" s="3264">
        <v>0.1</v>
      </c>
    </row>
    <row r="119" spans="1:7">
      <c r="A119" s="3273" t="s">
        <v>303</v>
      </c>
      <c r="B119" s="3262" t="s">
        <v>2983</v>
      </c>
      <c r="C119" s="3263">
        <v>5.0999999999999997E-2</v>
      </c>
      <c r="D119" s="3263">
        <v>5.1999999999999998E-2</v>
      </c>
      <c r="E119" s="3274"/>
      <c r="F119" s="3279"/>
      <c r="G119" s="3264">
        <v>0.06</v>
      </c>
    </row>
    <row r="120" spans="1:7">
      <c r="A120" s="3273" t="s">
        <v>303</v>
      </c>
      <c r="B120" s="3262" t="s">
        <v>2987</v>
      </c>
      <c r="C120" s="3274"/>
      <c r="D120" s="3274"/>
      <c r="E120" s="3274"/>
      <c r="F120" s="3263">
        <v>0.1</v>
      </c>
      <c r="G120" s="3280"/>
    </row>
    <row r="121" spans="1:7">
      <c r="A121" s="3273" t="s">
        <v>303</v>
      </c>
      <c r="B121" s="3262" t="s">
        <v>2992</v>
      </c>
      <c r="C121" s="3274"/>
      <c r="D121" s="3274"/>
      <c r="E121" s="3274"/>
      <c r="F121" s="3263">
        <v>0.1</v>
      </c>
      <c r="G121" s="3280"/>
    </row>
    <row r="122" spans="1:7">
      <c r="A122" s="3273" t="s">
        <v>303</v>
      </c>
      <c r="B122" s="3262" t="s">
        <v>2997</v>
      </c>
      <c r="C122" s="3263">
        <v>0.1</v>
      </c>
      <c r="D122" s="3263">
        <v>0.1</v>
      </c>
      <c r="E122" s="3263">
        <v>9.8000000000000004E-2</v>
      </c>
      <c r="F122" s="3263">
        <v>0.1</v>
      </c>
      <c r="G122" s="3264">
        <v>0.1</v>
      </c>
    </row>
    <row r="123" spans="1:7">
      <c r="A123" s="3273" t="s">
        <v>303</v>
      </c>
      <c r="B123" s="3262" t="s">
        <v>3002</v>
      </c>
      <c r="C123" s="3263">
        <v>0.1</v>
      </c>
      <c r="D123" s="3263">
        <v>0.1</v>
      </c>
      <c r="E123" s="3263">
        <v>9.8000000000000004E-2</v>
      </c>
      <c r="F123" s="3263">
        <v>0.1</v>
      </c>
      <c r="G123" s="3264">
        <v>0.1</v>
      </c>
    </row>
    <row r="124" spans="1:7">
      <c r="A124" s="3273" t="s">
        <v>303</v>
      </c>
      <c r="B124" s="3262" t="s">
        <v>3007</v>
      </c>
      <c r="C124" s="3263">
        <v>0.1</v>
      </c>
      <c r="D124" s="3263">
        <v>0.1</v>
      </c>
      <c r="E124" s="3263">
        <v>9.8000000000000004E-2</v>
      </c>
      <c r="F124" s="3279"/>
      <c r="G124" s="3264">
        <v>0.1</v>
      </c>
    </row>
    <row r="125" spans="1:7">
      <c r="A125" s="3273" t="s">
        <v>303</v>
      </c>
      <c r="B125" s="3262" t="s">
        <v>3012</v>
      </c>
      <c r="C125" s="3263">
        <v>9.8000000000000004E-2</v>
      </c>
      <c r="D125" s="3263">
        <v>9.8000000000000004E-2</v>
      </c>
      <c r="E125" s="3263">
        <v>9.6000000000000002E-2</v>
      </c>
      <c r="F125" s="3279"/>
      <c r="G125" s="3264">
        <v>0.1</v>
      </c>
    </row>
    <row r="126" spans="1:7" ht="14.25" thickBot="1">
      <c r="A126" s="3276" t="s">
        <v>303</v>
      </c>
      <c r="B126" s="3266" t="s">
        <v>3178</v>
      </c>
      <c r="C126" s="3267">
        <v>0.1</v>
      </c>
      <c r="D126" s="3267">
        <v>0.1</v>
      </c>
      <c r="E126" s="3267">
        <v>9.8000000000000004E-2</v>
      </c>
      <c r="F126" s="3267">
        <v>0.1</v>
      </c>
      <c r="G126" s="3269">
        <v>0.1</v>
      </c>
    </row>
    <row r="127" spans="1:7">
      <c r="A127" s="3272" t="s">
        <v>29</v>
      </c>
      <c r="B127" s="3258" t="s">
        <v>2855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2925</v>
      </c>
      <c r="C148" s="3263">
        <v>0.13</v>
      </c>
      <c r="D148" s="3263">
        <v>0.13</v>
      </c>
      <c r="E148" s="3263">
        <v>0.13</v>
      </c>
      <c r="F148" s="3274"/>
      <c r="G148" s="3264">
        <v>0.13</v>
      </c>
    </row>
    <row r="149" spans="1:7">
      <c r="A149" s="3273" t="s">
        <v>29</v>
      </c>
      <c r="B149" s="3262" t="s">
        <v>2929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2948</v>
      </c>
      <c r="C153" s="3263">
        <v>0.13</v>
      </c>
      <c r="D153" s="3263">
        <v>0.13</v>
      </c>
      <c r="E153" s="3263">
        <v>0.13</v>
      </c>
      <c r="F153" s="3263">
        <v>0.13</v>
      </c>
      <c r="G153" s="3264">
        <v>0.13</v>
      </c>
    </row>
    <row r="154" spans="1:7">
      <c r="A154" s="3273" t="s">
        <v>29</v>
      </c>
      <c r="B154" s="3262" t="s">
        <v>2955</v>
      </c>
      <c r="C154" s="3263">
        <v>0.121</v>
      </c>
      <c r="D154" s="3263">
        <v>0.121</v>
      </c>
      <c r="E154" s="3263">
        <v>0.105</v>
      </c>
      <c r="F154" s="3263">
        <v>0.121</v>
      </c>
      <c r="G154" s="3264">
        <v>0.123</v>
      </c>
    </row>
    <row r="155" spans="1:7">
      <c r="A155" s="3273" t="s">
        <v>29</v>
      </c>
      <c r="B155" s="3262" t="s">
        <v>2961</v>
      </c>
      <c r="C155" s="3263">
        <v>0.1</v>
      </c>
      <c r="D155" s="3263">
        <v>0.1</v>
      </c>
      <c r="E155" s="3263">
        <v>0.1</v>
      </c>
      <c r="F155" s="3263">
        <v>0.1</v>
      </c>
      <c r="G155" s="3264">
        <v>0.1</v>
      </c>
    </row>
    <row r="156" spans="1:7">
      <c r="A156" s="3273" t="s">
        <v>29</v>
      </c>
      <c r="B156" s="3262" t="s">
        <v>2968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2988</v>
      </c>
      <c r="C160" s="3263">
        <v>0.13</v>
      </c>
      <c r="D160" s="3263">
        <v>0.13</v>
      </c>
      <c r="E160" s="3263">
        <v>0.124</v>
      </c>
      <c r="F160" s="3263">
        <v>0.126</v>
      </c>
      <c r="G160" s="3264">
        <v>0.13</v>
      </c>
    </row>
    <row r="161" spans="1:7">
      <c r="A161" s="3273" t="s">
        <v>29</v>
      </c>
      <c r="B161" s="3262" t="s">
        <v>2993</v>
      </c>
      <c r="C161" s="3263">
        <v>0.13</v>
      </c>
      <c r="D161" s="3263">
        <v>0.13</v>
      </c>
      <c r="E161" s="3263">
        <v>0.124</v>
      </c>
      <c r="F161" s="3263">
        <v>0.127</v>
      </c>
      <c r="G161" s="3264">
        <v>0.13</v>
      </c>
    </row>
    <row r="162" spans="1:7">
      <c r="A162" s="3273" t="s">
        <v>29</v>
      </c>
      <c r="B162" s="3262" t="s">
        <v>2998</v>
      </c>
      <c r="C162" s="3263">
        <v>0.1</v>
      </c>
      <c r="D162" s="3263">
        <v>0.1</v>
      </c>
      <c r="E162" s="3263">
        <v>0.1</v>
      </c>
      <c r="F162" s="3263">
        <v>0.121</v>
      </c>
      <c r="G162" s="3264">
        <v>0.105</v>
      </c>
    </row>
    <row r="163" spans="1:7">
      <c r="A163" s="3273" t="s">
        <v>29</v>
      </c>
      <c r="B163" s="3262" t="s">
        <v>3003</v>
      </c>
      <c r="C163" s="3263">
        <v>0.1</v>
      </c>
      <c r="D163" s="3263">
        <v>0.1</v>
      </c>
      <c r="E163" s="3263">
        <v>0.1</v>
      </c>
      <c r="F163" s="3263">
        <v>0.1</v>
      </c>
      <c r="G163" s="3264">
        <v>0.1</v>
      </c>
    </row>
    <row r="164" spans="1:7">
      <c r="A164" s="3273" t="s">
        <v>29</v>
      </c>
      <c r="B164" s="3262" t="s">
        <v>3008</v>
      </c>
      <c r="C164" s="3279"/>
      <c r="D164" s="3279"/>
      <c r="E164" s="3279"/>
      <c r="F164" s="3263">
        <v>0.1</v>
      </c>
      <c r="G164" s="3275"/>
    </row>
    <row r="165" spans="1:7">
      <c r="A165" s="3273" t="s">
        <v>29</v>
      </c>
      <c r="B165" s="3262" t="s">
        <v>3179</v>
      </c>
      <c r="C165" s="3263">
        <v>0.126</v>
      </c>
      <c r="D165" s="3263">
        <v>0.126</v>
      </c>
      <c r="E165" s="3263">
        <v>0.11899999999999999</v>
      </c>
      <c r="F165" s="3263">
        <v>0.13</v>
      </c>
      <c r="G165" s="3264">
        <v>0.128</v>
      </c>
    </row>
    <row r="166" spans="1:7">
      <c r="A166" s="3273" t="s">
        <v>29</v>
      </c>
      <c r="B166" s="3262" t="s">
        <v>3018</v>
      </c>
      <c r="C166" s="3263">
        <v>0.129</v>
      </c>
      <c r="D166" s="3263">
        <v>0.129</v>
      </c>
      <c r="E166" s="3263">
        <v>0.123</v>
      </c>
      <c r="F166" s="3263">
        <v>0.128</v>
      </c>
      <c r="G166" s="3264">
        <v>0.13</v>
      </c>
    </row>
    <row r="167" spans="1:7">
      <c r="A167" s="3273" t="s">
        <v>29</v>
      </c>
      <c r="B167" s="3262" t="s">
        <v>3022</v>
      </c>
      <c r="C167" s="3263">
        <v>0.125</v>
      </c>
      <c r="D167" s="3263">
        <v>0.125</v>
      </c>
      <c r="E167" s="3263">
        <v>0.11700000000000001</v>
      </c>
      <c r="F167" s="3263">
        <v>0.13</v>
      </c>
      <c r="G167" s="3264">
        <v>0.126</v>
      </c>
    </row>
    <row r="168" spans="1:7">
      <c r="A168" s="3273" t="s">
        <v>29</v>
      </c>
      <c r="B168" s="3262" t="s">
        <v>3027</v>
      </c>
      <c r="C168" s="3263">
        <v>0.128</v>
      </c>
      <c r="D168" s="3263">
        <v>0.128</v>
      </c>
      <c r="E168" s="3263">
        <v>0.123</v>
      </c>
      <c r="F168" s="3274"/>
      <c r="G168" s="3264">
        <v>0.13</v>
      </c>
    </row>
    <row r="169" spans="1:7">
      <c r="A169" s="3273" t="s">
        <v>29</v>
      </c>
      <c r="B169" s="3262" t="s">
        <v>3180</v>
      </c>
      <c r="C169" s="3279"/>
      <c r="D169" s="3279"/>
      <c r="E169" s="3279"/>
      <c r="F169" s="3263">
        <v>0.05</v>
      </c>
      <c r="G169" s="3275"/>
    </row>
    <row r="170" spans="1:7">
      <c r="A170" s="3273" t="s">
        <v>29</v>
      </c>
      <c r="B170" s="3262" t="s">
        <v>3181</v>
      </c>
      <c r="C170" s="3279"/>
      <c r="D170" s="3279"/>
      <c r="E170" s="3279"/>
      <c r="F170" s="3263">
        <v>0.05</v>
      </c>
      <c r="G170" s="3275"/>
    </row>
    <row r="171" spans="1:7">
      <c r="A171" s="3273" t="s">
        <v>29</v>
      </c>
      <c r="B171" s="3262" t="s">
        <v>3182</v>
      </c>
      <c r="C171" s="3279"/>
      <c r="D171" s="3279"/>
      <c r="E171" s="3279"/>
      <c r="F171" s="3263">
        <v>0.05</v>
      </c>
      <c r="G171" s="3280"/>
    </row>
    <row r="172" spans="1:7">
      <c r="A172" s="3273" t="s">
        <v>29</v>
      </c>
      <c r="B172" s="3262" t="s">
        <v>3183</v>
      </c>
      <c r="C172" s="3279"/>
      <c r="D172" s="3279"/>
      <c r="E172" s="3279"/>
      <c r="F172" s="3263">
        <v>0.05</v>
      </c>
      <c r="G172" s="3280"/>
    </row>
    <row r="173" spans="1:7">
      <c r="A173" s="3273" t="s">
        <v>29</v>
      </c>
      <c r="B173" s="3262" t="s">
        <v>3184</v>
      </c>
      <c r="C173" s="3279"/>
      <c r="D173" s="3279"/>
      <c r="E173" s="3279"/>
      <c r="F173" s="3263">
        <v>0.05</v>
      </c>
      <c r="G173" s="3275"/>
    </row>
    <row r="174" spans="1:7">
      <c r="A174" s="3273" t="s">
        <v>29</v>
      </c>
      <c r="B174" s="3262" t="s">
        <v>3185</v>
      </c>
      <c r="C174" s="3279"/>
      <c r="D174" s="3279"/>
      <c r="E174" s="3279"/>
      <c r="F174" s="3263">
        <v>0.05</v>
      </c>
      <c r="G174" s="3275"/>
    </row>
    <row r="175" spans="1:7">
      <c r="A175" s="3273" t="s">
        <v>29</v>
      </c>
      <c r="B175" s="3262" t="s">
        <v>3186</v>
      </c>
      <c r="C175" s="3279"/>
      <c r="D175" s="3279"/>
      <c r="E175" s="3279"/>
      <c r="F175" s="3263">
        <v>0.05</v>
      </c>
      <c r="G175" s="3275"/>
    </row>
    <row r="176" spans="1:7">
      <c r="A176" s="3273" t="s">
        <v>29</v>
      </c>
      <c r="B176" s="3262" t="s">
        <v>3187</v>
      </c>
      <c r="C176" s="3279"/>
      <c r="D176" s="3279"/>
      <c r="E176" s="3279"/>
      <c r="F176" s="3263">
        <v>0.05</v>
      </c>
      <c r="G176" s="3275"/>
    </row>
    <row r="177" spans="1:7">
      <c r="A177" s="3273" t="s">
        <v>29</v>
      </c>
      <c r="B177" s="3262" t="s">
        <v>3188</v>
      </c>
      <c r="C177" s="3274"/>
      <c r="D177" s="3274"/>
      <c r="E177" s="3274"/>
      <c r="F177" s="3263">
        <v>0.05</v>
      </c>
      <c r="G177" s="3280"/>
    </row>
    <row r="178" spans="1:7">
      <c r="A178" s="3273" t="s">
        <v>29</v>
      </c>
      <c r="B178" s="3262" t="s">
        <v>3189</v>
      </c>
      <c r="C178" s="3274"/>
      <c r="D178" s="3274"/>
      <c r="E178" s="3274"/>
      <c r="F178" s="3263">
        <v>0.05</v>
      </c>
      <c r="G178" s="3280"/>
    </row>
    <row r="179" spans="1:7">
      <c r="A179" s="3273" t="s">
        <v>29</v>
      </c>
      <c r="B179" s="3262" t="s">
        <v>3190</v>
      </c>
      <c r="C179" s="3274"/>
      <c r="D179" s="3274"/>
      <c r="E179" s="3274"/>
      <c r="F179" s="3263">
        <v>0.05</v>
      </c>
      <c r="G179" s="3280"/>
    </row>
    <row r="180" spans="1:7">
      <c r="A180" s="3273" t="s">
        <v>29</v>
      </c>
      <c r="B180" s="3262" t="s">
        <v>3191</v>
      </c>
      <c r="C180" s="3274"/>
      <c r="D180" s="3274"/>
      <c r="E180" s="3274"/>
      <c r="F180" s="3263">
        <v>0.05</v>
      </c>
      <c r="G180" s="3280"/>
    </row>
    <row r="181" spans="1:7">
      <c r="A181" s="3273" t="s">
        <v>29</v>
      </c>
      <c r="B181" s="3262" t="s">
        <v>3192</v>
      </c>
      <c r="C181" s="3274"/>
      <c r="D181" s="3274"/>
      <c r="E181" s="3274"/>
      <c r="F181" s="3263">
        <v>0.05</v>
      </c>
      <c r="G181" s="3280"/>
    </row>
    <row r="182" spans="1:7">
      <c r="A182" s="3273" t="s">
        <v>29</v>
      </c>
      <c r="B182" s="3262" t="s">
        <v>3193</v>
      </c>
      <c r="C182" s="3274"/>
      <c r="D182" s="3274"/>
      <c r="E182" s="3274"/>
      <c r="F182" s="3263">
        <v>0.05</v>
      </c>
      <c r="G182" s="3280"/>
    </row>
    <row r="183" spans="1:7">
      <c r="A183" s="3273" t="s">
        <v>29</v>
      </c>
      <c r="B183" s="3262" t="s">
        <v>3194</v>
      </c>
      <c r="C183" s="3274"/>
      <c r="D183" s="3274"/>
      <c r="E183" s="3274"/>
      <c r="F183" s="3263">
        <v>0.05</v>
      </c>
      <c r="G183" s="3280"/>
    </row>
    <row r="184" spans="1:7">
      <c r="A184" s="3273" t="s">
        <v>29</v>
      </c>
      <c r="B184" s="3262" t="s">
        <v>3195</v>
      </c>
      <c r="C184" s="3274"/>
      <c r="D184" s="3274"/>
      <c r="E184" s="3274"/>
      <c r="F184" s="3263">
        <v>0.05</v>
      </c>
      <c r="G184" s="3280"/>
    </row>
    <row r="185" spans="1:7">
      <c r="A185" s="3273" t="s">
        <v>29</v>
      </c>
      <c r="B185" s="3262" t="s">
        <v>3196</v>
      </c>
      <c r="C185" s="3274"/>
      <c r="D185" s="3274"/>
      <c r="E185" s="3274"/>
      <c r="F185" s="3263">
        <v>0.05</v>
      </c>
      <c r="G185" s="3280"/>
    </row>
    <row r="186" spans="1:7">
      <c r="A186" s="3273" t="s">
        <v>29</v>
      </c>
      <c r="B186" s="3262" t="s">
        <v>3197</v>
      </c>
      <c r="C186" s="3274"/>
      <c r="D186" s="3274"/>
      <c r="E186" s="3274"/>
      <c r="F186" s="3263">
        <v>0.05</v>
      </c>
      <c r="G186" s="3280"/>
    </row>
    <row r="187" spans="1:7">
      <c r="A187" s="3273" t="s">
        <v>29</v>
      </c>
      <c r="B187" s="3262" t="s">
        <v>3198</v>
      </c>
      <c r="C187" s="3274"/>
      <c r="D187" s="3274"/>
      <c r="E187" s="3274"/>
      <c r="F187" s="3263">
        <v>0.05</v>
      </c>
      <c r="G187" s="3280"/>
    </row>
    <row r="188" spans="1:7">
      <c r="A188" s="3273" t="s">
        <v>29</v>
      </c>
      <c r="B188" s="3262" t="s">
        <v>3199</v>
      </c>
      <c r="C188" s="3274"/>
      <c r="D188" s="3274"/>
      <c r="E188" s="3274"/>
      <c r="F188" s="3263">
        <v>0.05</v>
      </c>
      <c r="G188" s="3280"/>
    </row>
    <row r="189" spans="1:7" ht="14.25" thickBot="1">
      <c r="A189" s="3276" t="s">
        <v>29</v>
      </c>
      <c r="B189" s="3266" t="s">
        <v>3200</v>
      </c>
      <c r="C189" s="3268"/>
      <c r="D189" s="3268"/>
      <c r="E189" s="3268"/>
      <c r="F189" s="3267">
        <v>0.05</v>
      </c>
      <c r="G189" s="3281"/>
    </row>
    <row r="190" spans="1:7">
      <c r="A190" s="3272" t="s">
        <v>304</v>
      </c>
      <c r="B190" s="3258" t="s">
        <v>2856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2892</v>
      </c>
      <c r="C199" s="3263">
        <v>0.13</v>
      </c>
      <c r="D199" s="3263">
        <v>0.13</v>
      </c>
      <c r="E199" s="3263">
        <v>0.13</v>
      </c>
      <c r="F199" s="3263">
        <v>0.13</v>
      </c>
      <c r="G199" s="3264">
        <v>0.13</v>
      </c>
    </row>
    <row r="200" spans="1:7">
      <c r="A200" s="3273" t="s">
        <v>304</v>
      </c>
      <c r="B200" s="3262" t="s">
        <v>2895</v>
      </c>
      <c r="C200" s="3279"/>
      <c r="D200" s="3279"/>
      <c r="E200" s="3279"/>
      <c r="F200" s="3263">
        <v>0.13</v>
      </c>
      <c r="G200" s="3275"/>
    </row>
    <row r="201" spans="1:7">
      <c r="A201" s="3273" t="s">
        <v>304</v>
      </c>
      <c r="B201" s="3262" t="s">
        <v>2900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2903</v>
      </c>
      <c r="C203" s="3263">
        <v>0.129</v>
      </c>
      <c r="D203" s="3263">
        <v>0.129</v>
      </c>
      <c r="E203" s="3263">
        <v>0.13</v>
      </c>
      <c r="F203" s="3263">
        <v>0.13</v>
      </c>
      <c r="G203" s="3264">
        <v>0.13</v>
      </c>
    </row>
    <row r="204" spans="1:7">
      <c r="A204" s="3273" t="s">
        <v>304</v>
      </c>
      <c r="B204" s="3262" t="s">
        <v>2906</v>
      </c>
      <c r="C204" s="3263">
        <v>0.129</v>
      </c>
      <c r="D204" s="3263">
        <v>0.129</v>
      </c>
      <c r="E204" s="3263">
        <v>0.123</v>
      </c>
      <c r="F204" s="3263">
        <v>0.13</v>
      </c>
      <c r="G204" s="3264">
        <v>0.13</v>
      </c>
    </row>
    <row r="205" spans="1:7">
      <c r="A205" s="3273" t="s">
        <v>304</v>
      </c>
      <c r="B205" s="3262" t="s">
        <v>2908</v>
      </c>
      <c r="C205" s="3263">
        <v>0.13</v>
      </c>
      <c r="D205" s="3263">
        <v>0.13</v>
      </c>
      <c r="E205" s="3263">
        <v>0.13</v>
      </c>
      <c r="F205" s="3263">
        <v>0.13</v>
      </c>
      <c r="G205" s="3264">
        <v>0.13</v>
      </c>
    </row>
    <row r="206" spans="1:7">
      <c r="A206" s="3273" t="s">
        <v>304</v>
      </c>
      <c r="B206" s="3262" t="s">
        <v>2911</v>
      </c>
      <c r="C206" s="3263">
        <v>0.13</v>
      </c>
      <c r="D206" s="3263">
        <v>0.13</v>
      </c>
      <c r="E206" s="3263">
        <v>0.13</v>
      </c>
      <c r="F206" s="3263">
        <v>0.128</v>
      </c>
      <c r="G206" s="3264">
        <v>0.13</v>
      </c>
    </row>
    <row r="207" spans="1:7">
      <c r="A207" s="3273" t="s">
        <v>304</v>
      </c>
      <c r="B207" s="3262" t="s">
        <v>2913</v>
      </c>
      <c r="C207" s="3263">
        <v>0.13</v>
      </c>
      <c r="D207" s="3263">
        <v>0.13</v>
      </c>
      <c r="E207" s="3263">
        <v>0.13</v>
      </c>
      <c r="F207" s="3263">
        <v>0.13</v>
      </c>
      <c r="G207" s="3264">
        <v>0.13</v>
      </c>
    </row>
    <row r="208" spans="1:7">
      <c r="A208" s="3273" t="s">
        <v>304</v>
      </c>
      <c r="B208" s="3262" t="s">
        <v>2916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2923</v>
      </c>
      <c r="C210" s="3263">
        <v>0.121</v>
      </c>
      <c r="D210" s="3263">
        <v>0.121</v>
      </c>
      <c r="E210" s="3263">
        <v>0.125</v>
      </c>
      <c r="F210" s="3263">
        <v>0.13</v>
      </c>
      <c r="G210" s="3264">
        <v>0.123</v>
      </c>
    </row>
    <row r="211" spans="1:7">
      <c r="A211" s="3273" t="s">
        <v>304</v>
      </c>
      <c r="B211" s="3262" t="s">
        <v>2926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2938</v>
      </c>
      <c r="C214" s="3263">
        <v>0.128</v>
      </c>
      <c r="D214" s="3263">
        <v>0.128</v>
      </c>
      <c r="E214" s="3263">
        <v>0.13</v>
      </c>
      <c r="F214" s="3263">
        <v>0.13</v>
      </c>
      <c r="G214" s="3264">
        <v>0.13</v>
      </c>
    </row>
    <row r="215" spans="1:7">
      <c r="A215" s="3273" t="s">
        <v>304</v>
      </c>
      <c r="B215" s="3262" t="s">
        <v>2942</v>
      </c>
      <c r="C215" s="3263">
        <v>0.13</v>
      </c>
      <c r="D215" s="3263">
        <v>0.13</v>
      </c>
      <c r="E215" s="3263">
        <v>0.13</v>
      </c>
      <c r="F215" s="3263">
        <v>0.129</v>
      </c>
      <c r="G215" s="3264">
        <v>0.13</v>
      </c>
    </row>
    <row r="216" spans="1:7">
      <c r="A216" s="3273" t="s">
        <v>304</v>
      </c>
      <c r="B216" s="3262" t="s">
        <v>2949</v>
      </c>
      <c r="C216" s="3263">
        <v>0.13</v>
      </c>
      <c r="D216" s="3263">
        <v>0.13</v>
      </c>
      <c r="E216" s="3263">
        <v>0.13</v>
      </c>
      <c r="F216" s="3263">
        <v>0.13</v>
      </c>
      <c r="G216" s="3264">
        <v>0.13</v>
      </c>
    </row>
    <row r="217" spans="1:7">
      <c r="A217" s="3273" t="s">
        <v>304</v>
      </c>
      <c r="B217" s="3262" t="s">
        <v>2956</v>
      </c>
      <c r="C217" s="3263">
        <v>0.129</v>
      </c>
      <c r="D217" s="3263">
        <v>0.129</v>
      </c>
      <c r="E217" s="3263">
        <v>0.13</v>
      </c>
      <c r="F217" s="3263">
        <v>0.13</v>
      </c>
      <c r="G217" s="3264">
        <v>0.13</v>
      </c>
    </row>
    <row r="218" spans="1:7">
      <c r="A218" s="3273" t="s">
        <v>304</v>
      </c>
      <c r="B218" s="3262" t="s">
        <v>2962</v>
      </c>
      <c r="C218" s="3274"/>
      <c r="D218" s="3274"/>
      <c r="E218" s="3274"/>
      <c r="F218" s="3263">
        <v>0.05</v>
      </c>
      <c r="G218" s="3280"/>
    </row>
    <row r="219" spans="1:7">
      <c r="A219" s="3273" t="s">
        <v>304</v>
      </c>
      <c r="B219" s="3262" t="s">
        <v>2969</v>
      </c>
      <c r="C219" s="3274"/>
      <c r="D219" s="3274"/>
      <c r="E219" s="3274"/>
      <c r="F219" s="3263">
        <v>0.05</v>
      </c>
      <c r="G219" s="3280"/>
    </row>
    <row r="220" spans="1:7">
      <c r="A220" s="3273" t="s">
        <v>304</v>
      </c>
      <c r="B220" s="3262" t="s">
        <v>2975</v>
      </c>
      <c r="C220" s="3274"/>
      <c r="D220" s="3274"/>
      <c r="E220" s="3274"/>
      <c r="F220" s="3263">
        <v>0.05</v>
      </c>
      <c r="G220" s="3280"/>
    </row>
    <row r="221" spans="1:7">
      <c r="A221" s="3273" t="s">
        <v>304</v>
      </c>
      <c r="B221" s="3262" t="s">
        <v>2980</v>
      </c>
      <c r="C221" s="3274"/>
      <c r="D221" s="3274"/>
      <c r="E221" s="3274"/>
      <c r="F221" s="3263">
        <v>0.05</v>
      </c>
      <c r="G221" s="3280"/>
    </row>
    <row r="222" spans="1:7">
      <c r="A222" s="3273" t="s">
        <v>304</v>
      </c>
      <c r="B222" s="3262" t="s">
        <v>2984</v>
      </c>
      <c r="C222" s="3274"/>
      <c r="D222" s="3274"/>
      <c r="E222" s="3274"/>
      <c r="F222" s="3263">
        <v>0.05</v>
      </c>
      <c r="G222" s="3280"/>
    </row>
    <row r="223" spans="1:7">
      <c r="A223" s="3273" t="s">
        <v>304</v>
      </c>
      <c r="B223" s="3262" t="s">
        <v>2989</v>
      </c>
      <c r="C223" s="3274"/>
      <c r="D223" s="3274"/>
      <c r="E223" s="3274"/>
      <c r="F223" s="3263">
        <v>0.05</v>
      </c>
      <c r="G223" s="3280"/>
    </row>
    <row r="224" spans="1:7">
      <c r="A224" s="3273" t="s">
        <v>304</v>
      </c>
      <c r="B224" s="3262" t="s">
        <v>2994</v>
      </c>
      <c r="C224" s="3274"/>
      <c r="D224" s="3274"/>
      <c r="E224" s="3274"/>
      <c r="F224" s="3263">
        <v>0.05</v>
      </c>
      <c r="G224" s="3280"/>
    </row>
    <row r="225" spans="1:7">
      <c r="A225" s="3273" t="s">
        <v>304</v>
      </c>
      <c r="B225" s="3262" t="s">
        <v>2999</v>
      </c>
      <c r="C225" s="3274"/>
      <c r="D225" s="3274"/>
      <c r="E225" s="3274"/>
      <c r="F225" s="3263">
        <v>0.05</v>
      </c>
      <c r="G225" s="3280"/>
    </row>
    <row r="226" spans="1:7">
      <c r="A226" s="3273" t="s">
        <v>304</v>
      </c>
      <c r="B226" s="3262" t="s">
        <v>3201</v>
      </c>
      <c r="C226" s="3274"/>
      <c r="D226" s="3274"/>
      <c r="E226" s="3274"/>
      <c r="F226" s="3263">
        <v>0.05</v>
      </c>
      <c r="G226" s="3280"/>
    </row>
    <row r="227" spans="1:7">
      <c r="A227" s="3273" t="s">
        <v>304</v>
      </c>
      <c r="B227" s="3262" t="s">
        <v>3202</v>
      </c>
      <c r="C227" s="3274"/>
      <c r="D227" s="3274"/>
      <c r="E227" s="3274"/>
      <c r="F227" s="3263">
        <v>0.05</v>
      </c>
      <c r="G227" s="3280"/>
    </row>
    <row r="228" spans="1:7">
      <c r="A228" s="3273" t="s">
        <v>304</v>
      </c>
      <c r="B228" s="3262" t="s">
        <v>3203</v>
      </c>
      <c r="C228" s="3274"/>
      <c r="D228" s="3274"/>
      <c r="E228" s="3274"/>
      <c r="F228" s="3263">
        <v>0.05</v>
      </c>
      <c r="G228" s="3280"/>
    </row>
    <row r="229" spans="1:7">
      <c r="A229" s="3273" t="s">
        <v>304</v>
      </c>
      <c r="B229" s="3262" t="s">
        <v>3204</v>
      </c>
      <c r="C229" s="3274"/>
      <c r="D229" s="3274"/>
      <c r="E229" s="3274"/>
      <c r="F229" s="3263">
        <v>0.05</v>
      </c>
      <c r="G229" s="3280"/>
    </row>
    <row r="230" spans="1:7">
      <c r="A230" s="3273" t="s">
        <v>304</v>
      </c>
      <c r="B230" s="3262" t="s">
        <v>3205</v>
      </c>
      <c r="C230" s="3274"/>
      <c r="D230" s="3274"/>
      <c r="E230" s="3274"/>
      <c r="F230" s="3263">
        <v>0.05</v>
      </c>
      <c r="G230" s="3280"/>
    </row>
    <row r="231" spans="1:7">
      <c r="A231" s="3273" t="s">
        <v>304</v>
      </c>
      <c r="B231" s="3262" t="s">
        <v>3206</v>
      </c>
      <c r="C231" s="3274"/>
      <c r="D231" s="3274"/>
      <c r="E231" s="3274"/>
      <c r="F231" s="3263">
        <v>0.05</v>
      </c>
      <c r="G231" s="3280"/>
    </row>
    <row r="232" spans="1:7">
      <c r="A232" s="3273" t="s">
        <v>304</v>
      </c>
      <c r="B232" s="3262" t="s">
        <v>3207</v>
      </c>
      <c r="C232" s="3274"/>
      <c r="D232" s="3274"/>
      <c r="E232" s="3274"/>
      <c r="F232" s="3263">
        <v>0.05</v>
      </c>
      <c r="G232" s="3280"/>
    </row>
    <row r="233" spans="1:7" ht="14.25" thickBot="1">
      <c r="A233" s="3276" t="s">
        <v>304</v>
      </c>
      <c r="B233" s="3266" t="s">
        <v>3208</v>
      </c>
      <c r="C233" s="3268"/>
      <c r="D233" s="3268"/>
      <c r="E233" s="3268"/>
      <c r="F233" s="3267">
        <v>0.05</v>
      </c>
      <c r="G233" s="3281"/>
    </row>
    <row r="234" spans="1:7">
      <c r="A234" s="3272" t="s">
        <v>305</v>
      </c>
      <c r="B234" s="3258" t="s">
        <v>2857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2877</v>
      </c>
      <c r="C238" s="3263">
        <v>0.14899999999999999</v>
      </c>
      <c r="D238" s="3263">
        <v>0.14899999999999999</v>
      </c>
      <c r="E238" s="3263">
        <v>0.15</v>
      </c>
      <c r="F238" s="3263">
        <v>0.15</v>
      </c>
      <c r="G238" s="3264">
        <v>0.15</v>
      </c>
    </row>
    <row r="239" spans="1:7">
      <c r="A239" s="3273" t="s">
        <v>305</v>
      </c>
      <c r="B239" s="3262" t="s">
        <v>2881</v>
      </c>
      <c r="C239" s="3263">
        <v>0.15</v>
      </c>
      <c r="D239" s="3263">
        <v>0.15</v>
      </c>
      <c r="E239" s="3263">
        <v>0.15</v>
      </c>
      <c r="F239" s="3263">
        <v>0.15</v>
      </c>
      <c r="G239" s="3264">
        <v>0.15</v>
      </c>
    </row>
    <row r="240" spans="1:7">
      <c r="A240" s="3273" t="s">
        <v>305</v>
      </c>
      <c r="B240" s="3262" t="s">
        <v>2886</v>
      </c>
      <c r="C240" s="3263">
        <v>0.15</v>
      </c>
      <c r="D240" s="3263">
        <v>0.15</v>
      </c>
      <c r="E240" s="3263">
        <v>0.15</v>
      </c>
      <c r="F240" s="3263">
        <v>0.15</v>
      </c>
      <c r="G240" s="3264">
        <v>0.15</v>
      </c>
    </row>
    <row r="241" spans="1:7">
      <c r="A241" s="3273" t="s">
        <v>305</v>
      </c>
      <c r="B241" s="3262" t="s">
        <v>2890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2939</v>
      </c>
      <c r="C258" s="3263">
        <v>0.14299999999999999</v>
      </c>
      <c r="D258" s="3263">
        <v>0.14299999999999999</v>
      </c>
      <c r="E258" s="3263">
        <v>0.15</v>
      </c>
      <c r="F258" s="3263">
        <v>0.14799999999999999</v>
      </c>
      <c r="G258" s="3264">
        <v>0.14599999999999999</v>
      </c>
    </row>
    <row r="259" spans="1:7">
      <c r="A259" s="3273" t="s">
        <v>305</v>
      </c>
      <c r="B259" s="3262" t="s">
        <v>2943</v>
      </c>
      <c r="C259" s="3263">
        <v>0.14399999999999999</v>
      </c>
      <c r="D259" s="3263">
        <v>0.14399999999999999</v>
      </c>
      <c r="E259" s="3263">
        <v>0.14899999999999999</v>
      </c>
      <c r="F259" s="3263">
        <v>0.14699999999999999</v>
      </c>
      <c r="G259" s="3264">
        <v>0.14599999999999999</v>
      </c>
    </row>
    <row r="260" spans="1:7">
      <c r="A260" s="3273" t="s">
        <v>305</v>
      </c>
      <c r="B260" s="3262" t="s">
        <v>2950</v>
      </c>
      <c r="C260" s="3263">
        <v>0.109</v>
      </c>
      <c r="D260" s="3263">
        <v>0.111</v>
      </c>
      <c r="E260" s="3263">
        <v>0.13100000000000001</v>
      </c>
      <c r="F260" s="3263">
        <v>0.126</v>
      </c>
      <c r="G260" s="3264">
        <v>0.11899999999999999</v>
      </c>
    </row>
    <row r="261" spans="1:7">
      <c r="A261" s="3273" t="s">
        <v>305</v>
      </c>
      <c r="B261" s="3262" t="s">
        <v>2957</v>
      </c>
      <c r="C261" s="3263">
        <v>0.1</v>
      </c>
      <c r="D261" s="3263">
        <v>0.1</v>
      </c>
      <c r="E261" s="3263">
        <v>0.11799999999999999</v>
      </c>
      <c r="F261" s="3263">
        <v>0.108</v>
      </c>
      <c r="G261" s="3264">
        <v>0.107</v>
      </c>
    </row>
    <row r="262" spans="1:7">
      <c r="A262" s="3273" t="s">
        <v>305</v>
      </c>
      <c r="B262" s="3262" t="s">
        <v>2963</v>
      </c>
      <c r="C262" s="3263">
        <v>0.1</v>
      </c>
      <c r="D262" s="3263">
        <v>0.1</v>
      </c>
      <c r="E262" s="3263">
        <v>0.1</v>
      </c>
      <c r="F262" s="3263">
        <v>0.14099999999999999</v>
      </c>
      <c r="G262" s="3264">
        <v>0.1</v>
      </c>
    </row>
    <row r="263" spans="1:7">
      <c r="A263" s="3273" t="s">
        <v>305</v>
      </c>
      <c r="B263" s="3262" t="s">
        <v>2970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2981</v>
      </c>
      <c r="C265" s="3274"/>
      <c r="D265" s="3274"/>
      <c r="E265" s="3274"/>
      <c r="F265" s="3263">
        <v>0.05</v>
      </c>
      <c r="G265" s="3280"/>
    </row>
    <row r="266" spans="1:7">
      <c r="A266" s="3273" t="s">
        <v>305</v>
      </c>
      <c r="B266" s="3262" t="s">
        <v>2985</v>
      </c>
      <c r="C266" s="3274"/>
      <c r="D266" s="3274"/>
      <c r="E266" s="3274"/>
      <c r="F266" s="3263">
        <v>0.05</v>
      </c>
      <c r="G266" s="3280"/>
    </row>
    <row r="267" spans="1:7">
      <c r="A267" s="3273" t="s">
        <v>305</v>
      </c>
      <c r="B267" s="3262" t="s">
        <v>2990</v>
      </c>
      <c r="C267" s="3274"/>
      <c r="D267" s="3274"/>
      <c r="E267" s="3274"/>
      <c r="F267" s="3263">
        <v>0.05</v>
      </c>
      <c r="G267" s="3280"/>
    </row>
    <row r="268" spans="1:7">
      <c r="A268" s="3273" t="s">
        <v>305</v>
      </c>
      <c r="B268" s="3262" t="s">
        <v>2995</v>
      </c>
      <c r="C268" s="3274"/>
      <c r="D268" s="3274"/>
      <c r="E268" s="3274"/>
      <c r="F268" s="3263">
        <v>0.05</v>
      </c>
      <c r="G268" s="3280"/>
    </row>
    <row r="269" spans="1:7">
      <c r="A269" s="3273" t="s">
        <v>305</v>
      </c>
      <c r="B269" s="3262" t="s">
        <v>3000</v>
      </c>
      <c r="C269" s="3274"/>
      <c r="D269" s="3274"/>
      <c r="E269" s="3274"/>
      <c r="F269" s="3263">
        <v>0.05</v>
      </c>
      <c r="G269" s="3280"/>
    </row>
    <row r="270" spans="1:7">
      <c r="A270" s="3273" t="s">
        <v>305</v>
      </c>
      <c r="B270" s="3262" t="s">
        <v>3005</v>
      </c>
      <c r="C270" s="3274"/>
      <c r="D270" s="3274"/>
      <c r="E270" s="3274"/>
      <c r="F270" s="3263">
        <v>0.05</v>
      </c>
      <c r="G270" s="3280"/>
    </row>
    <row r="271" spans="1:7">
      <c r="A271" s="3273" t="s">
        <v>305</v>
      </c>
      <c r="B271" s="3262" t="s">
        <v>3209</v>
      </c>
      <c r="C271" s="3274"/>
      <c r="D271" s="3274"/>
      <c r="E271" s="3274"/>
      <c r="F271" s="3263">
        <v>0.05</v>
      </c>
      <c r="G271" s="3280"/>
    </row>
    <row r="272" spans="1:7">
      <c r="A272" s="3273" t="s">
        <v>305</v>
      </c>
      <c r="B272" s="3262" t="s">
        <v>3210</v>
      </c>
      <c r="C272" s="3274"/>
      <c r="D272" s="3274"/>
      <c r="E272" s="3274"/>
      <c r="F272" s="3263">
        <v>0.05</v>
      </c>
      <c r="G272" s="3280"/>
    </row>
    <row r="273" spans="1:7">
      <c r="A273" s="3273" t="s">
        <v>305</v>
      </c>
      <c r="B273" s="3262" t="s">
        <v>3211</v>
      </c>
      <c r="C273" s="3274"/>
      <c r="D273" s="3274"/>
      <c r="E273" s="3274"/>
      <c r="F273" s="3263">
        <v>0.05</v>
      </c>
      <c r="G273" s="3280"/>
    </row>
    <row r="274" spans="1:7">
      <c r="A274" s="3273" t="s">
        <v>305</v>
      </c>
      <c r="B274" s="3262" t="s">
        <v>3212</v>
      </c>
      <c r="C274" s="3274"/>
      <c r="D274" s="3274"/>
      <c r="E274" s="3274"/>
      <c r="F274" s="3263">
        <v>0.05</v>
      </c>
      <c r="G274" s="3280"/>
    </row>
    <row r="275" spans="1:7">
      <c r="A275" s="3273" t="s">
        <v>305</v>
      </c>
      <c r="B275" s="3262" t="s">
        <v>3213</v>
      </c>
      <c r="C275" s="3274"/>
      <c r="D275" s="3274"/>
      <c r="E275" s="3274"/>
      <c r="F275" s="3263">
        <v>0.05</v>
      </c>
      <c r="G275" s="3280"/>
    </row>
    <row r="276" spans="1:7" ht="14.25" thickBot="1">
      <c r="A276" s="3276" t="s">
        <v>305</v>
      </c>
      <c r="B276" s="3266" t="s">
        <v>3214</v>
      </c>
      <c r="C276" s="3268"/>
      <c r="D276" s="3268"/>
      <c r="E276" s="3268"/>
      <c r="F276" s="3267">
        <v>0.05</v>
      </c>
      <c r="G276" s="3281"/>
    </row>
    <row r="277" spans="1:7">
      <c r="A277" s="3272" t="s">
        <v>306</v>
      </c>
      <c r="B277" s="3258" t="s">
        <v>2858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2870</v>
      </c>
      <c r="C279" s="3263">
        <v>0.15</v>
      </c>
      <c r="D279" s="3263">
        <v>0.15</v>
      </c>
      <c r="E279" s="3263">
        <v>0.15</v>
      </c>
      <c r="F279" s="3263">
        <v>0.15</v>
      </c>
      <c r="G279" s="3264">
        <v>0.15</v>
      </c>
    </row>
    <row r="280" spans="1:7">
      <c r="A280" s="3273" t="s">
        <v>306</v>
      </c>
      <c r="B280" s="3262" t="s">
        <v>2874</v>
      </c>
      <c r="C280" s="3263">
        <v>0.15</v>
      </c>
      <c r="D280" s="3263">
        <v>0.15</v>
      </c>
      <c r="E280" s="3263">
        <v>0.15</v>
      </c>
      <c r="F280" s="3263">
        <v>0.15</v>
      </c>
      <c r="G280" s="3264">
        <v>0.15</v>
      </c>
    </row>
    <row r="281" spans="1:7">
      <c r="A281" s="3273" t="s">
        <v>306</v>
      </c>
      <c r="B281" s="3262" t="s">
        <v>2878</v>
      </c>
      <c r="C281" s="3263">
        <v>0.15</v>
      </c>
      <c r="D281" s="3263">
        <v>0.15</v>
      </c>
      <c r="E281" s="3263">
        <v>0.15</v>
      </c>
      <c r="F281" s="3263">
        <v>0.15</v>
      </c>
      <c r="G281" s="3264">
        <v>0.15</v>
      </c>
    </row>
    <row r="282" spans="1:7">
      <c r="A282" s="3273" t="s">
        <v>306</v>
      </c>
      <c r="B282" s="3262" t="s">
        <v>2882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2912</v>
      </c>
      <c r="C293" s="3263">
        <v>0.15</v>
      </c>
      <c r="D293" s="3263">
        <v>0.15</v>
      </c>
      <c r="E293" s="3263">
        <v>0.15</v>
      </c>
      <c r="F293" s="3263">
        <v>0.14499999999999999</v>
      </c>
      <c r="G293" s="3264">
        <v>0.15</v>
      </c>
    </row>
    <row r="294" spans="1:7">
      <c r="A294" s="3273" t="s">
        <v>306</v>
      </c>
      <c r="B294" s="3262" t="s">
        <v>2914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2944</v>
      </c>
      <c r="C302" s="3263">
        <v>0.15</v>
      </c>
      <c r="D302" s="3263">
        <v>0.15</v>
      </c>
      <c r="E302" s="3263">
        <v>0.15</v>
      </c>
      <c r="F302" s="3263">
        <v>0.14699999999999999</v>
      </c>
      <c r="G302" s="3264">
        <v>0.15</v>
      </c>
    </row>
    <row r="303" spans="1:7">
      <c r="A303" s="3273" t="s">
        <v>306</v>
      </c>
      <c r="B303" s="3262" t="s">
        <v>2951</v>
      </c>
      <c r="C303" s="3263">
        <v>0.15</v>
      </c>
      <c r="D303" s="3263">
        <v>0.15</v>
      </c>
      <c r="E303" s="3263">
        <v>0.15</v>
      </c>
      <c r="F303" s="3263">
        <v>0.14199999999999999</v>
      </c>
      <c r="G303" s="3264">
        <v>0.15</v>
      </c>
    </row>
    <row r="304" spans="1:7">
      <c r="A304" s="3273" t="s">
        <v>306</v>
      </c>
      <c r="B304" s="3262" t="s">
        <v>2958</v>
      </c>
      <c r="C304" s="3263">
        <v>0.15</v>
      </c>
      <c r="D304" s="3263">
        <v>0.15</v>
      </c>
      <c r="E304" s="3263">
        <v>0.15</v>
      </c>
      <c r="F304" s="3263">
        <v>0.14499999999999999</v>
      </c>
      <c r="G304" s="3264">
        <v>0.15</v>
      </c>
    </row>
    <row r="305" spans="1:7">
      <c r="A305" s="3273" t="s">
        <v>306</v>
      </c>
      <c r="B305" s="3262" t="s">
        <v>2964</v>
      </c>
      <c r="C305" s="3263">
        <v>0.15</v>
      </c>
      <c r="D305" s="3263">
        <v>0.15</v>
      </c>
      <c r="E305" s="3263">
        <v>0.15</v>
      </c>
      <c r="F305" s="3263">
        <v>0.111</v>
      </c>
      <c r="G305" s="3264">
        <v>0.15</v>
      </c>
    </row>
    <row r="306" spans="1:7">
      <c r="A306" s="3273" t="s">
        <v>306</v>
      </c>
      <c r="B306" s="3262" t="s">
        <v>2971</v>
      </c>
      <c r="C306" s="3263">
        <v>0.15</v>
      </c>
      <c r="D306" s="3263">
        <v>0.15</v>
      </c>
      <c r="E306" s="3263">
        <v>0.15</v>
      </c>
      <c r="F306" s="3263">
        <v>0.126</v>
      </c>
      <c r="G306" s="3264">
        <v>0.15</v>
      </c>
    </row>
    <row r="307" spans="1:7">
      <c r="A307" s="3273" t="s">
        <v>306</v>
      </c>
      <c r="B307" s="3262" t="s">
        <v>2976</v>
      </c>
      <c r="C307" s="3263">
        <v>0.15</v>
      </c>
      <c r="D307" s="3263">
        <v>0.15</v>
      </c>
      <c r="E307" s="3263">
        <v>0.15</v>
      </c>
      <c r="F307" s="3263">
        <v>0.12</v>
      </c>
      <c r="G307" s="3264">
        <v>0.15</v>
      </c>
    </row>
    <row r="308" spans="1:7">
      <c r="A308" s="3273" t="s">
        <v>306</v>
      </c>
      <c r="B308" s="3262" t="s">
        <v>2982</v>
      </c>
      <c r="C308" s="3263">
        <v>0.15</v>
      </c>
      <c r="D308" s="3263">
        <v>0.15</v>
      </c>
      <c r="E308" s="3263">
        <v>0.15</v>
      </c>
      <c r="F308" s="3263">
        <v>0.13</v>
      </c>
      <c r="G308" s="3264">
        <v>0.15</v>
      </c>
    </row>
    <row r="309" spans="1:7">
      <c r="A309" s="3273" t="s">
        <v>306</v>
      </c>
      <c r="B309" s="3262" t="s">
        <v>2986</v>
      </c>
      <c r="C309" s="3263">
        <v>0.15</v>
      </c>
      <c r="D309" s="3263">
        <v>0.15</v>
      </c>
      <c r="E309" s="3263">
        <v>0.15</v>
      </c>
      <c r="F309" s="3263">
        <v>0.14099999999999999</v>
      </c>
      <c r="G309" s="3264">
        <v>0.15</v>
      </c>
    </row>
    <row r="310" spans="1:7">
      <c r="A310" s="3273" t="s">
        <v>306</v>
      </c>
      <c r="B310" s="3262" t="s">
        <v>2991</v>
      </c>
      <c r="C310" s="3263">
        <v>0.15</v>
      </c>
      <c r="D310" s="3263">
        <v>0.15</v>
      </c>
      <c r="E310" s="3263">
        <v>0.15</v>
      </c>
      <c r="F310" s="3263">
        <v>0.15</v>
      </c>
      <c r="G310" s="3264">
        <v>0.15</v>
      </c>
    </row>
    <row r="311" spans="1:7">
      <c r="A311" s="3273" t="s">
        <v>306</v>
      </c>
      <c r="B311" s="3262" t="s">
        <v>2996</v>
      </c>
      <c r="C311" s="3263">
        <v>0.13200000000000001</v>
      </c>
      <c r="D311" s="3263">
        <v>0.13300000000000001</v>
      </c>
      <c r="E311" s="3263">
        <v>0.14499999999999999</v>
      </c>
      <c r="F311" s="3263">
        <v>0.14199999999999999</v>
      </c>
      <c r="G311" s="3264">
        <v>0.14000000000000001</v>
      </c>
    </row>
    <row r="312" spans="1:7">
      <c r="A312" s="3273" t="s">
        <v>306</v>
      </c>
      <c r="B312" s="3262" t="s">
        <v>3001</v>
      </c>
      <c r="C312" s="3263">
        <v>0.13800000000000001</v>
      </c>
      <c r="D312" s="3263">
        <v>0.14000000000000001</v>
      </c>
      <c r="E312" s="3263">
        <v>0.14599999999999999</v>
      </c>
      <c r="F312" s="3263">
        <v>0.14899999999999999</v>
      </c>
      <c r="G312" s="3264">
        <v>0.14199999999999999</v>
      </c>
    </row>
    <row r="313" spans="1:7">
      <c r="A313" s="3273" t="s">
        <v>306</v>
      </c>
      <c r="B313" s="3262" t="s">
        <v>3006</v>
      </c>
      <c r="C313" s="3263">
        <v>0.125</v>
      </c>
      <c r="D313" s="3263">
        <v>0.127</v>
      </c>
      <c r="E313" s="3263">
        <v>0.14399999999999999</v>
      </c>
      <c r="F313" s="3263">
        <v>0.115</v>
      </c>
      <c r="G313" s="3264">
        <v>0.13600000000000001</v>
      </c>
    </row>
    <row r="314" spans="1:7">
      <c r="A314" s="3273" t="s">
        <v>306</v>
      </c>
      <c r="B314" s="3262" t="s">
        <v>3215</v>
      </c>
      <c r="C314" s="3279"/>
      <c r="D314" s="3279"/>
      <c r="E314" s="3279"/>
      <c r="F314" s="3263">
        <v>0.05</v>
      </c>
      <c r="G314" s="3280"/>
    </row>
    <row r="315" spans="1:7">
      <c r="A315" s="3273" t="s">
        <v>306</v>
      </c>
      <c r="B315" s="3262" t="s">
        <v>3216</v>
      </c>
      <c r="C315" s="3279"/>
      <c r="D315" s="3279"/>
      <c r="E315" s="3279"/>
      <c r="F315" s="3263">
        <v>0.05</v>
      </c>
      <c r="G315" s="3280"/>
    </row>
    <row r="316" spans="1:7">
      <c r="A316" s="3273" t="s">
        <v>306</v>
      </c>
      <c r="B316" s="3262" t="s">
        <v>3217</v>
      </c>
      <c r="C316" s="3274"/>
      <c r="D316" s="3274"/>
      <c r="E316" s="3274"/>
      <c r="F316" s="3263">
        <v>0.05</v>
      </c>
      <c r="G316" s="3280"/>
    </row>
    <row r="317" spans="1:7">
      <c r="A317" s="3273" t="s">
        <v>306</v>
      </c>
      <c r="B317" s="3262" t="s">
        <v>3218</v>
      </c>
      <c r="C317" s="3274"/>
      <c r="D317" s="3274"/>
      <c r="E317" s="3274"/>
      <c r="F317" s="3263">
        <v>0.05</v>
      </c>
      <c r="G317" s="3280"/>
    </row>
    <row r="318" spans="1:7">
      <c r="A318" s="3273" t="s">
        <v>306</v>
      </c>
      <c r="B318" s="3262" t="s">
        <v>3219</v>
      </c>
      <c r="C318" s="3274"/>
      <c r="D318" s="3274"/>
      <c r="E318" s="3274"/>
      <c r="F318" s="3263">
        <v>0.05</v>
      </c>
      <c r="G318" s="3280"/>
    </row>
    <row r="319" spans="1:7">
      <c r="A319" s="3273" t="s">
        <v>306</v>
      </c>
      <c r="B319" s="3262" t="s">
        <v>3220</v>
      </c>
      <c r="C319" s="3274"/>
      <c r="D319" s="3274"/>
      <c r="E319" s="3274"/>
      <c r="F319" s="3263">
        <v>0.05</v>
      </c>
      <c r="G319" s="3280"/>
    </row>
    <row r="320" spans="1:7">
      <c r="A320" s="3273" t="s">
        <v>306</v>
      </c>
      <c r="B320" s="3262" t="s">
        <v>3221</v>
      </c>
      <c r="C320" s="3274"/>
      <c r="D320" s="3274"/>
      <c r="E320" s="3274"/>
      <c r="F320" s="3263">
        <v>0.05</v>
      </c>
      <c r="G320" s="3280"/>
    </row>
    <row r="321" spans="1:7">
      <c r="A321" s="3273" t="s">
        <v>306</v>
      </c>
      <c r="B321" s="3262" t="s">
        <v>3222</v>
      </c>
      <c r="C321" s="3274"/>
      <c r="D321" s="3274"/>
      <c r="E321" s="3274"/>
      <c r="F321" s="3263">
        <v>0.05</v>
      </c>
      <c r="G321" s="3280"/>
    </row>
    <row r="322" spans="1:7">
      <c r="A322" s="3273" t="s">
        <v>306</v>
      </c>
      <c r="B322" s="3262" t="s">
        <v>3223</v>
      </c>
      <c r="C322" s="3274"/>
      <c r="D322" s="3274"/>
      <c r="E322" s="3274"/>
      <c r="F322" s="3263">
        <v>0.05</v>
      </c>
      <c r="G322" s="3280"/>
    </row>
    <row r="323" spans="1:7">
      <c r="A323" s="3273" t="s">
        <v>306</v>
      </c>
      <c r="B323" s="3262" t="s">
        <v>3224</v>
      </c>
      <c r="C323" s="3274"/>
      <c r="D323" s="3274"/>
      <c r="E323" s="3274"/>
      <c r="F323" s="3263">
        <v>0.05</v>
      </c>
      <c r="G323" s="3280"/>
    </row>
    <row r="324" spans="1:7">
      <c r="A324" s="3273" t="s">
        <v>306</v>
      </c>
      <c r="B324" s="3262" t="s">
        <v>3225</v>
      </c>
      <c r="C324" s="3274"/>
      <c r="D324" s="3274"/>
      <c r="E324" s="3274"/>
      <c r="F324" s="3263">
        <v>0.05</v>
      </c>
      <c r="G324" s="3280"/>
    </row>
    <row r="325" spans="1:7">
      <c r="A325" s="3273" t="s">
        <v>306</v>
      </c>
      <c r="B325" s="3262" t="s">
        <v>3226</v>
      </c>
      <c r="C325" s="3274"/>
      <c r="D325" s="3274"/>
      <c r="E325" s="3274"/>
      <c r="F325" s="3263">
        <v>0.05</v>
      </c>
      <c r="G325" s="3280"/>
    </row>
    <row r="326" spans="1:7" ht="14.25" thickBot="1">
      <c r="A326" s="3276" t="s">
        <v>306</v>
      </c>
      <c r="B326" s="3266" t="s">
        <v>3227</v>
      </c>
      <c r="C326" s="3268"/>
      <c r="D326" s="3268"/>
      <c r="E326" s="3268"/>
      <c r="F326" s="3267">
        <v>0.05</v>
      </c>
      <c r="G326" s="3281"/>
    </row>
    <row r="327" spans="1:7">
      <c r="A327" s="3272" t="s">
        <v>307</v>
      </c>
      <c r="B327" s="3258" t="s">
        <v>2859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2871</v>
      </c>
      <c r="C329" s="3263">
        <v>0.15</v>
      </c>
      <c r="D329" s="3263">
        <v>0.15</v>
      </c>
      <c r="E329" s="3263">
        <v>0.15</v>
      </c>
      <c r="F329" s="3263">
        <v>0.15</v>
      </c>
      <c r="G329" s="3264">
        <v>0.15</v>
      </c>
    </row>
    <row r="330" spans="1:7">
      <c r="A330" s="3273" t="s">
        <v>307</v>
      </c>
      <c r="B330" s="3262" t="s">
        <v>2875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2883</v>
      </c>
      <c r="C332" s="3263">
        <v>0.15</v>
      </c>
      <c r="D332" s="3263">
        <v>0.15</v>
      </c>
      <c r="E332" s="3263">
        <v>0.15</v>
      </c>
      <c r="F332" s="3263">
        <v>0.15</v>
      </c>
      <c r="G332" s="3264">
        <v>0.15</v>
      </c>
    </row>
    <row r="333" spans="1:7">
      <c r="A333" s="3273" t="s">
        <v>307</v>
      </c>
      <c r="B333" s="3262" t="s">
        <v>2887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2893</v>
      </c>
      <c r="C336" s="3263">
        <v>0.15</v>
      </c>
      <c r="D336" s="3263">
        <v>0.15</v>
      </c>
      <c r="E336" s="3263">
        <v>0.15</v>
      </c>
      <c r="F336" s="3263">
        <v>0.14199999999999999</v>
      </c>
      <c r="G336" s="3264">
        <v>0.15</v>
      </c>
    </row>
    <row r="337" spans="1:7">
      <c r="A337" s="3273" t="s">
        <v>307</v>
      </c>
      <c r="B337" s="3262" t="s">
        <v>2898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2918</v>
      </c>
      <c r="C345" s="3263">
        <v>0.15</v>
      </c>
      <c r="D345" s="3263">
        <v>0.15</v>
      </c>
      <c r="E345" s="3263">
        <v>0.15</v>
      </c>
      <c r="F345" s="3263">
        <v>0.13800000000000001</v>
      </c>
      <c r="G345" s="3264">
        <v>0.15</v>
      </c>
    </row>
    <row r="346" spans="1:7">
      <c r="A346" s="3273" t="s">
        <v>307</v>
      </c>
      <c r="B346" s="3262" t="s">
        <v>2920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2927</v>
      </c>
      <c r="C348" s="3263">
        <v>0.15</v>
      </c>
      <c r="D348" s="3263">
        <v>0.15</v>
      </c>
      <c r="E348" s="3263">
        <v>0.15</v>
      </c>
      <c r="F348" s="3263">
        <v>0.14399999999999999</v>
      </c>
      <c r="G348" s="3264">
        <v>0.15</v>
      </c>
    </row>
    <row r="349" spans="1:7">
      <c r="A349" s="3273" t="s">
        <v>307</v>
      </c>
      <c r="B349" s="3262" t="s">
        <v>2932</v>
      </c>
      <c r="C349" s="3263">
        <v>0.15</v>
      </c>
      <c r="D349" s="3263">
        <v>0.15</v>
      </c>
      <c r="E349" s="3263">
        <v>0.15</v>
      </c>
      <c r="F349" s="3263">
        <v>0.15</v>
      </c>
      <c r="G349" s="3264">
        <v>0.15</v>
      </c>
    </row>
    <row r="350" spans="1:7">
      <c r="A350" s="3273" t="s">
        <v>307</v>
      </c>
      <c r="B350" s="3262" t="s">
        <v>2935</v>
      </c>
      <c r="C350" s="3263">
        <v>0.15</v>
      </c>
      <c r="D350" s="3263">
        <v>0.15</v>
      </c>
      <c r="E350" s="3263">
        <v>0.15</v>
      </c>
      <c r="F350" s="3263">
        <v>0.14699999999999999</v>
      </c>
      <c r="G350" s="3264">
        <v>0.15</v>
      </c>
    </row>
    <row r="351" spans="1:7">
      <c r="A351" s="3273" t="s">
        <v>307</v>
      </c>
      <c r="B351" s="3262" t="s">
        <v>2940</v>
      </c>
      <c r="C351" s="3263">
        <v>0.15</v>
      </c>
      <c r="D351" s="3263">
        <v>0.15</v>
      </c>
      <c r="E351" s="3263">
        <v>0.15</v>
      </c>
      <c r="F351" s="3263">
        <v>0.13</v>
      </c>
      <c r="G351" s="3264">
        <v>0.15</v>
      </c>
    </row>
    <row r="352" spans="1:7">
      <c r="A352" s="3273" t="s">
        <v>307</v>
      </c>
      <c r="B352" s="3262" t="s">
        <v>2945</v>
      </c>
      <c r="C352" s="3263">
        <v>0.15</v>
      </c>
      <c r="D352" s="3263">
        <v>0.15</v>
      </c>
      <c r="E352" s="3263">
        <v>0.15</v>
      </c>
      <c r="F352" s="3263">
        <v>0.14599999999999999</v>
      </c>
      <c r="G352" s="3264">
        <v>0.15</v>
      </c>
    </row>
    <row r="353" spans="1:7">
      <c r="A353" s="3273" t="s">
        <v>307</v>
      </c>
      <c r="B353" s="3262" t="s">
        <v>2952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2965</v>
      </c>
      <c r="C355" s="3263">
        <v>0.15</v>
      </c>
      <c r="D355" s="3263">
        <v>0.15</v>
      </c>
      <c r="E355" s="3263">
        <v>0.15</v>
      </c>
      <c r="F355" s="3263">
        <v>0.15</v>
      </c>
      <c r="G355" s="3264">
        <v>0.15</v>
      </c>
    </row>
    <row r="356" spans="1:7">
      <c r="A356" s="3273" t="s">
        <v>307</v>
      </c>
      <c r="B356" s="3262" t="s">
        <v>2972</v>
      </c>
      <c r="C356" s="3263">
        <v>0.15</v>
      </c>
      <c r="D356" s="3263">
        <v>0.15</v>
      </c>
      <c r="E356" s="3263">
        <v>0.15</v>
      </c>
      <c r="F356" s="3263">
        <v>0.15</v>
      </c>
      <c r="G356" s="3264">
        <v>0.15</v>
      </c>
    </row>
    <row r="357" spans="1:7" ht="14.25" thickBot="1">
      <c r="A357" s="3276" t="s">
        <v>307</v>
      </c>
      <c r="B357" s="3266" t="s">
        <v>2977</v>
      </c>
      <c r="C357" s="3267">
        <v>0.126</v>
      </c>
      <c r="D357" s="3267">
        <v>0.127</v>
      </c>
      <c r="E357" s="3267">
        <v>0.14299999999999999</v>
      </c>
      <c r="F357" s="3267">
        <v>0.125</v>
      </c>
      <c r="G357" s="3269">
        <v>0.129</v>
      </c>
    </row>
    <row r="358" spans="1:7">
      <c r="A358" s="3272" t="s">
        <v>2846</v>
      </c>
      <c r="B358" s="3258" t="s">
        <v>2860</v>
      </c>
      <c r="C358" s="3259">
        <v>0.15</v>
      </c>
      <c r="D358" s="3259">
        <v>0.15</v>
      </c>
      <c r="E358" s="3259">
        <v>0.15</v>
      </c>
      <c r="F358" s="3259">
        <v>0.15</v>
      </c>
      <c r="G358" s="3260">
        <v>0.15</v>
      </c>
    </row>
    <row r="359" spans="1:7">
      <c r="A359" s="3273" t="s">
        <v>2846</v>
      </c>
      <c r="B359" s="3262" t="s">
        <v>2866</v>
      </c>
      <c r="C359" s="3263">
        <v>0.1</v>
      </c>
      <c r="D359" s="3263">
        <v>0.1</v>
      </c>
      <c r="E359" s="3263">
        <v>0.1</v>
      </c>
      <c r="F359" s="3263">
        <v>0.1</v>
      </c>
      <c r="G359" s="3264">
        <v>0.1</v>
      </c>
    </row>
    <row r="360" spans="1:7">
      <c r="A360" s="3273" t="s">
        <v>2846</v>
      </c>
      <c r="B360" s="3262" t="s">
        <v>2872</v>
      </c>
      <c r="C360" s="3263">
        <v>0.15</v>
      </c>
      <c r="D360" s="3263">
        <v>0.15</v>
      </c>
      <c r="E360" s="3263">
        <v>0.15</v>
      </c>
      <c r="F360" s="3263">
        <v>0.14899999999999999</v>
      </c>
      <c r="G360" s="3264">
        <v>0.15</v>
      </c>
    </row>
    <row r="361" spans="1:7">
      <c r="A361" s="3273" t="s">
        <v>2846</v>
      </c>
      <c r="B361" s="3262" t="s">
        <v>153</v>
      </c>
      <c r="C361" s="3263">
        <v>0.15</v>
      </c>
      <c r="D361" s="3263">
        <v>0.15</v>
      </c>
      <c r="E361" s="3263">
        <v>0.15</v>
      </c>
      <c r="F361" s="3263">
        <v>0.115</v>
      </c>
      <c r="G361" s="3264">
        <v>0.15</v>
      </c>
    </row>
    <row r="362" spans="1:7">
      <c r="A362" s="3273" t="s">
        <v>2846</v>
      </c>
      <c r="B362" s="3262" t="s">
        <v>2879</v>
      </c>
      <c r="C362" s="3263">
        <v>0.15</v>
      </c>
      <c r="D362" s="3263">
        <v>0.15</v>
      </c>
      <c r="E362" s="3263">
        <v>0.15</v>
      </c>
      <c r="F362" s="3263">
        <v>0.106</v>
      </c>
      <c r="G362" s="3264">
        <v>0.15</v>
      </c>
    </row>
    <row r="363" spans="1:7">
      <c r="A363" s="3273" t="s">
        <v>2846</v>
      </c>
      <c r="B363" s="3262" t="s">
        <v>2884</v>
      </c>
      <c r="C363" s="3263">
        <v>0.15</v>
      </c>
      <c r="D363" s="3263">
        <v>0.15</v>
      </c>
      <c r="E363" s="3263">
        <v>0.15</v>
      </c>
      <c r="F363" s="3263">
        <v>0.14699999999999999</v>
      </c>
      <c r="G363" s="3264">
        <v>0.15</v>
      </c>
    </row>
    <row r="364" spans="1:7">
      <c r="A364" s="3273" t="s">
        <v>2846</v>
      </c>
      <c r="B364" s="3262" t="s">
        <v>2888</v>
      </c>
      <c r="C364" s="3263">
        <v>0.15</v>
      </c>
      <c r="D364" s="3263">
        <v>0.15</v>
      </c>
      <c r="E364" s="3263">
        <v>0.15</v>
      </c>
      <c r="F364" s="3263">
        <v>0.14799999999999999</v>
      </c>
      <c r="G364" s="3264">
        <v>0.15</v>
      </c>
    </row>
    <row r="365" spans="1:7">
      <c r="A365" s="3273" t="s">
        <v>2846</v>
      </c>
      <c r="B365" s="3262" t="s">
        <v>200</v>
      </c>
      <c r="C365" s="3263">
        <v>0.15</v>
      </c>
      <c r="D365" s="3263">
        <v>0.15</v>
      </c>
      <c r="E365" s="3263">
        <v>0.15</v>
      </c>
      <c r="F365" s="3263">
        <v>0.15</v>
      </c>
      <c r="G365" s="3264">
        <v>0.15</v>
      </c>
    </row>
    <row r="366" spans="1:7">
      <c r="A366" s="3273" t="s">
        <v>2846</v>
      </c>
      <c r="B366" s="3262" t="s">
        <v>2891</v>
      </c>
      <c r="C366" s="3263">
        <v>0.15</v>
      </c>
      <c r="D366" s="3263">
        <v>0.15</v>
      </c>
      <c r="E366" s="3263">
        <v>0.15</v>
      </c>
      <c r="F366" s="3263">
        <v>0.15</v>
      </c>
      <c r="G366" s="3264">
        <v>0.15</v>
      </c>
    </row>
    <row r="367" spans="1:7">
      <c r="A367" s="3273" t="s">
        <v>2846</v>
      </c>
      <c r="B367" s="3262" t="s">
        <v>2894</v>
      </c>
      <c r="C367" s="3263">
        <v>0.15</v>
      </c>
      <c r="D367" s="3263">
        <v>0.15</v>
      </c>
      <c r="E367" s="3263">
        <v>0.15</v>
      </c>
      <c r="F367" s="3263">
        <v>0.14699999999999999</v>
      </c>
      <c r="G367" s="3264">
        <v>0.15</v>
      </c>
    </row>
    <row r="368" spans="1:7">
      <c r="A368" s="3273" t="s">
        <v>2846</v>
      </c>
      <c r="B368" s="3262" t="s">
        <v>2899</v>
      </c>
      <c r="C368" s="3263">
        <v>0.15</v>
      </c>
      <c r="D368" s="3263">
        <v>0.15</v>
      </c>
      <c r="E368" s="3263">
        <v>0.15</v>
      </c>
      <c r="F368" s="3263">
        <v>0.13600000000000001</v>
      </c>
      <c r="G368" s="3264">
        <v>0.15</v>
      </c>
    </row>
    <row r="369" spans="1:7">
      <c r="A369" s="3273" t="s">
        <v>2846</v>
      </c>
      <c r="B369" s="3262" t="s">
        <v>214</v>
      </c>
      <c r="C369" s="3263">
        <v>0.15</v>
      </c>
      <c r="D369" s="3263">
        <v>0.15</v>
      </c>
      <c r="E369" s="3263">
        <v>0.15</v>
      </c>
      <c r="F369" s="3263">
        <v>0.14399999999999999</v>
      </c>
      <c r="G369" s="3264">
        <v>0.15</v>
      </c>
    </row>
    <row r="370" spans="1:7">
      <c r="A370" s="3273" t="s">
        <v>2846</v>
      </c>
      <c r="B370" s="3262" t="s">
        <v>221</v>
      </c>
      <c r="C370" s="3263">
        <v>0.15</v>
      </c>
      <c r="D370" s="3263">
        <v>0.15</v>
      </c>
      <c r="E370" s="3263">
        <v>0.15</v>
      </c>
      <c r="F370" s="3263">
        <v>0.14599999999999999</v>
      </c>
      <c r="G370" s="3264">
        <v>0.15</v>
      </c>
    </row>
    <row r="371" spans="1:7">
      <c r="A371" s="3273" t="s">
        <v>2846</v>
      </c>
      <c r="B371" s="3262" t="s">
        <v>229</v>
      </c>
      <c r="C371" s="3263">
        <v>0.15</v>
      </c>
      <c r="D371" s="3263">
        <v>0.15</v>
      </c>
      <c r="E371" s="3263">
        <v>0.15</v>
      </c>
      <c r="F371" s="3263">
        <v>0.12</v>
      </c>
      <c r="G371" s="3264">
        <v>0.15</v>
      </c>
    </row>
    <row r="372" spans="1:7">
      <c r="A372" s="3273" t="s">
        <v>2846</v>
      </c>
      <c r="B372" s="3262" t="s">
        <v>2907</v>
      </c>
      <c r="C372" s="3263">
        <v>0.15</v>
      </c>
      <c r="D372" s="3263">
        <v>0.15</v>
      </c>
      <c r="E372" s="3263">
        <v>0.15</v>
      </c>
      <c r="F372" s="3263">
        <v>0.14299999999999999</v>
      </c>
      <c r="G372" s="3264">
        <v>0.15</v>
      </c>
    </row>
    <row r="373" spans="1:7">
      <c r="A373" s="3273" t="s">
        <v>2846</v>
      </c>
      <c r="B373" s="3262" t="s">
        <v>258</v>
      </c>
      <c r="C373" s="3263">
        <v>0.15</v>
      </c>
      <c r="D373" s="3263">
        <v>0.15</v>
      </c>
      <c r="E373" s="3263">
        <v>0.15</v>
      </c>
      <c r="F373" s="3263">
        <v>0.14599999999999999</v>
      </c>
      <c r="G373" s="3264">
        <v>0.15</v>
      </c>
    </row>
    <row r="374" spans="1:7">
      <c r="A374" s="3273" t="s">
        <v>2846</v>
      </c>
      <c r="B374" s="3262" t="s">
        <v>266</v>
      </c>
      <c r="C374" s="3263">
        <v>0.15</v>
      </c>
      <c r="D374" s="3263">
        <v>0.15</v>
      </c>
      <c r="E374" s="3263">
        <v>0.15</v>
      </c>
      <c r="F374" s="3263">
        <v>0.14399999999999999</v>
      </c>
      <c r="G374" s="3264">
        <v>0.15</v>
      </c>
    </row>
    <row r="375" spans="1:7">
      <c r="A375" s="3273" t="s">
        <v>2846</v>
      </c>
      <c r="B375" s="3262" t="s">
        <v>2915</v>
      </c>
      <c r="C375" s="3263">
        <v>0.15</v>
      </c>
      <c r="D375" s="3263">
        <v>0.15</v>
      </c>
      <c r="E375" s="3263">
        <v>0.15</v>
      </c>
      <c r="F375" s="3263">
        <v>0.13</v>
      </c>
      <c r="G375" s="3264">
        <v>0.15</v>
      </c>
    </row>
    <row r="376" spans="1:7">
      <c r="A376" s="3273" t="s">
        <v>2846</v>
      </c>
      <c r="B376" s="3262" t="s">
        <v>277</v>
      </c>
      <c r="C376" s="3263">
        <v>0.15</v>
      </c>
      <c r="D376" s="3263">
        <v>0.15</v>
      </c>
      <c r="E376" s="3263">
        <v>0.15</v>
      </c>
      <c r="F376" s="3263">
        <v>0.14199999999999999</v>
      </c>
      <c r="G376" s="3264">
        <v>0.15</v>
      </c>
    </row>
    <row r="377" spans="1:7" ht="14.25" thickBot="1">
      <c r="A377" s="3276" t="s">
        <v>2846</v>
      </c>
      <c r="B377" s="3266" t="s">
        <v>2921</v>
      </c>
      <c r="C377" s="3267">
        <v>0.15</v>
      </c>
      <c r="D377" s="3267">
        <v>0.15</v>
      </c>
      <c r="E377" s="3267">
        <v>0.15</v>
      </c>
      <c r="F377" s="3267">
        <v>0.14000000000000001</v>
      </c>
      <c r="G377" s="3269">
        <v>0.15</v>
      </c>
    </row>
    <row r="378" spans="1:7">
      <c r="A378" s="3272" t="s">
        <v>2847</v>
      </c>
      <c r="B378" s="3258" t="s">
        <v>2861</v>
      </c>
      <c r="C378" s="3259">
        <v>0.15</v>
      </c>
      <c r="D378" s="3259">
        <v>0.15</v>
      </c>
      <c r="E378" s="3259">
        <v>0.15</v>
      </c>
      <c r="F378" s="3259">
        <v>0.107</v>
      </c>
      <c r="G378" s="3260">
        <v>0.15</v>
      </c>
    </row>
    <row r="379" spans="1:7">
      <c r="A379" s="3273" t="s">
        <v>2847</v>
      </c>
      <c r="B379" s="3262" t="s">
        <v>2867</v>
      </c>
      <c r="C379" s="3263">
        <v>0.15</v>
      </c>
      <c r="D379" s="3263">
        <v>0.15</v>
      </c>
      <c r="E379" s="3263">
        <v>0.15</v>
      </c>
      <c r="F379" s="3263">
        <v>0.115</v>
      </c>
      <c r="G379" s="3264">
        <v>0.14899999999999999</v>
      </c>
    </row>
    <row r="380" spans="1:7">
      <c r="A380" s="3273" t="s">
        <v>2847</v>
      </c>
      <c r="B380" s="3262" t="s">
        <v>2873</v>
      </c>
      <c r="C380" s="3263">
        <v>0.15</v>
      </c>
      <c r="D380" s="3263">
        <v>0.15</v>
      </c>
      <c r="E380" s="3263">
        <v>0.15</v>
      </c>
      <c r="F380" s="3263">
        <v>0.1</v>
      </c>
      <c r="G380" s="3264">
        <v>0.14799999999999999</v>
      </c>
    </row>
    <row r="381" spans="1:7">
      <c r="A381" s="3273" t="s">
        <v>2847</v>
      </c>
      <c r="B381" s="3262" t="s">
        <v>2876</v>
      </c>
      <c r="C381" s="3263">
        <v>0.15</v>
      </c>
      <c r="D381" s="3263">
        <v>0.15</v>
      </c>
      <c r="E381" s="3263">
        <v>0.15</v>
      </c>
      <c r="F381" s="3263">
        <v>0.126</v>
      </c>
      <c r="G381" s="3264">
        <v>0.15</v>
      </c>
    </row>
    <row r="382" spans="1:7">
      <c r="A382" s="3273" t="s">
        <v>2847</v>
      </c>
      <c r="B382" s="3262" t="s">
        <v>2880</v>
      </c>
      <c r="C382" s="3263">
        <v>0.15</v>
      </c>
      <c r="D382" s="3263">
        <v>0.15</v>
      </c>
      <c r="E382" s="3263">
        <v>0.15</v>
      </c>
      <c r="F382" s="3263">
        <v>0.15</v>
      </c>
      <c r="G382" s="3264">
        <v>0.15</v>
      </c>
    </row>
    <row r="383" spans="1:7">
      <c r="A383" s="3273" t="s">
        <v>2847</v>
      </c>
      <c r="B383" s="3262" t="s">
        <v>2885</v>
      </c>
      <c r="C383" s="3263">
        <v>0.15</v>
      </c>
      <c r="D383" s="3263">
        <v>0.15</v>
      </c>
      <c r="E383" s="3263">
        <v>0.15</v>
      </c>
      <c r="F383" s="3263">
        <v>0.14699999999999999</v>
      </c>
      <c r="G383" s="3264">
        <v>0.15</v>
      </c>
    </row>
    <row r="384" spans="1:7" ht="14.25" thickBot="1">
      <c r="A384" s="3283" t="s">
        <v>2847</v>
      </c>
      <c r="B384" s="3284" t="s">
        <v>2889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4" t="s">
        <v>3228</v>
      </c>
      <c r="B1" s="3784"/>
      <c r="C1" s="3784"/>
      <c r="D1" s="3784"/>
      <c r="E1" s="3784"/>
      <c r="F1" s="3785"/>
    </row>
    <row r="2" spans="1:6">
      <c r="A2" s="3289" t="s">
        <v>3229</v>
      </c>
      <c r="B2" s="3290"/>
      <c r="C2" s="3290"/>
      <c r="D2" s="3290"/>
      <c r="E2" s="3290"/>
      <c r="F2" s="3290"/>
    </row>
    <row r="3" spans="1:6">
      <c r="A3" s="3289" t="s">
        <v>3230</v>
      </c>
      <c r="B3" s="3290"/>
      <c r="C3" s="3290"/>
      <c r="D3" s="3290"/>
      <c r="E3" s="3290"/>
      <c r="F3" s="3291" t="s">
        <v>3231</v>
      </c>
    </row>
    <row r="4" spans="1:6">
      <c r="A4" s="3292" t="s">
        <v>672</v>
      </c>
      <c r="B4" s="3292" t="s">
        <v>673</v>
      </c>
      <c r="C4" s="3292" t="s">
        <v>21</v>
      </c>
      <c r="D4" s="3292" t="s">
        <v>674</v>
      </c>
      <c r="E4" s="3292" t="s">
        <v>3</v>
      </c>
      <c r="F4" s="3292" t="s">
        <v>3232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45743</v>
      </c>
      <c r="B1" s="3208" t="s">
        <v>3376</v>
      </c>
      <c r="C1" s="3209"/>
      <c r="D1" s="3209"/>
      <c r="E1" s="3209"/>
      <c r="F1" s="3209"/>
      <c r="G1" s="3209"/>
      <c r="H1" s="3209"/>
      <c r="I1" s="3209"/>
      <c r="J1" s="3163"/>
      <c r="K1" s="3209" t="s">
        <v>454</v>
      </c>
      <c r="L1" s="3209"/>
      <c r="M1" s="3209"/>
      <c r="N1" s="3209"/>
      <c r="O1" s="3209"/>
      <c r="P1" s="3209"/>
      <c r="Q1" s="3163"/>
      <c r="R1" s="3786" t="s">
        <v>456</v>
      </c>
      <c r="S1" s="3787"/>
      <c r="T1" s="3787"/>
      <c r="U1" s="3787"/>
      <c r="V1" s="3787"/>
      <c r="W1" s="3787"/>
      <c r="X1" s="3163"/>
      <c r="Y1" s="3786" t="s">
        <v>457</v>
      </c>
      <c r="Z1" s="3787"/>
      <c r="AA1" s="3787"/>
      <c r="AB1" s="3787"/>
      <c r="AC1" s="3787"/>
      <c r="AD1" s="3787"/>
    </row>
    <row r="2" spans="1:30" s="3141" customFormat="1" ht="14.25" thickBot="1">
      <c r="B2" s="3142"/>
      <c r="C2" s="3143"/>
      <c r="D2" s="3144" t="s">
        <v>2806</v>
      </c>
      <c r="E2" s="3145" t="s">
        <v>2807</v>
      </c>
      <c r="F2" s="3145" t="s">
        <v>2808</v>
      </c>
      <c r="G2" s="3145" t="s">
        <v>2809</v>
      </c>
      <c r="H2" s="3145" t="s">
        <v>2810</v>
      </c>
      <c r="I2" s="3145" t="s">
        <v>2627</v>
      </c>
      <c r="J2" s="3146"/>
      <c r="K2" s="3144" t="s">
        <v>2806</v>
      </c>
      <c r="L2" s="3145" t="s">
        <v>2807</v>
      </c>
      <c r="M2" s="3145" t="s">
        <v>2808</v>
      </c>
      <c r="N2" s="3145" t="s">
        <v>2809</v>
      </c>
      <c r="O2" s="3145" t="s">
        <v>2811</v>
      </c>
      <c r="P2" s="3145" t="s">
        <v>2627</v>
      </c>
      <c r="Q2" s="3146"/>
      <c r="R2" s="3144" t="s">
        <v>2806</v>
      </c>
      <c r="S2" s="3145" t="s">
        <v>2807</v>
      </c>
      <c r="T2" s="3145" t="s">
        <v>2808</v>
      </c>
      <c r="U2" s="3145" t="s">
        <v>2812</v>
      </c>
      <c r="V2" s="3145" t="s">
        <v>2813</v>
      </c>
      <c r="W2" s="3145" t="s">
        <v>2627</v>
      </c>
      <c r="X2" s="3146"/>
      <c r="Y2" s="3144" t="s">
        <v>2806</v>
      </c>
      <c r="Z2" s="3145" t="s">
        <v>2807</v>
      </c>
      <c r="AA2" s="3145" t="s">
        <v>2808</v>
      </c>
      <c r="AB2" s="3145" t="s">
        <v>2814</v>
      </c>
      <c r="AC2" s="3145" t="s">
        <v>2813</v>
      </c>
      <c r="AD2" s="3145" t="s">
        <v>2627</v>
      </c>
    </row>
    <row r="3" spans="1:30" s="3159" customFormat="1" ht="12.75">
      <c r="A3" s="3147" t="s">
        <v>2815</v>
      </c>
      <c r="B3" s="3148"/>
      <c r="C3" s="3149"/>
      <c r="D3" s="3149">
        <f>ROUND(AVERAGEIF(D4:D21,"&lt;&gt;0"),2)</f>
        <v>0.38</v>
      </c>
      <c r="E3" s="3149">
        <f t="shared" ref="E3:H3" si="0">ROUND(AVERAGEIF(E4:E21,"&lt;&gt;0"),2)</f>
        <v>0.26</v>
      </c>
      <c r="F3" s="3149">
        <f t="shared" si="0"/>
        <v>-0.01</v>
      </c>
      <c r="G3" s="3149">
        <f t="shared" si="0"/>
        <v>0.41</v>
      </c>
      <c r="H3" s="3149">
        <f t="shared" si="0"/>
        <v>0.52</v>
      </c>
      <c r="I3" s="3149">
        <f>F3</f>
        <v>-0.01</v>
      </c>
      <c r="J3" s="3150"/>
      <c r="K3" s="3151">
        <f>ROUND(AVERAGEIF(K4:K21,"&lt;&gt;0"),4)</f>
        <v>3.8E-3</v>
      </c>
      <c r="L3" s="3152">
        <f t="shared" ref="L3:O3" si="1">ROUND(AVERAGEIF(L4:L21,"&lt;&gt;0"),4)</f>
        <v>2.5999999999999999E-3</v>
      </c>
      <c r="M3" s="3152">
        <f t="shared" si="1"/>
        <v>-1E-4</v>
      </c>
      <c r="N3" s="3152">
        <f t="shared" si="1"/>
        <v>4.1000000000000003E-3</v>
      </c>
      <c r="O3" s="3152">
        <f t="shared" si="1"/>
        <v>5.1999999999999998E-3</v>
      </c>
      <c r="P3" s="3152">
        <f>M3</f>
        <v>-1E-4</v>
      </c>
      <c r="Q3" s="3150"/>
      <c r="R3" s="3153">
        <f>ROUND(SUMPRODUCT(PRODUCT(1+K4:K21)),4)</f>
        <v>1.0613999999999999</v>
      </c>
      <c r="S3" s="3154">
        <f t="shared" ref="S3:V3" si="2">ROUND(SUMPRODUCT(PRODUCT(1+L4:L21)),4)</f>
        <v>1.0415000000000001</v>
      </c>
      <c r="T3" s="3154">
        <f t="shared" si="2"/>
        <v>0.99780000000000002</v>
      </c>
      <c r="U3" s="3154">
        <f t="shared" si="2"/>
        <v>1.0678000000000001</v>
      </c>
      <c r="V3" s="3154">
        <f t="shared" si="2"/>
        <v>1.0866</v>
      </c>
      <c r="W3" s="3153">
        <f>T3</f>
        <v>0.99780000000000002</v>
      </c>
      <c r="X3" s="3150"/>
      <c r="Y3" s="3155">
        <f>ROUND(AVERAGEIF(Y8:Y21,"&lt;&gt;0"),4)</f>
        <v>8.3999999999999995E-3</v>
      </c>
      <c r="Z3" s="3156">
        <f t="shared" ref="Z3:AC3" si="3">ROUND(AVERAGEIF(Z8:Z21,"&lt;&gt;0"),4)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3372</v>
      </c>
      <c r="B5" s="3175">
        <v>2025</v>
      </c>
      <c r="C5" s="3176">
        <v>1</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ROUND(IF(项目基本情况!$B$8="出让",SUMPRODUCT(PRODUCT(1+K5:$K$21)),SUMPRODUCT(PRODUCT(1+K5:$K$20))),4)</f>
        <v>1.0511999999999999</v>
      </c>
      <c r="S5" s="3181">
        <f>ROUND(IF(项目基本情况!$B$8="出让",SUMPRODUCT(PRODUCT(1+L5:$L$21)),SUMPRODUCT(PRODUCT(1+L5:$L$20))),4)</f>
        <v>1.0398000000000001</v>
      </c>
      <c r="T5" s="3181">
        <f>ROUND(IF(项目基本情况!$B$8="出让",SUMPRODUCT(PRODUCT(1+M5:$M$21)),SUMPRODUCT(PRODUCT(1+M5:$M$20))),4)</f>
        <v>1.0003</v>
      </c>
      <c r="U5" s="3181">
        <f>ROUND(IF(项目基本情况!$B$8="出让",SUMPRODUCT(PRODUCT(1+N5:$N$21)),SUMPRODUCT(PRODUCT(1+N5:$N$20))),4)</f>
        <v>1.0561</v>
      </c>
      <c r="V5" s="3181">
        <f>ROUND(IF(项目基本情况!$B$8="出让",SUMPRODUCT(PRODUCT(1+O5:$O$21)),SUMPRODUCT(PRODUCT(1+O5:$O$20))),4)</f>
        <v>1.0827</v>
      </c>
      <c r="W5" s="3181">
        <f>T5</f>
        <v>1.0003</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4</v>
      </c>
      <c r="D6" s="3187">
        <v>-1.02</v>
      </c>
      <c r="E6" s="3187">
        <v>-0.48</v>
      </c>
      <c r="F6" s="3187">
        <v>-0.75</v>
      </c>
      <c r="G6" s="3187">
        <v>-1.05</v>
      </c>
      <c r="H6" s="3188">
        <v>0.08</v>
      </c>
      <c r="I6" s="3189">
        <f t="shared" ref="I6" si="15">F6</f>
        <v>-0.75</v>
      </c>
      <c r="J6" s="3190"/>
      <c r="K6" s="3191">
        <f t="shared" ref="K6" si="16">D6/100</f>
        <v>-1.0200000000000001E-2</v>
      </c>
      <c r="L6" s="3192">
        <f t="shared" ref="L6" si="17">E6/100</f>
        <v>-4.7999999999999996E-3</v>
      </c>
      <c r="M6" s="3192">
        <f t="shared" ref="M6" si="18">F6/100</f>
        <v>-7.4999999999999997E-3</v>
      </c>
      <c r="N6" s="3192">
        <f t="shared" ref="N6" si="19">G6/100</f>
        <v>-1.0500000000000001E-2</v>
      </c>
      <c r="O6" s="3192">
        <f t="shared" ref="O6" si="20">H6/100</f>
        <v>8.0000000000000004E-4</v>
      </c>
      <c r="P6" s="3192">
        <f>M6</f>
        <v>-7.4999999999999997E-3</v>
      </c>
      <c r="Q6" s="3190"/>
      <c r="R6" s="3190">
        <f>ROUND(IF(项目基本情况!$B$8="出让",SUMPRODUCT(PRODUCT(1+K6:$K$21)),SUMPRODUCT(PRODUCT(1+K6:$K$20))),4)</f>
        <v>1.0511999999999999</v>
      </c>
      <c r="S6" s="3190">
        <f>ROUND(IF(项目基本情况!$B$8="出让",SUMPRODUCT(PRODUCT(1+L6:$L$21)),SUMPRODUCT(PRODUCT(1+L6:$L$20))),4)</f>
        <v>1.0398000000000001</v>
      </c>
      <c r="T6" s="3190">
        <f>ROUND(IF(项目基本情况!$B$8="出让",SUMPRODUCT(PRODUCT(1+M6:$M$21)),SUMPRODUCT(PRODUCT(1+M6:$M$20))),4)</f>
        <v>1.0003</v>
      </c>
      <c r="U6" s="3190">
        <f>ROUND(IF(项目基本情况!$B$8="出让",SUMPRODUCT(PRODUCT(1+N6:$N$21)),SUMPRODUCT(PRODUCT(1+N6:$N$20))),4)</f>
        <v>1.0561</v>
      </c>
      <c r="V6" s="3190">
        <f>ROUND(IF(项目基本情况!$B$8="出让",SUMPRODUCT(PRODUCT(1+O6:$O$21)),SUMPRODUCT(PRODUCT(1+O6:$O$20))),4)</f>
        <v>1.0827</v>
      </c>
      <c r="W6" s="3190">
        <f>T6</f>
        <v>1.0003</v>
      </c>
      <c r="X6" s="3190"/>
      <c r="Y6" s="3192">
        <f>IF(D6=0,0,ROUND(AVERAGE(D6:D19)/100,4))</f>
        <v>2.8999999999999998E-3</v>
      </c>
      <c r="Z6" s="3192">
        <f t="shared" ref="Z6" si="21">IF(E6=0,0,ROUND(AVERAGE(E6:E19)/100,4))</f>
        <v>2.3E-3</v>
      </c>
      <c r="AA6" s="3192">
        <f t="shared" ref="AA6" si="22">IF(F6=0,0,ROUND(AVERAGE(F6:F19)/100,4))</f>
        <v>-2.9999999999999997E-4</v>
      </c>
      <c r="AB6" s="3192">
        <f t="shared" ref="AB6" si="23">IF(G6=0,0,ROUND(AVERAGE(G6:G19)/100,4))</f>
        <v>3.3E-3</v>
      </c>
      <c r="AC6" s="3192">
        <f t="shared" ref="AC6" si="24">IF(H6=0,0,ROUND(AVERAGE(H6:H19)/100,4))</f>
        <v>5.0000000000000001E-3</v>
      </c>
      <c r="AD6" s="3192">
        <f t="shared" ref="AD6" si="25">AA6</f>
        <v>-2.9999999999999997E-4</v>
      </c>
    </row>
    <row r="7" spans="1:30" s="3183" customFormat="1" ht="12.75">
      <c r="A7" s="2205" t="s">
        <v>3380</v>
      </c>
      <c r="B7" s="3175">
        <v>2024</v>
      </c>
      <c r="C7" s="3176">
        <v>3</v>
      </c>
      <c r="D7" s="3177">
        <v>-1.19</v>
      </c>
      <c r="E7" s="3177">
        <v>-0.47</v>
      </c>
      <c r="F7" s="3177">
        <v>-0.28999999999999998</v>
      </c>
      <c r="G7" s="3177">
        <v>-0.74</v>
      </c>
      <c r="H7" s="3177">
        <v>-0.21</v>
      </c>
      <c r="I7" s="3178">
        <f t="shared" ref="I7" si="26">F7</f>
        <v>-0.28999999999999998</v>
      </c>
      <c r="J7" s="3179"/>
      <c r="K7" s="3180">
        <f t="shared" ref="K7" si="27">D7/100</f>
        <v>-1.1899999999999999E-2</v>
      </c>
      <c r="L7" s="3170">
        <f t="shared" ref="L7" si="28">E7/100</f>
        <v>-4.6999999999999993E-3</v>
      </c>
      <c r="M7" s="3170">
        <f t="shared" ref="M7" si="29">F7/100</f>
        <v>-2.8999999999999998E-3</v>
      </c>
      <c r="N7" s="3170">
        <f t="shared" ref="N7" si="30">G7/100</f>
        <v>-7.4000000000000003E-3</v>
      </c>
      <c r="O7" s="3170">
        <f t="shared" ref="O7" si="31">H7/100</f>
        <v>-2.0999999999999999E-3</v>
      </c>
      <c r="P7" s="3170">
        <f>M7</f>
        <v>-2.8999999999999998E-3</v>
      </c>
      <c r="Q7" s="3179"/>
      <c r="R7" s="3181">
        <f>ROUND(IF(项目基本情况!$B$8="出让",SUMPRODUCT(PRODUCT(1+K7:$K$21)),SUMPRODUCT(PRODUCT(1+K7:$K$20))),4)</f>
        <v>1.0620000000000001</v>
      </c>
      <c r="S7" s="3181">
        <f>ROUND(IF(项目基本情况!$B$8="出让",SUMPRODUCT(PRODUCT(1+L7:$L$21)),SUMPRODUCT(PRODUCT(1+L7:$L$20))),4)</f>
        <v>1.0448</v>
      </c>
      <c r="T7" s="3181">
        <f>ROUND(IF(项目基本情况!$B$8="出让",SUMPRODUCT(PRODUCT(1+M7:$M$21)),SUMPRODUCT(PRODUCT(1+M7:$M$20))),4)</f>
        <v>1.0079</v>
      </c>
      <c r="U7" s="3181">
        <f>ROUND(IF(项目基本情况!$B$8="出让",SUMPRODUCT(PRODUCT(1+N7:$N$21)),SUMPRODUCT(PRODUCT(1+N7:$N$20))),4)</f>
        <v>1.0672999999999999</v>
      </c>
      <c r="V7" s="3181">
        <f>ROUND(IF(项目基本情况!$B$8="出让",SUMPRODUCT(PRODUCT(1+O7:$O$21)),SUMPRODUCT(PRODUCT(1+O7:$O$20))),4)</f>
        <v>1.0818000000000001</v>
      </c>
      <c r="W7" s="3181">
        <f>T7</f>
        <v>1.0079</v>
      </c>
      <c r="X7" s="3179"/>
      <c r="Y7" s="3182">
        <f>IF(D7=0,0,ROUND(AVERAGE(D7:D20)/100,4))</f>
        <v>4.3E-3</v>
      </c>
      <c r="Z7" s="3182">
        <f t="shared" ref="Z7" si="32">IF(E7=0,0,ROUND(AVERAGE(E7:E20)/100,4))</f>
        <v>3.0999999999999999E-3</v>
      </c>
      <c r="AA7" s="3182">
        <f t="shared" ref="AA7" si="33">IF(F7=0,0,ROUND(AVERAGE(F7:F20)/100,4))</f>
        <v>5.9999999999999995E-4</v>
      </c>
      <c r="AB7" s="3182">
        <f t="shared" ref="AB7" si="34">IF(G7=0,0,ROUND(AVERAGE(G7:G20)/100,4))</f>
        <v>4.7000000000000002E-3</v>
      </c>
      <c r="AC7" s="3182">
        <f t="shared" ref="AC7" si="35">IF(H7=0,0,ROUND(AVERAGE(H7:H20)/100,4))</f>
        <v>5.5999999999999999E-3</v>
      </c>
      <c r="AD7" s="3182">
        <f t="shared" ref="AD7" si="36">AA7</f>
        <v>5.9999999999999995E-4</v>
      </c>
    </row>
    <row r="8" spans="1:30" s="3183" customFormat="1" ht="12.75">
      <c r="A8" s="3174" t="s">
        <v>3373</v>
      </c>
      <c r="B8" s="3175">
        <v>2024</v>
      </c>
      <c r="C8" s="3176">
        <v>2</v>
      </c>
      <c r="D8" s="3177">
        <v>-0.59</v>
      </c>
      <c r="E8" s="3177">
        <v>-0.21</v>
      </c>
      <c r="F8" s="3177">
        <v>-1.38</v>
      </c>
      <c r="G8" s="3177">
        <v>-1.24</v>
      </c>
      <c r="H8" s="3194">
        <v>0.34</v>
      </c>
      <c r="I8" s="3178">
        <f t="shared" ref="I8:I21" si="37">F8</f>
        <v>-1.38</v>
      </c>
      <c r="J8" s="3179"/>
      <c r="K8" s="3180">
        <f t="shared" ref="K8:O21" si="38">D8/100</f>
        <v>-5.8999999999999999E-3</v>
      </c>
      <c r="L8" s="3170">
        <f t="shared" si="38"/>
        <v>-2.0999999999999999E-3</v>
      </c>
      <c r="M8" s="3170">
        <f t="shared" si="38"/>
        <v>-1.38E-2</v>
      </c>
      <c r="N8" s="3170">
        <f t="shared" si="38"/>
        <v>-1.24E-2</v>
      </c>
      <c r="O8" s="3170">
        <f t="shared" si="38"/>
        <v>3.4000000000000002E-3</v>
      </c>
      <c r="P8" s="3170">
        <f>M8</f>
        <v>-1.38E-2</v>
      </c>
      <c r="Q8" s="3179"/>
      <c r="R8" s="3181">
        <f>ROUND(IF(项目基本情况!$B$8="出让",SUMPRODUCT(PRODUCT(1+K8:$K$21)),SUMPRODUCT(PRODUCT(1+K8:$K$20))),4)</f>
        <v>1.0748</v>
      </c>
      <c r="S8" s="3181">
        <f>ROUND(IF(项目基本情况!$B$8="出让",SUMPRODUCT(PRODUCT(1+L8:$L$21)),SUMPRODUCT(PRODUCT(1+L8:$L$20))),4)</f>
        <v>1.0498000000000001</v>
      </c>
      <c r="T8" s="3181">
        <f>ROUND(IF(项目基本情况!$B$8="出让",SUMPRODUCT(PRODUCT(1+M8:$M$21)),SUMPRODUCT(PRODUCT(1+M8:$M$20))),4)</f>
        <v>1.0107999999999999</v>
      </c>
      <c r="U8" s="3181">
        <f>ROUND(IF(项目基本情况!$B$8="出让",SUMPRODUCT(PRODUCT(1+N8:$N$21)),SUMPRODUCT(PRODUCT(1+N8:$N$20))),4)</f>
        <v>1.0752999999999999</v>
      </c>
      <c r="V8" s="3181">
        <f>ROUND(IF(项目基本情况!$B$8="出让",SUMPRODUCT(PRODUCT(1+O8:$O$21)),SUMPRODUCT(PRODUCT(1+O8:$O$20))),4)</f>
        <v>1.0841000000000001</v>
      </c>
      <c r="W8" s="3181">
        <f>T8</f>
        <v>1.0107999999999999</v>
      </c>
      <c r="X8" s="3179"/>
      <c r="Y8" s="3182">
        <f>IF(D8=0,0,ROUND(AVERAGE(D8:D21)/100,4))</f>
        <v>5.8999999999999999E-3</v>
      </c>
      <c r="Z8" s="3182">
        <f t="shared" ref="Z8:AC8" si="39">IF(E8=0,0,ROUND(AVERAGE(E8:E21)/100,4))</f>
        <v>3.5999999999999999E-3</v>
      </c>
      <c r="AA8" s="3182">
        <f t="shared" si="39"/>
        <v>5.9999999999999995E-4</v>
      </c>
      <c r="AB8" s="3182">
        <f t="shared" si="39"/>
        <v>6.0000000000000001E-3</v>
      </c>
      <c r="AC8" s="3182">
        <f t="shared" si="39"/>
        <v>6.0000000000000001E-3</v>
      </c>
      <c r="AD8" s="3182">
        <f t="shared" ref="AD8:AD20" si="40">AA8</f>
        <v>5.9999999999999995E-4</v>
      </c>
    </row>
    <row r="9" spans="1:30" s="3183" customFormat="1" ht="12.75">
      <c r="A9" s="3174" t="s">
        <v>3371</v>
      </c>
      <c r="B9" s="3175">
        <v>2024</v>
      </c>
      <c r="C9" s="3176">
        <v>1</v>
      </c>
      <c r="D9" s="3177">
        <v>0.08</v>
      </c>
      <c r="E9" s="3177">
        <v>0.46</v>
      </c>
      <c r="F9" s="3177">
        <v>-0.16</v>
      </c>
      <c r="G9" s="3177">
        <v>0.26</v>
      </c>
      <c r="H9" s="3194">
        <v>0.59</v>
      </c>
      <c r="I9" s="3178">
        <v>0</v>
      </c>
      <c r="J9" s="3179"/>
      <c r="K9" s="3180">
        <f t="shared" ref="K9" si="41">D9/100</f>
        <v>8.0000000000000004E-4</v>
      </c>
      <c r="L9" s="3170">
        <f t="shared" ref="L9" si="42">E9/100</f>
        <v>4.5999999999999999E-3</v>
      </c>
      <c r="M9" s="3170">
        <f t="shared" ref="M9" si="43">F9/100</f>
        <v>-1.6000000000000001E-3</v>
      </c>
      <c r="N9" s="3170">
        <f t="shared" ref="N9" si="44">G9/100</f>
        <v>2.5999999999999999E-3</v>
      </c>
      <c r="O9" s="3170">
        <f t="shared" ref="O9" si="45">H9/100</f>
        <v>5.8999999999999999E-3</v>
      </c>
      <c r="P9" s="3170">
        <f t="shared" ref="P9" si="46">M9</f>
        <v>-1.6000000000000001E-3</v>
      </c>
      <c r="Q9" s="3179"/>
      <c r="R9" s="3181">
        <f>ROUND(IF(项目基本情况!$B$8="出让",SUMPRODUCT(PRODUCT(1+K9:$K$21)),SUMPRODUCT(PRODUCT(1+K9:$K$20))),4)</f>
        <v>1.0811999999999999</v>
      </c>
      <c r="S9" s="3181">
        <f>ROUND(IF(项目基本情况!$B$8="出让",SUMPRODUCT(PRODUCT(1+L9:$L$21)),SUMPRODUCT(PRODUCT(1+L9:$L$20))),4)</f>
        <v>1.052</v>
      </c>
      <c r="T9" s="3181">
        <f>ROUND(IF(项目基本情况!$B$8="出让",SUMPRODUCT(PRODUCT(1+M9:$M$21)),SUMPRODUCT(PRODUCT(1+M9:$M$20))),4)</f>
        <v>1.0249999999999999</v>
      </c>
      <c r="U9" s="3181">
        <f>ROUND(IF(项目基本情况!$B$8="出让",SUMPRODUCT(PRODUCT(1+N9:$N$21)),SUMPRODUCT(PRODUCT(1+N9:$N$20))),4)</f>
        <v>1.0888</v>
      </c>
      <c r="V9" s="3181">
        <f>ROUND(IF(项目基本情况!$B$8="出让",SUMPRODUCT(PRODUCT(1+O9:$O$21)),SUMPRODUCT(PRODUCT(1+O9:$O$20))),4)</f>
        <v>1.0804</v>
      </c>
      <c r="W9" s="3181">
        <f t="shared" ref="W9" si="47">T9</f>
        <v>1.0249999999999999</v>
      </c>
      <c r="X9" s="3179"/>
      <c r="Y9" s="3182"/>
      <c r="Z9" s="3182"/>
      <c r="AA9" s="3182"/>
      <c r="AB9" s="3182"/>
      <c r="AC9" s="3182"/>
      <c r="AD9" s="3182"/>
    </row>
    <row r="10" spans="1:30" s="3183" customFormat="1" ht="12.75">
      <c r="A10" s="3174" t="s">
        <v>3367</v>
      </c>
      <c r="B10" s="3175">
        <v>2023</v>
      </c>
      <c r="C10" s="3176">
        <v>4</v>
      </c>
      <c r="D10" s="3177">
        <v>0.19</v>
      </c>
      <c r="E10" s="3177">
        <v>0.24</v>
      </c>
      <c r="F10" s="3177">
        <v>-0.16</v>
      </c>
      <c r="G10" s="3177">
        <v>0.17</v>
      </c>
      <c r="H10" s="3194">
        <v>0.61</v>
      </c>
      <c r="I10" s="3178">
        <f>F10</f>
        <v>-0.16</v>
      </c>
      <c r="J10" s="3179"/>
      <c r="K10" s="3180">
        <f t="shared" si="38"/>
        <v>1.9E-3</v>
      </c>
      <c r="L10" s="3170">
        <f t="shared" si="38"/>
        <v>2.3999999999999998E-3</v>
      </c>
      <c r="M10" s="3170">
        <f t="shared" si="38"/>
        <v>-1.6000000000000001E-3</v>
      </c>
      <c r="N10" s="3170">
        <f t="shared" si="38"/>
        <v>1.7000000000000001E-3</v>
      </c>
      <c r="O10" s="3170">
        <f t="shared" si="38"/>
        <v>6.0999999999999995E-3</v>
      </c>
      <c r="P10" s="3170">
        <f t="shared" ref="P10" si="48">M10</f>
        <v>-1.6000000000000001E-3</v>
      </c>
      <c r="Q10" s="3179"/>
      <c r="R10" s="3181">
        <f>ROUND(IF(项目基本情况!$B$8="出让",SUMPRODUCT(PRODUCT(1+K10:$K$21)),SUMPRODUCT(PRODUCT(1+K10:$K$20))),4)</f>
        <v>1.0804</v>
      </c>
      <c r="S10" s="3181">
        <f>ROUND(IF(项目基本情况!$B$8="出让",SUMPRODUCT(PRODUCT(1+L10:$L$21)),SUMPRODUCT(PRODUCT(1+L10:$L$20))),4)</f>
        <v>1.0471999999999999</v>
      </c>
      <c r="T10" s="3181">
        <f>ROUND(IF(项目基本情况!$B$8="出让",SUMPRODUCT(PRODUCT(1+M10:$M$21)),SUMPRODUCT(PRODUCT(1+M10:$M$20))),4)</f>
        <v>1.0266</v>
      </c>
      <c r="U10" s="3181">
        <f>ROUND(IF(项目基本情况!$B$8="出让",SUMPRODUCT(PRODUCT(1+N10:$N$21)),SUMPRODUCT(PRODUCT(1+N10:$N$20))),4)</f>
        <v>1.0859000000000001</v>
      </c>
      <c r="V10" s="3181">
        <f>ROUND(IF(项目基本情况!$B$8="出让",SUMPRODUCT(PRODUCT(1+O10:$O$21)),SUMPRODUCT(PRODUCT(1+O10:$O$20))),4)</f>
        <v>1.0741000000000001</v>
      </c>
      <c r="W10" s="3181">
        <f t="shared" ref="W10" si="49">T10</f>
        <v>1.0266</v>
      </c>
      <c r="X10" s="3179"/>
      <c r="Y10" s="3182"/>
      <c r="Z10" s="3182"/>
      <c r="AA10" s="3182"/>
      <c r="AB10" s="3182"/>
      <c r="AC10" s="3182"/>
      <c r="AD10" s="3182"/>
    </row>
    <row r="11" spans="1:30" s="3183" customFormat="1" ht="12.75">
      <c r="A11" s="3174" t="s">
        <v>3366</v>
      </c>
      <c r="B11" s="3175">
        <v>2023</v>
      </c>
      <c r="C11" s="3176">
        <v>3</v>
      </c>
      <c r="D11" s="3177">
        <v>0.25</v>
      </c>
      <c r="E11" s="3177">
        <v>0.5</v>
      </c>
      <c r="F11" s="3177">
        <v>0.31</v>
      </c>
      <c r="G11" s="3177">
        <v>0.21</v>
      </c>
      <c r="H11" s="3194">
        <v>0.43</v>
      </c>
      <c r="I11" s="3178">
        <f t="shared" si="37"/>
        <v>0.31</v>
      </c>
      <c r="J11" s="3179"/>
      <c r="K11" s="3180">
        <f t="shared" ref="K11:K13" si="50">D11/100</f>
        <v>2.5000000000000001E-3</v>
      </c>
      <c r="L11" s="3170">
        <f t="shared" ref="L11:L13" si="51">E11/100</f>
        <v>5.0000000000000001E-3</v>
      </c>
      <c r="M11" s="3170">
        <f t="shared" ref="M11:M13" si="52">F11/100</f>
        <v>3.0999999999999999E-3</v>
      </c>
      <c r="N11" s="3170">
        <f t="shared" ref="N11:N13" si="53">G11/100</f>
        <v>2.0999999999999999E-3</v>
      </c>
      <c r="O11" s="3170">
        <f t="shared" ref="O11:O13" si="54">H11/100</f>
        <v>4.3E-3</v>
      </c>
      <c r="P11" s="3170">
        <f t="shared" ref="P11:P13" si="55">M11</f>
        <v>3.0999999999999999E-3</v>
      </c>
      <c r="Q11" s="3179"/>
      <c r="R11" s="3181">
        <f>ROUND(IF(项目基本情况!$B$8="出让",SUMPRODUCT(PRODUCT(1+K11:$K$21)),SUMPRODUCT(PRODUCT(1+K11:$K$20))),4)</f>
        <v>1.0783</v>
      </c>
      <c r="S11" s="3181">
        <f>ROUND(IF(项目基本情况!$B$8="出让",SUMPRODUCT(PRODUCT(1+L11:$L$21)),SUMPRODUCT(PRODUCT(1+L11:$L$20))),4)</f>
        <v>1.0447</v>
      </c>
      <c r="T11" s="3181">
        <f>ROUND(IF(项目基本情况!$B$8="出让",SUMPRODUCT(PRODUCT(1+M11:$M$21)),SUMPRODUCT(PRODUCT(1+M11:$M$20))),4)</f>
        <v>1.0282</v>
      </c>
      <c r="U11" s="3181">
        <f>ROUND(IF(项目基本情况!$B$8="出让",SUMPRODUCT(PRODUCT(1+N11:$N$21)),SUMPRODUCT(PRODUCT(1+N11:$N$20))),4)</f>
        <v>1.0841000000000001</v>
      </c>
      <c r="V11" s="3181">
        <f>ROUND(IF(项目基本情况!$B$8="出让",SUMPRODUCT(PRODUCT(1+O11:$O$21)),SUMPRODUCT(PRODUCT(1+O11:$O$20))),4)</f>
        <v>1.0674999999999999</v>
      </c>
      <c r="W11" s="3181">
        <f t="shared" ref="W11:W12" si="56">T11</f>
        <v>1.0282</v>
      </c>
      <c r="X11" s="3179"/>
      <c r="Y11" s="3182"/>
      <c r="Z11" s="3182"/>
      <c r="AA11" s="3182"/>
      <c r="AB11" s="3182"/>
      <c r="AC11" s="3182"/>
      <c r="AD11" s="3182"/>
    </row>
    <row r="12" spans="1:30" s="3183" customFormat="1" ht="12.75">
      <c r="A12" s="3174" t="s">
        <v>3364</v>
      </c>
      <c r="B12" s="3175">
        <v>2023</v>
      </c>
      <c r="C12" s="3176">
        <v>2</v>
      </c>
      <c r="D12" s="3177">
        <v>0.91</v>
      </c>
      <c r="E12" s="3177">
        <v>0.66</v>
      </c>
      <c r="F12" s="3177">
        <v>0.47</v>
      </c>
      <c r="G12" s="3177">
        <v>0.96</v>
      </c>
      <c r="H12" s="3194">
        <v>0.71</v>
      </c>
      <c r="I12" s="3178">
        <f t="shared" si="37"/>
        <v>0.47</v>
      </c>
      <c r="J12" s="3179"/>
      <c r="K12" s="3180">
        <f t="shared" si="50"/>
        <v>9.1000000000000004E-3</v>
      </c>
      <c r="L12" s="3170">
        <f t="shared" si="51"/>
        <v>6.6E-3</v>
      </c>
      <c r="M12" s="3170">
        <f t="shared" si="52"/>
        <v>4.6999999999999993E-3</v>
      </c>
      <c r="N12" s="3170">
        <f t="shared" si="53"/>
        <v>9.5999999999999992E-3</v>
      </c>
      <c r="O12" s="3170">
        <f t="shared" si="54"/>
        <v>7.0999999999999995E-3</v>
      </c>
      <c r="P12" s="3170">
        <f t="shared" si="55"/>
        <v>4.6999999999999993E-3</v>
      </c>
      <c r="Q12" s="3179"/>
      <c r="R12" s="3181">
        <f>ROUND(IF(项目基本情况!$B$8="出让",SUMPRODUCT(PRODUCT(1+K12:$K$21)),SUMPRODUCT(PRODUCT(1+K12:$K$20))),4)</f>
        <v>1.0755999999999999</v>
      </c>
      <c r="S12" s="3181">
        <f>ROUND(IF(项目基本情况!$B$8="出让",SUMPRODUCT(PRODUCT(1+L12:$L$21)),SUMPRODUCT(PRODUCT(1+L12:$L$20))),4)</f>
        <v>1.0395000000000001</v>
      </c>
      <c r="T12" s="3181">
        <f>ROUND(IF(项目基本情况!$B$8="出让",SUMPRODUCT(PRODUCT(1+M12:$M$21)),SUMPRODUCT(PRODUCT(1+M12:$M$20))),4)</f>
        <v>1.0250999999999999</v>
      </c>
      <c r="U12" s="3181">
        <f>ROUND(IF(项目基本情况!$B$8="出让",SUMPRODUCT(PRODUCT(1+N12:$N$21)),SUMPRODUCT(PRODUCT(1+N12:$N$20))),4)</f>
        <v>1.0818000000000001</v>
      </c>
      <c r="V12" s="3181">
        <f>ROUND(IF(项目基本情况!$B$8="出让",SUMPRODUCT(PRODUCT(1+O12:$O$21)),SUMPRODUCT(PRODUCT(1+O12:$O$20))),4)</f>
        <v>1.0629999999999999</v>
      </c>
      <c r="W12" s="3181">
        <f t="shared" si="56"/>
        <v>1.0250999999999999</v>
      </c>
      <c r="X12" s="3179"/>
      <c r="Y12" s="3182"/>
      <c r="Z12" s="3182"/>
      <c r="AA12" s="3182"/>
      <c r="AB12" s="3182"/>
      <c r="AC12" s="3182"/>
      <c r="AD12" s="3182"/>
    </row>
    <row r="13" spans="1:30" s="3183" customFormat="1" ht="12.75">
      <c r="A13" s="3174" t="s">
        <v>3363</v>
      </c>
      <c r="B13" s="3175">
        <v>2023</v>
      </c>
      <c r="C13" s="3176">
        <v>1</v>
      </c>
      <c r="D13" s="3177">
        <v>0.89</v>
      </c>
      <c r="E13" s="3177">
        <v>0.74</v>
      </c>
      <c r="F13" s="3177">
        <v>0.56999999999999995</v>
      </c>
      <c r="G13" s="3177">
        <v>0.92</v>
      </c>
      <c r="H13" s="3194">
        <v>0.5</v>
      </c>
      <c r="I13" s="3178">
        <f t="shared" si="37"/>
        <v>0.56999999999999995</v>
      </c>
      <c r="J13" s="3179"/>
      <c r="K13" s="3180">
        <f t="shared" si="50"/>
        <v>8.8999999999999999E-3</v>
      </c>
      <c r="L13" s="3170">
        <f t="shared" si="51"/>
        <v>7.4000000000000003E-3</v>
      </c>
      <c r="M13" s="3170">
        <f t="shared" si="52"/>
        <v>5.6999999999999993E-3</v>
      </c>
      <c r="N13" s="3170">
        <f t="shared" si="53"/>
        <v>9.1999999999999998E-3</v>
      </c>
      <c r="O13" s="3170">
        <f t="shared" si="54"/>
        <v>5.0000000000000001E-3</v>
      </c>
      <c r="P13" s="3170">
        <f t="shared" si="55"/>
        <v>5.6999999999999993E-3</v>
      </c>
      <c r="Q13" s="3179"/>
      <c r="R13" s="3181">
        <f>ROUND(IF(项目基本情况!$B$8="出让",SUMPRODUCT(PRODUCT(1+K13:$K$21)),SUMPRODUCT(PRODUCT(1+K13:$K$20))),4)</f>
        <v>1.0659000000000001</v>
      </c>
      <c r="S13" s="3181">
        <f>ROUND(IF(项目基本情况!$B$8="出让",SUMPRODUCT(PRODUCT(1+L13:$L$21)),SUMPRODUCT(PRODUCT(1+L13:$L$20))),4)</f>
        <v>1.0326</v>
      </c>
      <c r="T13" s="3181">
        <f>ROUND(IF(项目基本情况!$B$8="出让",SUMPRODUCT(PRODUCT(1+M13:$M$21)),SUMPRODUCT(PRODUCT(1+M13:$M$20))),4)</f>
        <v>1.0203</v>
      </c>
      <c r="U13" s="3181">
        <f>ROUND(IF(项目基本情况!$B$8="出让",SUMPRODUCT(PRODUCT(1+N13:$N$21)),SUMPRODUCT(PRODUCT(1+N13:$N$20))),4)</f>
        <v>1.0714999999999999</v>
      </c>
      <c r="V13" s="3181">
        <f>ROUND(IF(项目基本情况!$B$8="出让",SUMPRODUCT(PRODUCT(1+O13:$O$21)),SUMPRODUCT(PRODUCT(1+O13:$O$20))),4)</f>
        <v>1.0555000000000001</v>
      </c>
      <c r="W13" s="3181">
        <f t="shared" ref="W13:W20" si="57">T13</f>
        <v>1.0203</v>
      </c>
      <c r="X13" s="3179"/>
      <c r="Y13" s="3182"/>
      <c r="Z13" s="3182"/>
      <c r="AA13" s="3182"/>
      <c r="AB13" s="3182"/>
      <c r="AC13" s="3182"/>
      <c r="AD13" s="3182"/>
    </row>
    <row r="14" spans="1:30" s="3183" customFormat="1" ht="12.75">
      <c r="A14" s="3174" t="s">
        <v>3362</v>
      </c>
      <c r="B14" s="3175">
        <v>2022</v>
      </c>
      <c r="C14" s="3176">
        <v>4</v>
      </c>
      <c r="D14" s="3177">
        <v>0.62</v>
      </c>
      <c r="E14" s="3177">
        <v>0.2</v>
      </c>
      <c r="F14" s="3177">
        <v>0.11</v>
      </c>
      <c r="G14" s="3177">
        <v>0.69</v>
      </c>
      <c r="H14" s="3194">
        <v>0.53</v>
      </c>
      <c r="I14" s="3178">
        <f t="shared" si="37"/>
        <v>0.11</v>
      </c>
      <c r="J14" s="3179"/>
      <c r="K14" s="3180">
        <f t="shared" si="38"/>
        <v>6.1999999999999998E-3</v>
      </c>
      <c r="L14" s="3170">
        <f t="shared" si="38"/>
        <v>2E-3</v>
      </c>
      <c r="M14" s="3170">
        <f t="shared" si="38"/>
        <v>1.1000000000000001E-3</v>
      </c>
      <c r="N14" s="3170">
        <f t="shared" si="38"/>
        <v>6.8999999999999999E-3</v>
      </c>
      <c r="O14" s="3170">
        <f t="shared" si="38"/>
        <v>5.3E-3</v>
      </c>
      <c r="P14" s="3170">
        <f t="shared" ref="P14:P21" si="58">M14</f>
        <v>1.1000000000000001E-3</v>
      </c>
      <c r="Q14" s="3179"/>
      <c r="R14" s="3181">
        <f>ROUND(IF(项目基本情况!$B$8="出让",SUMPRODUCT(PRODUCT(1+K14:$K$21)),SUMPRODUCT(PRODUCT(1+K14:$K$20))),4)</f>
        <v>1.0565</v>
      </c>
      <c r="S14" s="3181">
        <f>ROUND(IF(项目基本情况!$B$8="出让",SUMPRODUCT(PRODUCT(1+L14:$L$21)),SUMPRODUCT(PRODUCT(1+L14:$L$20))),4)</f>
        <v>1.0250999999999999</v>
      </c>
      <c r="T14" s="3181">
        <f>ROUND(IF(项目基本情况!$B$8="出让",SUMPRODUCT(PRODUCT(1+M14:$M$21)),SUMPRODUCT(PRODUCT(1+M14:$M$20))),4)</f>
        <v>1.0145</v>
      </c>
      <c r="U14" s="3181">
        <f>ROUND(IF(项目基本情况!$B$8="出让",SUMPRODUCT(PRODUCT(1+N14:$N$21)),SUMPRODUCT(PRODUCT(1+N14:$N$20))),4)</f>
        <v>1.0618000000000001</v>
      </c>
      <c r="V14" s="3181">
        <f>ROUND(IF(项目基本情况!$B$8="出让",SUMPRODUCT(PRODUCT(1+O14:$O$21)),SUMPRODUCT(PRODUCT(1+O14:$O$20))),4)</f>
        <v>1.0502</v>
      </c>
      <c r="W14" s="3181">
        <f t="shared" si="57"/>
        <v>1.0145</v>
      </c>
      <c r="X14" s="3179"/>
      <c r="Y14" s="3182">
        <f>IF(D14=0,0,ROUND(AVERAGE(D14:D22)/100,4))</f>
        <v>8.0999999999999996E-3</v>
      </c>
      <c r="Z14" s="3182">
        <f t="shared" ref="Z14:AC14" si="59">IF(E14=0,0,ROUND(AVERAGE(E14:E21)/100,4))</f>
        <v>3.3E-3</v>
      </c>
      <c r="AA14" s="3182">
        <f t="shared" si="59"/>
        <v>1.5E-3</v>
      </c>
      <c r="AB14" s="3182">
        <f t="shared" si="59"/>
        <v>8.8999999999999999E-3</v>
      </c>
      <c r="AC14" s="3182">
        <f t="shared" si="59"/>
        <v>6.6E-3</v>
      </c>
      <c r="AD14" s="3182">
        <f t="shared" si="40"/>
        <v>1.5E-3</v>
      </c>
    </row>
    <row r="15" spans="1:30" s="3183" customFormat="1" ht="12.75">
      <c r="A15" s="3174" t="s">
        <v>3360</v>
      </c>
      <c r="B15" s="3175">
        <v>2022</v>
      </c>
      <c r="C15" s="3176">
        <v>3</v>
      </c>
      <c r="D15" s="3177">
        <v>0.66</v>
      </c>
      <c r="E15" s="3177">
        <v>0.32</v>
      </c>
      <c r="F15" s="3177">
        <v>0.23</v>
      </c>
      <c r="G15" s="3177">
        <v>0.72</v>
      </c>
      <c r="H15" s="3194">
        <v>0.63</v>
      </c>
      <c r="I15" s="3178">
        <f t="shared" si="37"/>
        <v>0.23</v>
      </c>
      <c r="J15" s="3179"/>
      <c r="K15" s="3180">
        <f t="shared" si="38"/>
        <v>6.6E-3</v>
      </c>
      <c r="L15" s="3170">
        <f t="shared" si="38"/>
        <v>3.2000000000000002E-3</v>
      </c>
      <c r="M15" s="3170">
        <f t="shared" si="38"/>
        <v>2.3E-3</v>
      </c>
      <c r="N15" s="3170">
        <f t="shared" si="38"/>
        <v>7.1999999999999998E-3</v>
      </c>
      <c r="O15" s="3170">
        <f t="shared" si="38"/>
        <v>6.3E-3</v>
      </c>
      <c r="P15" s="3170">
        <f t="shared" si="58"/>
        <v>2.3E-3</v>
      </c>
      <c r="Q15" s="3179"/>
      <c r="R15" s="3181">
        <f>ROUND(IF(项目基本情况!$B$8="出让",SUMPRODUCT(PRODUCT(1+K15:$K$21)),SUMPRODUCT(PRODUCT(1+K15:$K$20))),4)</f>
        <v>1.05</v>
      </c>
      <c r="S15" s="3181">
        <f>ROUND(IF(项目基本情况!$B$8="出让",SUMPRODUCT(PRODUCT(1+L15:$L$21)),SUMPRODUCT(PRODUCT(1+L15:$L$20))),4)</f>
        <v>1.0229999999999999</v>
      </c>
      <c r="T15" s="3181">
        <f>ROUND(IF(项目基本情况!$B$8="出让",SUMPRODUCT(PRODUCT(1+M15:$M$21)),SUMPRODUCT(PRODUCT(1+M15:$M$20))),4)</f>
        <v>1.0134000000000001</v>
      </c>
      <c r="U15" s="3181">
        <f>ROUND(IF(项目基本情况!$B$8="出让",SUMPRODUCT(PRODUCT(1+N15:$N$21)),SUMPRODUCT(PRODUCT(1+N15:$N$20))),4)</f>
        <v>1.0545</v>
      </c>
      <c r="V15" s="3181">
        <f>ROUND(IF(项目基本情况!$B$8="出让",SUMPRODUCT(PRODUCT(1+O15:$O$21)),SUMPRODUCT(PRODUCT(1+O15:$O$20))),4)</f>
        <v>1.0447</v>
      </c>
      <c r="W15" s="3181">
        <f t="shared" si="57"/>
        <v>1.0134000000000001</v>
      </c>
      <c r="X15" s="3179"/>
      <c r="Y15" s="3182">
        <f>IF(D15=0,0,ROUND(AVERAGE(D15:D21)/100,4))</f>
        <v>8.3999999999999995E-3</v>
      </c>
      <c r="Z15" s="3182">
        <f t="shared" ref="Z15:AC15" si="60">IF(E15=0,0,ROUND(AVERAGE(E15:E21)/100,4))</f>
        <v>3.5000000000000001E-3</v>
      </c>
      <c r="AA15" s="3182">
        <f t="shared" si="60"/>
        <v>1.5E-3</v>
      </c>
      <c r="AB15" s="3182">
        <f t="shared" si="60"/>
        <v>9.1999999999999998E-3</v>
      </c>
      <c r="AC15" s="3182">
        <f t="shared" si="60"/>
        <v>6.7999999999999996E-3</v>
      </c>
      <c r="AD15" s="3182">
        <f t="shared" si="40"/>
        <v>1.5E-3</v>
      </c>
    </row>
    <row r="16" spans="1:30" s="3183" customFormat="1" ht="12.75">
      <c r="A16" s="3174" t="s">
        <v>3351</v>
      </c>
      <c r="B16" s="3175">
        <v>2022</v>
      </c>
      <c r="C16" s="3176">
        <v>2</v>
      </c>
      <c r="D16" s="3177">
        <v>0.93</v>
      </c>
      <c r="E16" s="3177">
        <v>0.15</v>
      </c>
      <c r="F16" s="3177">
        <v>0.01</v>
      </c>
      <c r="G16" s="3177">
        <v>1.05</v>
      </c>
      <c r="H16" s="3194">
        <v>1.08</v>
      </c>
      <c r="I16" s="3178">
        <f t="shared" si="37"/>
        <v>0.01</v>
      </c>
      <c r="J16" s="3179"/>
      <c r="K16" s="3180">
        <f t="shared" si="38"/>
        <v>9.300000000000001E-3</v>
      </c>
      <c r="L16" s="3170">
        <f t="shared" si="38"/>
        <v>1.5E-3</v>
      </c>
      <c r="M16" s="3170">
        <f t="shared" si="38"/>
        <v>1E-4</v>
      </c>
      <c r="N16" s="3170">
        <f t="shared" si="38"/>
        <v>1.0500000000000001E-2</v>
      </c>
      <c r="O16" s="3170">
        <f t="shared" si="38"/>
        <v>1.0800000000000001E-2</v>
      </c>
      <c r="P16" s="3170">
        <f t="shared" si="58"/>
        <v>1E-4</v>
      </c>
      <c r="Q16" s="3179"/>
      <c r="R16" s="3181">
        <f>ROUND(IF(项目基本情况!$B$8="出让",SUMPRODUCT(PRODUCT(1+K16:$K$21)),SUMPRODUCT(PRODUCT(1+K16:$K$20))),4)</f>
        <v>1.0430999999999999</v>
      </c>
      <c r="S16" s="3181">
        <f>ROUND(IF(项目基本情况!$B$8="出让",SUMPRODUCT(PRODUCT(1+L16:$L$21)),SUMPRODUCT(PRODUCT(1+L16:$L$20))),4)</f>
        <v>1.0197000000000001</v>
      </c>
      <c r="T16" s="3181">
        <f>ROUND(IF(项目基本情况!$B$8="出让",SUMPRODUCT(PRODUCT(1+M16:$M$21)),SUMPRODUCT(PRODUCT(1+M16:$M$20))),4)</f>
        <v>1.0109999999999999</v>
      </c>
      <c r="U16" s="3181">
        <f>ROUND(IF(项目基本情况!$B$8="出让",SUMPRODUCT(PRODUCT(1+N16:$N$21)),SUMPRODUCT(PRODUCT(1+N16:$N$20))),4)</f>
        <v>1.0468999999999999</v>
      </c>
      <c r="V16" s="3181">
        <f>ROUND(IF(项目基本情况!$B$8="出让",SUMPRODUCT(PRODUCT(1+O16:$O$21)),SUMPRODUCT(PRODUCT(1+O16:$O$20))),4)</f>
        <v>1.0382</v>
      </c>
      <c r="W16" s="3181">
        <f t="shared" si="57"/>
        <v>1.0109999999999999</v>
      </c>
      <c r="X16" s="3179"/>
      <c r="Y16" s="3182">
        <f>IF(D16=0,0,ROUND(AVERAGE(D16:D21)/100,4))</f>
        <v>8.6999999999999994E-3</v>
      </c>
      <c r="Z16" s="3182">
        <f t="shared" ref="Z16:AC16" si="61">IF(E16=0,0,ROUND(AVERAGE(E16:E21)/100,4))</f>
        <v>3.5000000000000001E-3</v>
      </c>
      <c r="AA16" s="3182">
        <f t="shared" si="61"/>
        <v>1.4E-3</v>
      </c>
      <c r="AB16" s="3182">
        <f t="shared" si="61"/>
        <v>9.4999999999999998E-3</v>
      </c>
      <c r="AC16" s="3182">
        <f t="shared" si="61"/>
        <v>6.8999999999999999E-3</v>
      </c>
      <c r="AD16" s="3182">
        <f t="shared" si="40"/>
        <v>1.4E-3</v>
      </c>
    </row>
    <row r="17" spans="1:30" s="3183" customFormat="1" ht="12.75">
      <c r="A17" s="3174" t="s">
        <v>2816</v>
      </c>
      <c r="B17" s="3175">
        <v>2022</v>
      </c>
      <c r="C17" s="3176">
        <v>1</v>
      </c>
      <c r="D17" s="3177">
        <v>0.89</v>
      </c>
      <c r="E17" s="3177">
        <v>0.44</v>
      </c>
      <c r="F17" s="3177">
        <v>0.37</v>
      </c>
      <c r="G17" s="3177">
        <v>0.96</v>
      </c>
      <c r="H17" s="3194">
        <v>0.64</v>
      </c>
      <c r="I17" s="3178">
        <f t="shared" si="37"/>
        <v>0.37</v>
      </c>
      <c r="J17" s="3179"/>
      <c r="K17" s="3180">
        <f t="shared" si="38"/>
        <v>8.8999999999999999E-3</v>
      </c>
      <c r="L17" s="3170">
        <f t="shared" si="38"/>
        <v>4.4000000000000003E-3</v>
      </c>
      <c r="M17" s="3170">
        <f t="shared" si="38"/>
        <v>3.7000000000000002E-3</v>
      </c>
      <c r="N17" s="3170">
        <f t="shared" si="38"/>
        <v>9.5999999999999992E-3</v>
      </c>
      <c r="O17" s="3170">
        <f t="shared" si="38"/>
        <v>6.4000000000000003E-3</v>
      </c>
      <c r="P17" s="3170">
        <f t="shared" si="58"/>
        <v>3.7000000000000002E-3</v>
      </c>
      <c r="Q17" s="3179"/>
      <c r="R17" s="3181">
        <f>ROUND(IF(项目基本情况!$B$8="出让",SUMPRODUCT(PRODUCT(1+K17:$K$21)),SUMPRODUCT(PRODUCT(1+K17:$K$20))),4)</f>
        <v>1.0335000000000001</v>
      </c>
      <c r="S17" s="3181">
        <f>ROUND(IF(项目基本情况!$B$8="出让",SUMPRODUCT(PRODUCT(1+L17:$L$21)),SUMPRODUCT(PRODUCT(1+L17:$L$20))),4)</f>
        <v>1.0182</v>
      </c>
      <c r="T17" s="3181">
        <f>ROUND(IF(项目基本情况!$B$8="出让",SUMPRODUCT(PRODUCT(1+M17:$M$21)),SUMPRODUCT(PRODUCT(1+M17:$M$20))),4)</f>
        <v>1.0108999999999999</v>
      </c>
      <c r="U17" s="3181">
        <f>ROUND(IF(项目基本情况!$B$8="出让",SUMPRODUCT(PRODUCT(1+N17:$N$21)),SUMPRODUCT(PRODUCT(1+N17:$N$20))),4)</f>
        <v>1.0361</v>
      </c>
      <c r="V17" s="3181">
        <f>ROUND(IF(项目基本情况!$B$8="出让",SUMPRODUCT(PRODUCT(1+O17:$O$21)),SUMPRODUCT(PRODUCT(1+O17:$O$20))),4)</f>
        <v>1.0270999999999999</v>
      </c>
      <c r="W17" s="3181">
        <f t="shared" si="57"/>
        <v>1.0108999999999999</v>
      </c>
      <c r="X17" s="3179"/>
      <c r="Y17" s="3182">
        <f>IF(D17=0,0,ROUND(AVERAGE(D17:D21)/100,4))</f>
        <v>8.6E-3</v>
      </c>
      <c r="Z17" s="3182">
        <f t="shared" ref="Z17:AC17" si="62">IF(E17=0,0,ROUND(AVERAGE(E17:E21)/100,4))</f>
        <v>3.8999999999999998E-3</v>
      </c>
      <c r="AA17" s="3182">
        <f t="shared" si="62"/>
        <v>1.6999999999999999E-3</v>
      </c>
      <c r="AB17" s="3182">
        <f t="shared" si="62"/>
        <v>9.2999999999999992E-3</v>
      </c>
      <c r="AC17" s="3182">
        <f t="shared" si="62"/>
        <v>6.1000000000000004E-3</v>
      </c>
      <c r="AD17" s="3182">
        <f t="shared" si="40"/>
        <v>1.6999999999999999E-3</v>
      </c>
    </row>
    <row r="18" spans="1:30" s="3183" customFormat="1" ht="12.75">
      <c r="A18" s="3174" t="s">
        <v>2817</v>
      </c>
      <c r="B18" s="3175">
        <v>2021</v>
      </c>
      <c r="C18" s="3176">
        <v>4</v>
      </c>
      <c r="D18" s="3177">
        <v>1.03</v>
      </c>
      <c r="E18" s="3177">
        <v>0.24</v>
      </c>
      <c r="F18" s="3177">
        <v>7.0000000000000007E-2</v>
      </c>
      <c r="G18" s="3177">
        <v>1.17</v>
      </c>
      <c r="H18" s="3194">
        <v>0.55000000000000004</v>
      </c>
      <c r="I18" s="3178">
        <f t="shared" si="37"/>
        <v>7.0000000000000007E-2</v>
      </c>
      <c r="J18" s="3179"/>
      <c r="K18" s="3180">
        <f t="shared" si="38"/>
        <v>1.03E-2</v>
      </c>
      <c r="L18" s="3170">
        <f t="shared" si="38"/>
        <v>2.3999999999999998E-3</v>
      </c>
      <c r="M18" s="3170">
        <f t="shared" si="38"/>
        <v>7.000000000000001E-4</v>
      </c>
      <c r="N18" s="3170">
        <f t="shared" si="38"/>
        <v>1.1699999999999999E-2</v>
      </c>
      <c r="O18" s="3170">
        <f t="shared" si="38"/>
        <v>5.5000000000000005E-3</v>
      </c>
      <c r="P18" s="3170">
        <f t="shared" si="58"/>
        <v>7.000000000000001E-4</v>
      </c>
      <c r="Q18" s="3179"/>
      <c r="R18" s="3181">
        <f>ROUND(IF(项目基本情况!$B$8="出让",SUMPRODUCT(PRODUCT(1+K18:$K$21)),SUMPRODUCT(PRODUCT(1+K18:$K$20))),4)</f>
        <v>1.0244</v>
      </c>
      <c r="S18" s="3181">
        <f>ROUND(IF(项目基本情况!$B$8="出让",SUMPRODUCT(PRODUCT(1+L18:$L$21)),SUMPRODUCT(PRODUCT(1+L18:$L$20))),4)</f>
        <v>1.0138</v>
      </c>
      <c r="T18" s="3181">
        <f>ROUND(IF(项目基本情况!$B$8="出让",SUMPRODUCT(PRODUCT(1+M18:$M$21)),SUMPRODUCT(PRODUCT(1+M18:$M$20))),4)</f>
        <v>1.0072000000000001</v>
      </c>
      <c r="U18" s="3181">
        <f>ROUND(IF(项目基本情况!$B$8="出让",SUMPRODUCT(PRODUCT(1+N18:$N$21)),SUMPRODUCT(PRODUCT(1+N18:$N$20))),4)</f>
        <v>1.0262</v>
      </c>
      <c r="V18" s="3181">
        <f>ROUND(IF(项目基本情况!$B$8="出让",SUMPRODUCT(PRODUCT(1+O18:$O$21)),SUMPRODUCT(PRODUCT(1+O18:$O$20))),4)</f>
        <v>1.0205</v>
      </c>
      <c r="W18" s="3181">
        <f t="shared" si="57"/>
        <v>1.0072000000000001</v>
      </c>
      <c r="X18" s="3179"/>
      <c r="Y18" s="3182">
        <f>IF(D18=0,0,ROUND(AVERAGE(D18:D21)/100,4))</f>
        <v>8.5000000000000006E-3</v>
      </c>
      <c r="Z18" s="3182">
        <f t="shared" ref="Z18:AC18" si="63">IF(E18=0,0,ROUND(AVERAGE(E18:E21)/100,4))</f>
        <v>3.8E-3</v>
      </c>
      <c r="AA18" s="3182">
        <f t="shared" si="63"/>
        <v>1.1999999999999999E-3</v>
      </c>
      <c r="AB18" s="3182">
        <f t="shared" si="63"/>
        <v>9.2999999999999992E-3</v>
      </c>
      <c r="AC18" s="3182">
        <f t="shared" si="63"/>
        <v>6.0000000000000001E-3</v>
      </c>
      <c r="AD18" s="3182">
        <f t="shared" si="40"/>
        <v>1.1999999999999999E-3</v>
      </c>
    </row>
    <row r="19" spans="1:30" s="3183" customFormat="1" ht="12.75">
      <c r="A19" s="3174" t="s">
        <v>2818</v>
      </c>
      <c r="B19" s="3175">
        <v>2021</v>
      </c>
      <c r="C19" s="3176">
        <v>3</v>
      </c>
      <c r="D19" s="3177">
        <v>0.47</v>
      </c>
      <c r="E19" s="3177">
        <v>0.41</v>
      </c>
      <c r="F19" s="3177">
        <v>0.24</v>
      </c>
      <c r="G19" s="3177">
        <v>0.48</v>
      </c>
      <c r="H19" s="3194">
        <v>0.48</v>
      </c>
      <c r="I19" s="3178">
        <f t="shared" si="37"/>
        <v>0.24</v>
      </c>
      <c r="J19" s="3179"/>
      <c r="K19" s="3180">
        <f t="shared" si="38"/>
        <v>4.6999999999999993E-3</v>
      </c>
      <c r="L19" s="3170">
        <f t="shared" si="38"/>
        <v>4.0999999999999995E-3</v>
      </c>
      <c r="M19" s="3170">
        <f t="shared" si="38"/>
        <v>2.3999999999999998E-3</v>
      </c>
      <c r="N19" s="3170">
        <f t="shared" si="38"/>
        <v>4.7999999999999996E-3</v>
      </c>
      <c r="O19" s="3170">
        <f t="shared" si="38"/>
        <v>4.7999999999999996E-3</v>
      </c>
      <c r="P19" s="3170">
        <f t="shared" si="58"/>
        <v>2.3999999999999998E-3</v>
      </c>
      <c r="Q19" s="3179"/>
      <c r="R19" s="3181">
        <f>ROUND(IF(项目基本情况!$B$8="出让",SUMPRODUCT(PRODUCT(1+K19:$K$21)),SUMPRODUCT(PRODUCT(1+K19:$K$20))),4)</f>
        <v>1.0139</v>
      </c>
      <c r="S19" s="3181">
        <f>ROUND(IF(项目基本情况!$B$8="出让",SUMPRODUCT(PRODUCT(1+L19:$L$21)),SUMPRODUCT(PRODUCT(1+L19:$L$20))),4)</f>
        <v>1.0113000000000001</v>
      </c>
      <c r="T19" s="3181">
        <f>ROUND(IF(项目基本情况!$B$8="出让",SUMPRODUCT(PRODUCT(1+M19:$M$21)),SUMPRODUCT(PRODUCT(1+M19:$M$20))),4)</f>
        <v>1.0065</v>
      </c>
      <c r="U19" s="3181">
        <f>ROUND(IF(项目基本情况!$B$8="出让",SUMPRODUCT(PRODUCT(1+N19:$N$21)),SUMPRODUCT(PRODUCT(1+N19:$N$20))),4)</f>
        <v>1.0143</v>
      </c>
      <c r="V19" s="3181">
        <f>ROUND(IF(项目基本情况!$B$8="出让",SUMPRODUCT(PRODUCT(1+O19:$O$21)),SUMPRODUCT(PRODUCT(1+O19:$O$20))),4)</f>
        <v>1.0148999999999999</v>
      </c>
      <c r="W19" s="3181">
        <f t="shared" si="57"/>
        <v>1.0065</v>
      </c>
      <c r="X19" s="3179"/>
      <c r="Y19" s="3182">
        <f>IF(D19=0,0,ROUND(AVERAGE(D19:D21)/100,4))</f>
        <v>7.9000000000000008E-3</v>
      </c>
      <c r="Z19" s="3182">
        <f>IF(E19=0,0,ROUND(AVERAGE(E19:E21)/100,4))</f>
        <v>4.3E-3</v>
      </c>
      <c r="AA19" s="3182">
        <f>IF(F19=0,0,ROUND(AVERAGE(F19:F21)/100,4))</f>
        <v>1.2999999999999999E-3</v>
      </c>
      <c r="AB19" s="3182">
        <f>IF(G19=0,0,ROUND(AVERAGE(G19:G21)/100,4))</f>
        <v>8.5000000000000006E-3</v>
      </c>
      <c r="AC19" s="3182">
        <f>IF(H19=0,0,ROUND(AVERAGE(H19:H21)/100,4))</f>
        <v>6.1999999999999998E-3</v>
      </c>
      <c r="AD19" s="3182">
        <f t="shared" si="40"/>
        <v>1.2999999999999999E-3</v>
      </c>
    </row>
    <row r="20" spans="1:30" s="3183" customFormat="1" ht="12.75">
      <c r="A20" s="3174" t="s">
        <v>2819</v>
      </c>
      <c r="B20" s="3175">
        <v>2021</v>
      </c>
      <c r="C20" s="3176">
        <v>2</v>
      </c>
      <c r="D20" s="3177">
        <v>0.92</v>
      </c>
      <c r="E20" s="3177">
        <v>0.72</v>
      </c>
      <c r="F20" s="3177">
        <v>0.41</v>
      </c>
      <c r="G20" s="3177">
        <v>0.95</v>
      </c>
      <c r="H20" s="3194">
        <v>1.01</v>
      </c>
      <c r="I20" s="3178">
        <f t="shared" si="37"/>
        <v>0.41</v>
      </c>
      <c r="J20" s="3179"/>
      <c r="K20" s="3180">
        <f t="shared" si="38"/>
        <v>9.1999999999999998E-3</v>
      </c>
      <c r="L20" s="3170">
        <f t="shared" si="38"/>
        <v>7.1999999999999998E-3</v>
      </c>
      <c r="M20" s="3170">
        <f t="shared" si="38"/>
        <v>4.0999999999999995E-3</v>
      </c>
      <c r="N20" s="3170">
        <f t="shared" si="38"/>
        <v>9.4999999999999998E-3</v>
      </c>
      <c r="O20" s="3170">
        <f t="shared" si="38"/>
        <v>1.01E-2</v>
      </c>
      <c r="P20" s="3170">
        <f t="shared" si="58"/>
        <v>4.0999999999999995E-3</v>
      </c>
      <c r="Q20" s="3179"/>
      <c r="R20" s="3181">
        <f>ROUND(IF(项目基本情况!$B$8="出让",SUMPRODUCT(PRODUCT(1+K20:$K$21)),SUMPRODUCT(PRODUCT(1+K20:$K$20))),4)</f>
        <v>1.0092000000000001</v>
      </c>
      <c r="S20" s="3181">
        <f>ROUND(IF(项目基本情况!$B$8="出让",SUMPRODUCT(PRODUCT(1+L20:$L$21)),SUMPRODUCT(PRODUCT(1+L20:$L$20))),4)</f>
        <v>1.0072000000000001</v>
      </c>
      <c r="T20" s="3181">
        <f>ROUND(IF(项目基本情况!$B$8="出让",SUMPRODUCT(PRODUCT(1+M20:$M$21)),SUMPRODUCT(PRODUCT(1+M20:$M$20))),4)</f>
        <v>1.0041</v>
      </c>
      <c r="U20" s="3181">
        <f>ROUND(IF(项目基本情况!$B$8="出让",SUMPRODUCT(PRODUCT(1+N20:$N$21)),SUMPRODUCT(PRODUCT(1+N20:$N$20))),4)</f>
        <v>1.0095000000000001</v>
      </c>
      <c r="V20" s="3181">
        <f>ROUND(IF(项目基本情况!$B$8="出让",SUMPRODUCT(PRODUCT(1+O20:$O$21)),SUMPRODUCT(PRODUCT(1+O20:$O$20))),4)</f>
        <v>1.0101</v>
      </c>
      <c r="W20" s="3181">
        <f t="shared" si="57"/>
        <v>1.0041</v>
      </c>
      <c r="X20" s="3179"/>
      <c r="Y20" s="3182">
        <f>IF(D20=0,0,ROUND(AVERAGE(D20:D21)/100,4))</f>
        <v>9.4999999999999998E-3</v>
      </c>
      <c r="Z20" s="3182">
        <f>IF(E20=0,0,ROUND(AVERAGE(E20:E21)/100,4))</f>
        <v>4.4000000000000003E-3</v>
      </c>
      <c r="AA20" s="3182">
        <f>IF(F20=0,0,ROUND(AVERAGE(F20:F21)/100,4))</f>
        <v>8.0000000000000004E-4</v>
      </c>
      <c r="AB20" s="3182">
        <f>IF(G20=0,0,ROUND(AVERAGE(G20:G21)/100,4))</f>
        <v>1.03E-2</v>
      </c>
      <c r="AC20" s="3182">
        <f>IF(H20=0,0,ROUND(AVERAGE(H20:H21)/100,4))</f>
        <v>6.8999999999999999E-3</v>
      </c>
      <c r="AD20" s="3182">
        <f t="shared" si="40"/>
        <v>8.0000000000000004E-4</v>
      </c>
    </row>
    <row r="21" spans="1:30" s="3205" customFormat="1" thickBot="1">
      <c r="A21" s="3195" t="s">
        <v>2820</v>
      </c>
      <c r="B21" s="3196">
        <v>2021</v>
      </c>
      <c r="C21" s="3197">
        <v>1</v>
      </c>
      <c r="D21" s="3198">
        <v>0.97</v>
      </c>
      <c r="E21" s="3198">
        <v>0.16</v>
      </c>
      <c r="F21" s="3198">
        <v>-0.25</v>
      </c>
      <c r="G21" s="3198">
        <v>1.1100000000000001</v>
      </c>
      <c r="H21" s="3199">
        <v>0.36</v>
      </c>
      <c r="I21" s="3200">
        <f t="shared" si="37"/>
        <v>-0.25</v>
      </c>
      <c r="J21" s="3201"/>
      <c r="K21" s="3202">
        <f t="shared" si="38"/>
        <v>9.7000000000000003E-3</v>
      </c>
      <c r="L21" s="3203">
        <f t="shared" si="38"/>
        <v>1.6000000000000001E-3</v>
      </c>
      <c r="M21" s="3203">
        <f>F21/100</f>
        <v>-2.5000000000000001E-3</v>
      </c>
      <c r="N21" s="3203">
        <f t="shared" si="38"/>
        <v>1.11E-2</v>
      </c>
      <c r="O21" s="3203">
        <f t="shared" si="38"/>
        <v>3.5999999999999999E-3</v>
      </c>
      <c r="P21" s="3203">
        <f t="shared" si="58"/>
        <v>-2.5000000000000001E-3</v>
      </c>
      <c r="Q21" s="3201"/>
      <c r="R21" s="3204">
        <v>1</v>
      </c>
      <c r="S21" s="3204">
        <v>1</v>
      </c>
      <c r="T21" s="3204">
        <v>1</v>
      </c>
      <c r="U21" s="3204">
        <v>1</v>
      </c>
      <c r="V21" s="3204">
        <v>1</v>
      </c>
      <c r="W21" s="3204">
        <f t="shared" ref="W21" si="64">T21</f>
        <v>1</v>
      </c>
      <c r="X21" s="3201"/>
      <c r="Y21" s="3203">
        <f>IF(D21=0,0,ROUND(AVERAGE(D21:D21)/100,4))</f>
        <v>9.7000000000000003E-3</v>
      </c>
      <c r="Z21" s="3203">
        <f>IF(E21=0,0,ROUND(AVERAGE(E21:E21)/100,4))</f>
        <v>1.6000000000000001E-3</v>
      </c>
      <c r="AA21" s="3203">
        <f>IF(F21=0,0,ROUND(AVERAGE(F21:F21)/100,4))</f>
        <v>-2.5000000000000001E-3</v>
      </c>
      <c r="AB21" s="3203">
        <f>IF(G21=0,0,ROUND(AVERAGE(G21:G21)/100,4))</f>
        <v>1.11E-2</v>
      </c>
      <c r="AC21" s="3203">
        <f>IF(H21=0,0,ROUND(AVERAGE(H21:H21)/100,4))</f>
        <v>3.5999999999999999E-3</v>
      </c>
      <c r="AD21" s="3203">
        <f>AA21</f>
        <v>-2.5000000000000001E-3</v>
      </c>
    </row>
    <row r="22" spans="1:30" s="3007" customFormat="1" ht="14.25" thickTop="1"/>
    <row r="23" spans="1:30" s="3007" customFormat="1">
      <c r="A23" s="3446" t="s">
        <v>3379</v>
      </c>
    </row>
    <row r="24" spans="1:30" s="3007" customFormat="1">
      <c r="I24" s="3206" t="s">
        <v>2821</v>
      </c>
    </row>
    <row r="25" spans="1:30" s="3007" customFormat="1"/>
    <row r="26" spans="1:30" s="3207" customFormat="1" ht="12.75">
      <c r="B26" s="3208" t="s">
        <v>3377</v>
      </c>
      <c r="C26" s="3209"/>
      <c r="D26" s="3209"/>
      <c r="E26" s="3209"/>
      <c r="F26" s="3209"/>
      <c r="G26" s="3209"/>
      <c r="H26" s="3209"/>
      <c r="I26" s="3209"/>
      <c r="J26" s="3163"/>
      <c r="K26" s="3209" t="s">
        <v>2822</v>
      </c>
      <c r="L26" s="3209"/>
      <c r="M26" s="3209"/>
      <c r="N26" s="3209"/>
      <c r="O26" s="3209"/>
      <c r="P26" s="3209"/>
      <c r="Q26" s="3163"/>
      <c r="R26" s="3786" t="s">
        <v>2823</v>
      </c>
      <c r="S26" s="3787"/>
      <c r="T26" s="3787"/>
      <c r="U26" s="3787"/>
      <c r="V26" s="3787"/>
      <c r="W26" s="3787"/>
      <c r="X26" s="3163"/>
      <c r="Y26" s="3786" t="s">
        <v>2824</v>
      </c>
      <c r="Z26" s="3787"/>
      <c r="AA26" s="3787"/>
      <c r="AB26" s="3787"/>
      <c r="AC26" s="3787"/>
      <c r="AD26" s="3787"/>
    </row>
    <row r="27" spans="1:30" s="3141" customFormat="1" ht="14.25" thickBot="1">
      <c r="B27" s="3142"/>
      <c r="C27" s="3143"/>
      <c r="D27" s="3144" t="s">
        <v>2825</v>
      </c>
      <c r="E27" s="3145" t="s">
        <v>2826</v>
      </c>
      <c r="F27" s="3145" t="s">
        <v>2827</v>
      </c>
      <c r="G27" s="3145" t="s">
        <v>2828</v>
      </c>
      <c r="H27" s="3145"/>
      <c r="I27" s="3145" t="s">
        <v>2829</v>
      </c>
      <c r="J27" s="3146"/>
      <c r="K27" s="3144" t="s">
        <v>2825</v>
      </c>
      <c r="L27" s="3145" t="s">
        <v>2826</v>
      </c>
      <c r="M27" s="3145" t="s">
        <v>2827</v>
      </c>
      <c r="N27" s="3145" t="s">
        <v>2828</v>
      </c>
      <c r="O27" s="3145"/>
      <c r="P27" s="3145" t="s">
        <v>2829</v>
      </c>
      <c r="Q27" s="3146"/>
      <c r="R27" s="3144" t="s">
        <v>2825</v>
      </c>
      <c r="S27" s="3145" t="s">
        <v>2826</v>
      </c>
      <c r="T27" s="3145" t="s">
        <v>2827</v>
      </c>
      <c r="U27" s="3145" t="s">
        <v>2828</v>
      </c>
      <c r="V27" s="3145"/>
      <c r="W27" s="3145" t="s">
        <v>2829</v>
      </c>
      <c r="X27" s="3146"/>
      <c r="Y27" s="3144" t="s">
        <v>2825</v>
      </c>
      <c r="Z27" s="3145" t="s">
        <v>2826</v>
      </c>
      <c r="AA27" s="3145" t="s">
        <v>2827</v>
      </c>
      <c r="AB27" s="3145" t="s">
        <v>2828</v>
      </c>
      <c r="AC27" s="3145"/>
      <c r="AD27" s="3145" t="s">
        <v>2829</v>
      </c>
    </row>
    <row r="28" spans="1:30" s="3159" customFormat="1" ht="12.75">
      <c r="A28" s="3147" t="s">
        <v>2830</v>
      </c>
      <c r="B28" s="3148"/>
      <c r="C28" s="3149"/>
      <c r="D28" s="3149"/>
      <c r="E28" s="3149">
        <f t="shared" ref="E28:G28" si="65">ROUND(AVERAGEIF(E29:E46,"&lt;&gt;0"),2)</f>
        <v>0.21</v>
      </c>
      <c r="F28" s="3149">
        <f t="shared" si="65"/>
        <v>0.14000000000000001</v>
      </c>
      <c r="G28" s="3149">
        <f t="shared" si="65"/>
        <v>0.3</v>
      </c>
      <c r="H28" s="3149"/>
      <c r="I28" s="3149">
        <f>F28</f>
        <v>0.14000000000000001</v>
      </c>
      <c r="J28" s="3150"/>
      <c r="K28" s="3151"/>
      <c r="L28" s="3152">
        <f t="shared" ref="L28:N28" si="66">ROUND(AVERAGEIF(L29:L46,"&lt;&gt;0"),4)</f>
        <v>2.0999999999999999E-3</v>
      </c>
      <c r="M28" s="3152">
        <f t="shared" si="66"/>
        <v>1.4E-3</v>
      </c>
      <c r="N28" s="3152">
        <f t="shared" si="66"/>
        <v>3.0000000000000001E-3</v>
      </c>
      <c r="O28" s="3152"/>
      <c r="P28" s="3152">
        <f>M28</f>
        <v>1.4E-3</v>
      </c>
      <c r="Q28" s="3150"/>
      <c r="R28" s="3153"/>
      <c r="S28" s="3154">
        <f>ROUND(SUMPRODUCT(PRODUCT(1+L29:L46)),4)</f>
        <v>1.0337000000000001</v>
      </c>
      <c r="T28" s="3154">
        <f t="shared" ref="T28:U28" si="67">ROUND(SUMPRODUCT(PRODUCT(1+M29:M46)),4)</f>
        <v>1.022</v>
      </c>
      <c r="U28" s="3154">
        <f t="shared" si="67"/>
        <v>1.0489999999999999</v>
      </c>
      <c r="V28" s="3154"/>
      <c r="W28" s="3153">
        <f>T28</f>
        <v>1.022</v>
      </c>
      <c r="X28" s="3150"/>
      <c r="Y28" s="3155"/>
      <c r="Z28" s="3156">
        <f t="shared" ref="Z28:AB28" si="68">ROUND(AVERAGEIF(Z29:Z46,"&lt;&gt;0"),4)</f>
        <v>3.8E-3</v>
      </c>
      <c r="AA28" s="3157">
        <f t="shared" si="68"/>
        <v>3.0000000000000001E-3</v>
      </c>
      <c r="AB28" s="3155">
        <f t="shared" si="68"/>
        <v>7.4999999999999997E-3</v>
      </c>
      <c r="AC28" s="3158"/>
      <c r="AD28" s="3155">
        <f>AA28</f>
        <v>3.0000000000000001E-3</v>
      </c>
    </row>
    <row r="29" spans="1:30" s="3160" customFormat="1" ht="12.75">
      <c r="B29" s="3161"/>
      <c r="C29" s="3162"/>
      <c r="D29" s="3162"/>
      <c r="E29" s="3162"/>
      <c r="F29" s="3162"/>
      <c r="G29" s="3162"/>
      <c r="H29" s="3162"/>
      <c r="I29" s="3162"/>
      <c r="J29" s="3163"/>
      <c r="K29" s="3164"/>
      <c r="L29" s="3165"/>
      <c r="M29" s="3165"/>
      <c r="N29" s="3165"/>
      <c r="O29" s="3165"/>
      <c r="P29" s="3165"/>
      <c r="Q29" s="3163"/>
      <c r="R29" s="3166"/>
      <c r="S29" s="3167"/>
      <c r="T29" s="3168"/>
      <c r="U29" s="3166"/>
      <c r="V29" s="3169"/>
      <c r="W29" s="3166"/>
      <c r="X29" s="3163"/>
      <c r="Y29" s="3170"/>
      <c r="Z29" s="3171"/>
      <c r="AA29" s="3172"/>
      <c r="AB29" s="3170"/>
      <c r="AC29" s="3173"/>
      <c r="AD29" s="3170"/>
    </row>
    <row r="30" spans="1:30" s="3183" customFormat="1" ht="12.75">
      <c r="A30" s="2205" t="s">
        <v>3372</v>
      </c>
      <c r="B30" s="3175">
        <v>2025</v>
      </c>
      <c r="C30" s="3176">
        <v>1</v>
      </c>
      <c r="D30" s="3177"/>
      <c r="E30" s="3177">
        <v>0</v>
      </c>
      <c r="F30" s="3177">
        <v>0</v>
      </c>
      <c r="G30" s="3177">
        <v>0</v>
      </c>
      <c r="H30" s="3177"/>
      <c r="I30" s="3178">
        <f t="shared" ref="I30" si="69">F30</f>
        <v>0</v>
      </c>
      <c r="J30" s="3179"/>
      <c r="K30" s="3180"/>
      <c r="L30" s="3170">
        <f t="shared" ref="L30" si="70">E30/100</f>
        <v>0</v>
      </c>
      <c r="M30" s="3170">
        <f t="shared" ref="M30" si="71">F30/100</f>
        <v>0</v>
      </c>
      <c r="N30" s="3170">
        <f t="shared" ref="N30" si="72">G30/100</f>
        <v>0</v>
      </c>
      <c r="O30" s="3170"/>
      <c r="P30" s="3170">
        <f>M30</f>
        <v>0</v>
      </c>
      <c r="Q30" s="3179"/>
      <c r="R30" s="3181"/>
      <c r="S30" s="3181">
        <f>ROUND(IF(项目基本情况!$B$8="出让",SUMPRODUCT(PRODUCT(1+L30:L$46)),SUMPRODUCT(PRODUCT(1+L30:L$45))),4)</f>
        <v>1.0301</v>
      </c>
      <c r="T30" s="3181">
        <f>ROUND(IF(项目基本情况!$B$8="出让",SUMPRODUCT(PRODUCT(1+M30:M$46)),SUMPRODUCT(PRODUCT(1+M30:M$45))),4)</f>
        <v>1.0170999999999999</v>
      </c>
      <c r="U30" s="3181">
        <f>ROUND(IF(项目基本情况!$B$8="出让",SUMPRODUCT(PRODUCT(1+N30:N$46)),SUMPRODUCT(PRODUCT(1+N30:N$45))),4)</f>
        <v>1.0387999999999999</v>
      </c>
      <c r="V30" s="3181"/>
      <c r="W30" s="3181">
        <f>T30</f>
        <v>1.0170999999999999</v>
      </c>
      <c r="X30" s="3179"/>
      <c r="Y30" s="3182"/>
      <c r="Z30" s="3210">
        <f t="shared" ref="Z30" si="73">IF(E30=0,0,ROUND(AVERAGE(E30:E43)/100,4))</f>
        <v>0</v>
      </c>
      <c r="AA30" s="3210">
        <f t="shared" ref="AA30" si="74">IF(F30=0,0,ROUND(AVERAGE(F30:F43)/100,4))</f>
        <v>0</v>
      </c>
      <c r="AB30" s="3210">
        <f t="shared" ref="AB30" si="75">IF(G30=0,0,ROUND(AVERAGE(G30:G43)/100,4))</f>
        <v>0</v>
      </c>
      <c r="AC30" s="3211"/>
      <c r="AD30" s="3182">
        <f>IF(I30=0,0,ROUND(AVERAGE(I30:I43)/100,4))</f>
        <v>0</v>
      </c>
    </row>
    <row r="31" spans="1:30" s="3193" customFormat="1" ht="12.75">
      <c r="A31" s="3184" t="s">
        <v>3374</v>
      </c>
      <c r="B31" s="3185">
        <v>2024</v>
      </c>
      <c r="C31" s="3186">
        <v>4</v>
      </c>
      <c r="D31" s="3187"/>
      <c r="E31" s="3187">
        <v>-0.61</v>
      </c>
      <c r="F31" s="3187">
        <v>-0.71</v>
      </c>
      <c r="G31" s="3187">
        <v>-0.88</v>
      </c>
      <c r="H31" s="3188"/>
      <c r="I31" s="3189">
        <f t="shared" ref="I31" si="76">F31</f>
        <v>-0.71</v>
      </c>
      <c r="J31" s="3190"/>
      <c r="K31" s="3191"/>
      <c r="L31" s="3192">
        <f t="shared" ref="L31" si="77">E31/100</f>
        <v>-6.0999999999999995E-3</v>
      </c>
      <c r="M31" s="3192">
        <f t="shared" ref="M31" si="78">F31/100</f>
        <v>-7.0999999999999995E-3</v>
      </c>
      <c r="N31" s="3192">
        <f t="shared" ref="N31" si="79">G31/100</f>
        <v>-8.8000000000000005E-3</v>
      </c>
      <c r="O31" s="3192"/>
      <c r="P31" s="3192">
        <f>M31</f>
        <v>-7.0999999999999995E-3</v>
      </c>
      <c r="Q31" s="3190"/>
      <c r="R31" s="3190"/>
      <c r="S31" s="3190">
        <f>ROUND(IF(项目基本情况!$B$8="出让",SUMPRODUCT(PRODUCT(1+L31:L$46)),SUMPRODUCT(PRODUCT(1+L31:L$45))),4)</f>
        <v>1.0301</v>
      </c>
      <c r="T31" s="3190">
        <f>ROUND(IF(项目基本情况!$B$8="出让",SUMPRODUCT(PRODUCT(1+M31:M$46)),SUMPRODUCT(PRODUCT(1+M31:M$45))),4)</f>
        <v>1.0170999999999999</v>
      </c>
      <c r="U31" s="3190">
        <f>ROUND(IF(项目基本情况!$B$8="出让",SUMPRODUCT(PRODUCT(1+N31:N$46)),SUMPRODUCT(PRODUCT(1+N31:N$45))),4)</f>
        <v>1.0387999999999999</v>
      </c>
      <c r="V31" s="3190"/>
      <c r="W31" s="3190">
        <f>T31</f>
        <v>1.0170999999999999</v>
      </c>
      <c r="X31" s="3190"/>
      <c r="Y31" s="3192"/>
      <c r="Z31" s="3213">
        <f t="shared" ref="Z31" si="80">IF(E31=0,0,ROUND(AVERAGE(E31:E44)/100,4))</f>
        <v>1.6999999999999999E-3</v>
      </c>
      <c r="AA31" s="3214">
        <f t="shared" ref="AA31" si="81">IF(F31=0,0,ROUND(AVERAGE(F31:F44)/100,4))</f>
        <v>8.9999999999999998E-4</v>
      </c>
      <c r="AB31" s="3192">
        <f t="shared" ref="AB31" si="82">IF(G31=0,0,ROUND(AVERAGE(G31:G44)/100,4))</f>
        <v>2E-3</v>
      </c>
      <c r="AC31" s="3215"/>
      <c r="AD31" s="3192">
        <f>IF(I31=0,0,ROUND(AVERAGE(I31:I44)/100,4))</f>
        <v>8.9999999999999998E-4</v>
      </c>
    </row>
    <row r="32" spans="1:30" s="3183" customFormat="1" ht="12.75">
      <c r="A32" s="2205" t="s">
        <v>3369</v>
      </c>
      <c r="B32" s="3175">
        <v>2024</v>
      </c>
      <c r="C32" s="3176">
        <v>3</v>
      </c>
      <c r="D32" s="3177"/>
      <c r="E32" s="3177">
        <v>-0.66</v>
      </c>
      <c r="F32" s="3177">
        <v>-0.52</v>
      </c>
      <c r="G32" s="3177">
        <v>-2.87</v>
      </c>
      <c r="H32" s="3177"/>
      <c r="I32" s="3178">
        <f t="shared" ref="I32" si="83">F32</f>
        <v>-0.52</v>
      </c>
      <c r="J32" s="3179"/>
      <c r="K32" s="3180"/>
      <c r="L32" s="3170">
        <f t="shared" ref="L32" si="84">E32/100</f>
        <v>-6.6E-3</v>
      </c>
      <c r="M32" s="3170">
        <f t="shared" ref="M32" si="85">F32/100</f>
        <v>-5.1999999999999998E-3</v>
      </c>
      <c r="N32" s="3170">
        <f t="shared" ref="N32" si="86">G32/100</f>
        <v>-2.87E-2</v>
      </c>
      <c r="O32" s="3170"/>
      <c r="P32" s="3170">
        <f>M32</f>
        <v>-5.1999999999999998E-3</v>
      </c>
      <c r="Q32" s="3179"/>
      <c r="R32" s="3181"/>
      <c r="S32" s="3181">
        <f>ROUND(IF(项目基本情况!$B$8="出让",SUMPRODUCT(PRODUCT(1+L32:L$46)),SUMPRODUCT(PRODUCT(1+L32:L$45))),4)</f>
        <v>1.0364</v>
      </c>
      <c r="T32" s="3181">
        <f>ROUND(IF(项目基本情况!$B$8="出让",SUMPRODUCT(PRODUCT(1+M32:M$46)),SUMPRODUCT(PRODUCT(1+M32:M$45))),4)</f>
        <v>1.0244</v>
      </c>
      <c r="U32" s="3181">
        <f>ROUND(IF(项目基本情况!$B$8="出让",SUMPRODUCT(PRODUCT(1+N32:N$46)),SUMPRODUCT(PRODUCT(1+N32:N$45))),4)</f>
        <v>1.048</v>
      </c>
      <c r="V32" s="3181"/>
      <c r="W32" s="3181">
        <f>T32</f>
        <v>1.0244</v>
      </c>
      <c r="X32" s="3179"/>
      <c r="Y32" s="3182"/>
      <c r="Z32" s="3210">
        <f t="shared" ref="Z32:AB33" si="87">IF(E32=0,0,ROUND(AVERAGE(E32:E45)/100,4))</f>
        <v>2.5999999999999999E-3</v>
      </c>
      <c r="AA32" s="3210">
        <f t="shared" si="87"/>
        <v>1.6999999999999999E-3</v>
      </c>
      <c r="AB32" s="3210">
        <f t="shared" si="87"/>
        <v>3.3999999999999998E-3</v>
      </c>
      <c r="AC32" s="3211"/>
      <c r="AD32" s="3182">
        <f>IF(I32=0,0,ROUND(AVERAGE(I32:I45)/100,4))</f>
        <v>1.6999999999999999E-3</v>
      </c>
    </row>
    <row r="33" spans="1:30" s="3183" customFormat="1" ht="12.75">
      <c r="A33" s="3174" t="s">
        <v>3375</v>
      </c>
      <c r="B33" s="3175">
        <v>2024</v>
      </c>
      <c r="C33" s="3176">
        <v>2</v>
      </c>
      <c r="D33" s="3177"/>
      <c r="E33" s="3177">
        <v>-0.31</v>
      </c>
      <c r="F33" s="3177">
        <v>-0.39</v>
      </c>
      <c r="G33" s="3177">
        <v>1.23</v>
      </c>
      <c r="H33" s="3194"/>
      <c r="I33" s="3178">
        <f t="shared" ref="I33:I46" si="88">F33</f>
        <v>-0.39</v>
      </c>
      <c r="J33" s="3179"/>
      <c r="K33" s="3180"/>
      <c r="L33" s="3170">
        <f t="shared" ref="L33:N46" si="89">E33/100</f>
        <v>-3.0999999999999999E-3</v>
      </c>
      <c r="M33" s="3170">
        <f t="shared" si="89"/>
        <v>-3.9000000000000003E-3</v>
      </c>
      <c r="N33" s="3170">
        <f t="shared" si="89"/>
        <v>1.23E-2</v>
      </c>
      <c r="O33" s="3170"/>
      <c r="P33" s="3170">
        <f>M33</f>
        <v>-3.9000000000000003E-3</v>
      </c>
      <c r="Q33" s="3179"/>
      <c r="R33" s="3181"/>
      <c r="S33" s="3181">
        <f>ROUND(IF(项目基本情况!$B$8="出让",SUMPRODUCT(PRODUCT(1+L33:L$46)),SUMPRODUCT(PRODUCT(1+L33:L$45))),4)</f>
        <v>1.0432999999999999</v>
      </c>
      <c r="T33" s="3181">
        <f>ROUND(IF(项目基本情况!$B$8="出让",SUMPRODUCT(PRODUCT(1+M33:M$46)),SUMPRODUCT(PRODUCT(1+M33:M$45))),4)</f>
        <v>1.0298</v>
      </c>
      <c r="U33" s="3181">
        <f>ROUND(IF(项目基本情况!$B$8="出让",SUMPRODUCT(PRODUCT(1+N33:N$46)),SUMPRODUCT(PRODUCT(1+N33:N$45))),4)</f>
        <v>1.079</v>
      </c>
      <c r="V33" s="3181"/>
      <c r="W33" s="3181">
        <f>T33</f>
        <v>1.0298</v>
      </c>
      <c r="X33" s="3179"/>
      <c r="Y33" s="3182"/>
      <c r="Z33" s="3210">
        <f t="shared" si="87"/>
        <v>3.3E-3</v>
      </c>
      <c r="AA33" s="3212">
        <f t="shared" si="87"/>
        <v>2.3999999999999998E-3</v>
      </c>
      <c r="AB33" s="3182">
        <f t="shared" si="87"/>
        <v>6.1999999999999998E-3</v>
      </c>
      <c r="AC33" s="3211"/>
      <c r="AD33" s="3182">
        <f>IF(I33=0,0,ROUND(AVERAGE(I33:I46)/100,4))</f>
        <v>2.3999999999999998E-3</v>
      </c>
    </row>
    <row r="34" spans="1:30" s="3183" customFormat="1" ht="12.75">
      <c r="A34" s="3174" t="s">
        <v>3370</v>
      </c>
      <c r="B34" s="3175">
        <v>2024</v>
      </c>
      <c r="C34" s="3176">
        <v>1</v>
      </c>
      <c r="D34" s="3177"/>
      <c r="E34" s="3177">
        <v>0.25</v>
      </c>
      <c r="F34" s="3177">
        <v>0.4</v>
      </c>
      <c r="G34" s="3177">
        <v>-0.63</v>
      </c>
      <c r="H34" s="3194"/>
      <c r="I34" s="3178">
        <f t="shared" ref="I34:I35" si="90">F34</f>
        <v>0.4</v>
      </c>
      <c r="J34" s="3179"/>
      <c r="K34" s="3180"/>
      <c r="L34" s="3170">
        <f t="shared" ref="L34" si="91">E34/100</f>
        <v>2.5000000000000001E-3</v>
      </c>
      <c r="M34" s="3170">
        <f t="shared" ref="M34" si="92">F34/100</f>
        <v>4.0000000000000001E-3</v>
      </c>
      <c r="N34" s="3170">
        <f t="shared" ref="N34" si="93">G34/100</f>
        <v>-6.3E-3</v>
      </c>
      <c r="O34" s="3170"/>
      <c r="P34" s="3170">
        <f t="shared" ref="P34" si="94">M34</f>
        <v>4.0000000000000001E-3</v>
      </c>
      <c r="Q34" s="3179"/>
      <c r="R34" s="3181"/>
      <c r="S34" s="3181">
        <f>ROUND(IF(项目基本情况!$B$8="出让",SUMPRODUCT(PRODUCT(1+L34:L$46)),SUMPRODUCT(PRODUCT(1+L34:L$45))),4)</f>
        <v>1.0465</v>
      </c>
      <c r="T34" s="3181">
        <f>ROUND(IF(项目基本情况!$B$8="出让",SUMPRODUCT(PRODUCT(1+M34:M$46)),SUMPRODUCT(PRODUCT(1+M34:M$45))),4)</f>
        <v>1.0338000000000001</v>
      </c>
      <c r="U34" s="3181">
        <f>ROUND(IF(项目基本情况!$B$8="出让",SUMPRODUCT(PRODUCT(1+N34:N$46)),SUMPRODUCT(PRODUCT(1+N34:N$45))),4)</f>
        <v>1.0659000000000001</v>
      </c>
      <c r="V34" s="3181"/>
      <c r="W34" s="3181">
        <f t="shared" ref="W34" si="95">T34</f>
        <v>1.0338000000000001</v>
      </c>
      <c r="X34" s="3179"/>
      <c r="Y34" s="3182"/>
      <c r="Z34" s="3210"/>
      <c r="AA34" s="3212"/>
      <c r="AB34" s="3182"/>
      <c r="AC34" s="3211"/>
      <c r="AD34" s="3182"/>
    </row>
    <row r="35" spans="1:30" s="3183" customFormat="1" ht="12.75">
      <c r="A35" s="3174" t="s">
        <v>3368</v>
      </c>
      <c r="B35" s="3175">
        <v>2023</v>
      </c>
      <c r="C35" s="3176">
        <v>4</v>
      </c>
      <c r="D35" s="3177"/>
      <c r="E35" s="3177">
        <v>7.0000000000000007E-2</v>
      </c>
      <c r="F35" s="3177">
        <v>0.09</v>
      </c>
      <c r="G35" s="3177">
        <v>0.03</v>
      </c>
      <c r="H35" s="3194"/>
      <c r="I35" s="3178">
        <f t="shared" si="90"/>
        <v>0.09</v>
      </c>
      <c r="J35" s="3179"/>
      <c r="K35" s="3180"/>
      <c r="L35" s="3170">
        <f t="shared" si="89"/>
        <v>7.000000000000001E-4</v>
      </c>
      <c r="M35" s="3170">
        <f t="shared" si="89"/>
        <v>8.9999999999999998E-4</v>
      </c>
      <c r="N35" s="3170">
        <f t="shared" si="89"/>
        <v>2.9999999999999997E-4</v>
      </c>
      <c r="O35" s="3170"/>
      <c r="P35" s="3170">
        <f t="shared" ref="P35" si="96">M35</f>
        <v>8.9999999999999998E-4</v>
      </c>
      <c r="Q35" s="3179"/>
      <c r="R35" s="3181"/>
      <c r="S35" s="3181">
        <f>ROUND(IF(项目基本情况!$B$8="出让",SUMPRODUCT(PRODUCT(1+L35:L$46)),SUMPRODUCT(PRODUCT(1+L35:L$45))),4)</f>
        <v>1.0439000000000001</v>
      </c>
      <c r="T35" s="3181">
        <f>ROUND(IF(项目基本情况!$B$8="出让",SUMPRODUCT(PRODUCT(1+M35:M$46)),SUMPRODUCT(PRODUCT(1+M35:M$45))),4)</f>
        <v>1.0297000000000001</v>
      </c>
      <c r="U35" s="3181">
        <f>ROUND(IF(项目基本情况!$B$8="出让",SUMPRODUCT(PRODUCT(1+N35:N$46)),SUMPRODUCT(PRODUCT(1+N35:N$45))),4)</f>
        <v>1.0727</v>
      </c>
      <c r="V35" s="3181"/>
      <c r="W35" s="3181">
        <f t="shared" ref="W35" si="97">T35</f>
        <v>1.0297000000000001</v>
      </c>
      <c r="X35" s="3179"/>
      <c r="Y35" s="3182"/>
      <c r="Z35" s="3210"/>
      <c r="AA35" s="3212"/>
      <c r="AB35" s="3182"/>
      <c r="AC35" s="3211"/>
      <c r="AD35" s="3182"/>
    </row>
    <row r="36" spans="1:30" s="3183" customFormat="1" ht="12.75">
      <c r="A36" s="3174" t="s">
        <v>3366</v>
      </c>
      <c r="B36" s="3175">
        <v>2023</v>
      </c>
      <c r="C36" s="3176">
        <v>3</v>
      </c>
      <c r="D36" s="3177"/>
      <c r="E36" s="3177">
        <v>0.35</v>
      </c>
      <c r="F36" s="3177">
        <v>0.17</v>
      </c>
      <c r="G36" s="3177">
        <v>0.52</v>
      </c>
      <c r="H36" s="3194"/>
      <c r="I36" s="3178">
        <f t="shared" si="88"/>
        <v>0.17</v>
      </c>
      <c r="J36" s="3179"/>
      <c r="K36" s="3180"/>
      <c r="L36" s="3170">
        <f t="shared" ref="L36:L38" si="98">E36/100</f>
        <v>3.4999999999999996E-3</v>
      </c>
      <c r="M36" s="3170">
        <f t="shared" ref="M36:M38" si="99">F36/100</f>
        <v>1.7000000000000001E-3</v>
      </c>
      <c r="N36" s="3170">
        <f t="shared" ref="N36:N38" si="100">G36/100</f>
        <v>5.1999999999999998E-3</v>
      </c>
      <c r="O36" s="3170"/>
      <c r="P36" s="3170">
        <f t="shared" ref="P36:P38" si="101">M36</f>
        <v>1.7000000000000001E-3</v>
      </c>
      <c r="Q36" s="3179"/>
      <c r="R36" s="3181"/>
      <c r="S36" s="3181">
        <f>ROUND(IF(项目基本情况!$B$8="出让",SUMPRODUCT(PRODUCT(1+L36:L$46)),SUMPRODUCT(PRODUCT(1+L36:L$45))),4)</f>
        <v>1.0431999999999999</v>
      </c>
      <c r="T36" s="3181">
        <f>ROUND(IF(项目基本情况!$B$8="出让",SUMPRODUCT(PRODUCT(1+M36:M$46)),SUMPRODUCT(PRODUCT(1+M36:M$45))),4)</f>
        <v>1.0286999999999999</v>
      </c>
      <c r="U36" s="3181">
        <f>ROUND(IF(项目基本情况!$B$8="出让",SUMPRODUCT(PRODUCT(1+N36:N$46)),SUMPRODUCT(PRODUCT(1+N36:N$45))),4)</f>
        <v>1.0723</v>
      </c>
      <c r="V36" s="3181"/>
      <c r="W36" s="3181">
        <f t="shared" ref="W36:W38" si="102">T36</f>
        <v>1.0286999999999999</v>
      </c>
      <c r="X36" s="3179"/>
      <c r="Y36" s="3182"/>
      <c r="Z36" s="3210"/>
      <c r="AA36" s="3212"/>
      <c r="AB36" s="3182"/>
      <c r="AC36" s="3211"/>
      <c r="AD36" s="3182"/>
    </row>
    <row r="37" spans="1:30" s="3183" customFormat="1" ht="12.75">
      <c r="A37" s="3174" t="s">
        <v>3365</v>
      </c>
      <c r="B37" s="3175">
        <v>2023</v>
      </c>
      <c r="C37" s="3176">
        <v>2</v>
      </c>
      <c r="D37" s="3177"/>
      <c r="E37" s="3177">
        <v>0.5</v>
      </c>
      <c r="F37" s="3177">
        <v>0.45</v>
      </c>
      <c r="G37" s="3177">
        <v>0.89</v>
      </c>
      <c r="H37" s="3194"/>
      <c r="I37" s="3178">
        <f t="shared" si="88"/>
        <v>0.45</v>
      </c>
      <c r="J37" s="3179"/>
      <c r="K37" s="3180"/>
      <c r="L37" s="3170">
        <f t="shared" si="98"/>
        <v>5.0000000000000001E-3</v>
      </c>
      <c r="M37" s="3170">
        <f t="shared" si="99"/>
        <v>4.5000000000000005E-3</v>
      </c>
      <c r="N37" s="3170">
        <f t="shared" si="100"/>
        <v>8.8999999999999999E-3</v>
      </c>
      <c r="O37" s="3170"/>
      <c r="P37" s="3170">
        <f t="shared" si="101"/>
        <v>4.5000000000000005E-3</v>
      </c>
      <c r="Q37" s="3179"/>
      <c r="R37" s="3181"/>
      <c r="S37" s="3181">
        <f>ROUND(IF(项目基本情况!$B$8="出让",SUMPRODUCT(PRODUCT(1+L37:L$46)),SUMPRODUCT(PRODUCT(1+L37:L$45))),4)</f>
        <v>1.0396000000000001</v>
      </c>
      <c r="T37" s="3181">
        <f>ROUND(IF(项目基本情况!$B$8="出让",SUMPRODUCT(PRODUCT(1+M37:M$46)),SUMPRODUCT(PRODUCT(1+M37:M$45))),4)</f>
        <v>1.0269999999999999</v>
      </c>
      <c r="U37" s="3181">
        <f>ROUND(IF(项目基本情况!$B$8="出让",SUMPRODUCT(PRODUCT(1+N37:N$46)),SUMPRODUCT(PRODUCT(1+N37:N$45))),4)</f>
        <v>1.0668</v>
      </c>
      <c r="V37" s="3181"/>
      <c r="W37" s="3181">
        <f t="shared" si="102"/>
        <v>1.0269999999999999</v>
      </c>
      <c r="X37" s="3179"/>
      <c r="Y37" s="3182"/>
      <c r="Z37" s="3210"/>
      <c r="AA37" s="3212"/>
      <c r="AB37" s="3182"/>
      <c r="AC37" s="3211"/>
      <c r="AD37" s="3182"/>
    </row>
    <row r="38" spans="1:30" s="3183" customFormat="1" ht="12.75">
      <c r="A38" s="3174" t="s">
        <v>3363</v>
      </c>
      <c r="B38" s="3175">
        <v>2023</v>
      </c>
      <c r="C38" s="3176">
        <v>1</v>
      </c>
      <c r="D38" s="3177"/>
      <c r="E38" s="3177">
        <v>0.55000000000000004</v>
      </c>
      <c r="F38" s="3177">
        <v>0.59</v>
      </c>
      <c r="G38" s="3177">
        <v>0.64</v>
      </c>
      <c r="H38" s="3194"/>
      <c r="I38" s="3178">
        <f t="shared" si="88"/>
        <v>0.59</v>
      </c>
      <c r="J38" s="3179"/>
      <c r="K38" s="3180"/>
      <c r="L38" s="3170">
        <f t="shared" si="98"/>
        <v>5.5000000000000005E-3</v>
      </c>
      <c r="M38" s="3170">
        <f t="shared" si="99"/>
        <v>5.8999999999999999E-3</v>
      </c>
      <c r="N38" s="3170">
        <f t="shared" si="100"/>
        <v>6.4000000000000003E-3</v>
      </c>
      <c r="O38" s="3170"/>
      <c r="P38" s="3170">
        <f t="shared" si="101"/>
        <v>5.8999999999999999E-3</v>
      </c>
      <c r="Q38" s="3179"/>
      <c r="R38" s="3181"/>
      <c r="S38" s="3181">
        <f>ROUND(IF(项目基本情况!$B$8="出让",SUMPRODUCT(PRODUCT(1+L38:L$46)),SUMPRODUCT(PRODUCT(1+L38:L$45))),4)</f>
        <v>1.0344</v>
      </c>
      <c r="T38" s="3181">
        <f>ROUND(IF(项目基本情况!$B$8="出让",SUMPRODUCT(PRODUCT(1+M38:M$46)),SUMPRODUCT(PRODUCT(1+M38:M$45))),4)</f>
        <v>1.0224</v>
      </c>
      <c r="U38" s="3181">
        <f>ROUND(IF(项目基本情况!$B$8="出让",SUMPRODUCT(PRODUCT(1+N38:N$46)),SUMPRODUCT(PRODUCT(1+N38:N$45))),4)</f>
        <v>1.0573999999999999</v>
      </c>
      <c r="V38" s="3181"/>
      <c r="W38" s="3181">
        <f t="shared" si="102"/>
        <v>1.0224</v>
      </c>
      <c r="X38" s="3179"/>
      <c r="Y38" s="3182"/>
      <c r="Z38" s="3210"/>
      <c r="AA38" s="3212"/>
      <c r="AB38" s="3182"/>
      <c r="AC38" s="3211"/>
      <c r="AD38" s="3182"/>
    </row>
    <row r="39" spans="1:30" s="3183" customFormat="1" ht="12.75">
      <c r="A39" s="3174" t="s">
        <v>3362</v>
      </c>
      <c r="B39" s="3175">
        <v>2022</v>
      </c>
      <c r="C39" s="3176">
        <v>4</v>
      </c>
      <c r="D39" s="3177"/>
      <c r="E39" s="3177">
        <v>0.45</v>
      </c>
      <c r="F39" s="3177">
        <v>0.2</v>
      </c>
      <c r="G39" s="3177">
        <v>0.38</v>
      </c>
      <c r="H39" s="3194"/>
      <c r="I39" s="3178">
        <f t="shared" si="88"/>
        <v>0.2</v>
      </c>
      <c r="J39" s="3179"/>
      <c r="K39" s="3180"/>
      <c r="L39" s="3170">
        <f t="shared" si="89"/>
        <v>4.5000000000000005E-3</v>
      </c>
      <c r="M39" s="3170">
        <f t="shared" si="89"/>
        <v>2E-3</v>
      </c>
      <c r="N39" s="3170">
        <f t="shared" si="89"/>
        <v>3.8E-3</v>
      </c>
      <c r="O39" s="3170"/>
      <c r="P39" s="3170">
        <f t="shared" ref="P39:P46" si="103">M39</f>
        <v>2E-3</v>
      </c>
      <c r="Q39" s="3179"/>
      <c r="R39" s="3181"/>
      <c r="S39" s="3181">
        <f>ROUND(IF(项目基本情况!$B$8="出让",SUMPRODUCT(PRODUCT(1+L39:L$46)),SUMPRODUCT(PRODUCT(1+L39:L$45))),4)</f>
        <v>1.0286999999999999</v>
      </c>
      <c r="T39" s="3181">
        <f>ROUND(IF(项目基本情况!$B$8="出让",SUMPRODUCT(PRODUCT(1+M39:M$46)),SUMPRODUCT(PRODUCT(1+M39:M$45))),4)</f>
        <v>1.0164</v>
      </c>
      <c r="U39" s="3181">
        <f>ROUND(IF(项目基本情况!$B$8="出让",SUMPRODUCT(PRODUCT(1+N39:N$46)),SUMPRODUCT(PRODUCT(1+N39:N$45))),4)</f>
        <v>1.0506</v>
      </c>
      <c r="V39" s="3181"/>
      <c r="W39" s="3181">
        <f t="shared" ref="W39:W46" si="104">T39</f>
        <v>1.0164</v>
      </c>
      <c r="X39" s="3179"/>
      <c r="Y39" s="3182"/>
      <c r="Z39" s="3210">
        <f t="shared" ref="Z39:AD46" si="105">IF(E39=0,0,ROUND(AVERAGE(E39:E47)/100,4))</f>
        <v>4.0000000000000001E-3</v>
      </c>
      <c r="AA39" s="3212">
        <f t="shared" si="105"/>
        <v>2.5999999999999999E-3</v>
      </c>
      <c r="AB39" s="3182">
        <f t="shared" si="105"/>
        <v>7.4000000000000003E-3</v>
      </c>
      <c r="AC39" s="3211"/>
      <c r="AD39" s="3182">
        <f t="shared" si="105"/>
        <v>2.5999999999999999E-3</v>
      </c>
    </row>
    <row r="40" spans="1:30" s="3183" customFormat="1" ht="12.75">
      <c r="A40" s="3174" t="s">
        <v>3361</v>
      </c>
      <c r="B40" s="3175">
        <v>2022</v>
      </c>
      <c r="C40" s="3176">
        <v>3</v>
      </c>
      <c r="D40" s="3177"/>
      <c r="E40" s="3177">
        <v>0.3</v>
      </c>
      <c r="F40" s="3177">
        <v>0.28999999999999998</v>
      </c>
      <c r="G40" s="3177">
        <v>0.83</v>
      </c>
      <c r="H40" s="3194"/>
      <c r="I40" s="3178">
        <f t="shared" si="88"/>
        <v>0.28999999999999998</v>
      </c>
      <c r="J40" s="3179"/>
      <c r="K40" s="3180"/>
      <c r="L40" s="3170">
        <f t="shared" si="89"/>
        <v>3.0000000000000001E-3</v>
      </c>
      <c r="M40" s="3170">
        <f t="shared" si="89"/>
        <v>2.8999999999999998E-3</v>
      </c>
      <c r="N40" s="3170">
        <f t="shared" si="89"/>
        <v>8.3000000000000001E-3</v>
      </c>
      <c r="O40" s="3170"/>
      <c r="P40" s="3170">
        <f t="shared" si="103"/>
        <v>2.8999999999999998E-3</v>
      </c>
      <c r="Q40" s="3179"/>
      <c r="R40" s="3181"/>
      <c r="S40" s="3181">
        <f>ROUND(IF(项目基本情况!$B$8="出让",SUMPRODUCT(PRODUCT(1+L40:L$46)),SUMPRODUCT(PRODUCT(1+L40:L$45))),4)</f>
        <v>1.0241</v>
      </c>
      <c r="T40" s="3181">
        <f>ROUND(IF(项目基本情况!$B$8="出让",SUMPRODUCT(PRODUCT(1+M40:M$46)),SUMPRODUCT(PRODUCT(1+M40:M$45))),4)</f>
        <v>1.0144</v>
      </c>
      <c r="U40" s="3181">
        <f>ROUND(IF(项目基本情况!$B$8="出让",SUMPRODUCT(PRODUCT(1+N40:N$46)),SUMPRODUCT(PRODUCT(1+N40:N$45))),4)</f>
        <v>1.0467</v>
      </c>
      <c r="V40" s="3181"/>
      <c r="W40" s="3181">
        <f t="shared" si="104"/>
        <v>1.0144</v>
      </c>
      <c r="X40" s="3179"/>
      <c r="Y40" s="3182"/>
      <c r="Z40" s="3210">
        <f t="shared" si="105"/>
        <v>3.8999999999999998E-3</v>
      </c>
      <c r="AA40" s="3212">
        <f t="shared" si="105"/>
        <v>2.7000000000000001E-3</v>
      </c>
      <c r="AB40" s="3182">
        <f t="shared" si="105"/>
        <v>7.9000000000000008E-3</v>
      </c>
      <c r="AC40" s="3211"/>
      <c r="AD40" s="3182">
        <f t="shared" si="105"/>
        <v>2.7000000000000001E-3</v>
      </c>
    </row>
    <row r="41" spans="1:30" s="3183" customFormat="1" ht="12.75">
      <c r="A41" s="3174" t="s">
        <v>3351</v>
      </c>
      <c r="B41" s="3175">
        <v>2022</v>
      </c>
      <c r="C41" s="3176">
        <v>2</v>
      </c>
      <c r="D41" s="3177"/>
      <c r="E41" s="3177">
        <v>-0.11</v>
      </c>
      <c r="F41" s="3177">
        <v>-0.13</v>
      </c>
      <c r="G41" s="3177">
        <v>0.53</v>
      </c>
      <c r="H41" s="3194"/>
      <c r="I41" s="3178">
        <f t="shared" si="88"/>
        <v>-0.13</v>
      </c>
      <c r="J41" s="3179"/>
      <c r="K41" s="3180"/>
      <c r="L41" s="3170">
        <f t="shared" si="89"/>
        <v>-1.1000000000000001E-3</v>
      </c>
      <c r="M41" s="3170">
        <f t="shared" si="89"/>
        <v>-1.2999999999999999E-3</v>
      </c>
      <c r="N41" s="3170">
        <f t="shared" si="89"/>
        <v>5.3E-3</v>
      </c>
      <c r="O41" s="3170"/>
      <c r="P41" s="3170">
        <f t="shared" si="103"/>
        <v>-1.2999999999999999E-3</v>
      </c>
      <c r="Q41" s="3179"/>
      <c r="R41" s="3181"/>
      <c r="S41" s="3181">
        <f>ROUND(IF(项目基本情况!$B$8="出让",SUMPRODUCT(PRODUCT(1+L41:L$46)),SUMPRODUCT(PRODUCT(1+L41:L$45))),4)</f>
        <v>1.0210999999999999</v>
      </c>
      <c r="T41" s="3181">
        <f>ROUND(IF(项目基本情况!$B$8="出让",SUMPRODUCT(PRODUCT(1+M41:M$46)),SUMPRODUCT(PRODUCT(1+M41:M$45))),4)</f>
        <v>1.0114000000000001</v>
      </c>
      <c r="U41" s="3181">
        <f>ROUND(IF(项目基本情况!$B$8="出让",SUMPRODUCT(PRODUCT(1+N41:N$46)),SUMPRODUCT(PRODUCT(1+N41:N$45))),4)</f>
        <v>1.0381</v>
      </c>
      <c r="V41" s="3181"/>
      <c r="W41" s="3181">
        <f t="shared" si="104"/>
        <v>1.0114000000000001</v>
      </c>
      <c r="X41" s="3179"/>
      <c r="Y41" s="3182"/>
      <c r="Z41" s="3210">
        <f t="shared" si="105"/>
        <v>4.1000000000000003E-3</v>
      </c>
      <c r="AA41" s="3212">
        <f t="shared" si="105"/>
        <v>2.7000000000000001E-3</v>
      </c>
      <c r="AB41" s="3182">
        <f t="shared" si="105"/>
        <v>7.9000000000000008E-3</v>
      </c>
      <c r="AC41" s="3211"/>
      <c r="AD41" s="3182">
        <f t="shared" si="105"/>
        <v>2.7000000000000001E-3</v>
      </c>
    </row>
    <row r="42" spans="1:30" s="3183" customFormat="1" ht="12.75">
      <c r="A42" s="3174" t="s">
        <v>2831</v>
      </c>
      <c r="B42" s="3175">
        <v>2022</v>
      </c>
      <c r="C42" s="3176">
        <v>1</v>
      </c>
      <c r="D42" s="3177"/>
      <c r="E42" s="3177">
        <v>0.6</v>
      </c>
      <c r="F42" s="3177">
        <v>0.45</v>
      </c>
      <c r="G42" s="3177">
        <v>0.53</v>
      </c>
      <c r="H42" s="3194"/>
      <c r="I42" s="3178">
        <f t="shared" si="88"/>
        <v>0.45</v>
      </c>
      <c r="J42" s="3179"/>
      <c r="K42" s="3180"/>
      <c r="L42" s="3170">
        <f t="shared" si="89"/>
        <v>6.0000000000000001E-3</v>
      </c>
      <c r="M42" s="3170">
        <f t="shared" si="89"/>
        <v>4.5000000000000005E-3</v>
      </c>
      <c r="N42" s="3170">
        <f t="shared" si="89"/>
        <v>5.3E-3</v>
      </c>
      <c r="O42" s="3170"/>
      <c r="P42" s="3170">
        <f t="shared" si="103"/>
        <v>4.5000000000000005E-3</v>
      </c>
      <c r="Q42" s="3179"/>
      <c r="R42" s="3181"/>
      <c r="S42" s="3181">
        <f>ROUND(IF(项目基本情况!$B$8="出让",SUMPRODUCT(PRODUCT(1+L42:L$46)),SUMPRODUCT(PRODUCT(1+L42:L$45))),4)</f>
        <v>1.0222</v>
      </c>
      <c r="T42" s="3181">
        <f>ROUND(IF(项目基本情况!$B$8="出让",SUMPRODUCT(PRODUCT(1+M42:M$46)),SUMPRODUCT(PRODUCT(1+M42:M$45))),4)</f>
        <v>1.0127999999999999</v>
      </c>
      <c r="U42" s="3181">
        <f>ROUND(IF(项目基本情况!$B$8="出让",SUMPRODUCT(PRODUCT(1+N42:N$46)),SUMPRODUCT(PRODUCT(1+N42:N$45))),4)</f>
        <v>1.0326</v>
      </c>
      <c r="V42" s="3181"/>
      <c r="W42" s="3181">
        <f t="shared" si="104"/>
        <v>1.0127999999999999</v>
      </c>
      <c r="X42" s="3179"/>
      <c r="Y42" s="3182"/>
      <c r="Z42" s="3210">
        <f t="shared" si="105"/>
        <v>5.1000000000000004E-3</v>
      </c>
      <c r="AA42" s="3212">
        <f t="shared" si="105"/>
        <v>3.5000000000000001E-3</v>
      </c>
      <c r="AB42" s="3182">
        <f t="shared" si="105"/>
        <v>8.3999999999999995E-3</v>
      </c>
      <c r="AC42" s="3211"/>
      <c r="AD42" s="3182">
        <f t="shared" si="105"/>
        <v>3.5000000000000001E-3</v>
      </c>
    </row>
    <row r="43" spans="1:30" s="3183" customFormat="1" ht="12.75">
      <c r="A43" s="3174" t="s">
        <v>2832</v>
      </c>
      <c r="B43" s="3175">
        <v>2021</v>
      </c>
      <c r="C43" s="3176">
        <v>4</v>
      </c>
      <c r="D43" s="3177"/>
      <c r="E43" s="3177">
        <v>0.57999999999999996</v>
      </c>
      <c r="F43" s="3177">
        <v>0.08</v>
      </c>
      <c r="G43" s="3177">
        <v>0.68</v>
      </c>
      <c r="H43" s="3194"/>
      <c r="I43" s="3178">
        <f t="shared" si="88"/>
        <v>0.08</v>
      </c>
      <c r="J43" s="3179"/>
      <c r="K43" s="3180"/>
      <c r="L43" s="3170">
        <f t="shared" si="89"/>
        <v>5.7999999999999996E-3</v>
      </c>
      <c r="M43" s="3170">
        <f t="shared" si="89"/>
        <v>8.0000000000000004E-4</v>
      </c>
      <c r="N43" s="3170">
        <f t="shared" si="89"/>
        <v>6.8000000000000005E-3</v>
      </c>
      <c r="O43" s="3170"/>
      <c r="P43" s="3170">
        <f t="shared" si="103"/>
        <v>8.0000000000000004E-4</v>
      </c>
      <c r="Q43" s="3179"/>
      <c r="R43" s="3181"/>
      <c r="S43" s="3181">
        <f>ROUND(IF(项目基本情况!$B$8="出让",SUMPRODUCT(PRODUCT(1+L43:L$46)),SUMPRODUCT(PRODUCT(1+L43:L$45))),4)</f>
        <v>1.0161</v>
      </c>
      <c r="T43" s="3181">
        <f>ROUND(IF(项目基本情况!$B$8="出让",SUMPRODUCT(PRODUCT(1+M43:M$46)),SUMPRODUCT(PRODUCT(1+M43:M$45))),4)</f>
        <v>1.0082</v>
      </c>
      <c r="U43" s="3181">
        <f>ROUND(IF(项目基本情况!$B$8="出让",SUMPRODUCT(PRODUCT(1+N43:N$46)),SUMPRODUCT(PRODUCT(1+N43:N$45))),4)</f>
        <v>1.0270999999999999</v>
      </c>
      <c r="V43" s="3181"/>
      <c r="W43" s="3181">
        <f t="shared" si="104"/>
        <v>1.0082</v>
      </c>
      <c r="X43" s="3179"/>
      <c r="Y43" s="3182"/>
      <c r="Z43" s="3210">
        <f t="shared" si="105"/>
        <v>4.8999999999999998E-3</v>
      </c>
      <c r="AA43" s="3212">
        <f t="shared" si="105"/>
        <v>3.3E-3</v>
      </c>
      <c r="AB43" s="3182">
        <f t="shared" si="105"/>
        <v>9.1999999999999998E-3</v>
      </c>
      <c r="AC43" s="3211"/>
      <c r="AD43" s="3182">
        <f t="shared" si="105"/>
        <v>3.3E-3</v>
      </c>
    </row>
    <row r="44" spans="1:30" s="3183" customFormat="1" ht="12.75">
      <c r="A44" s="3174" t="s">
        <v>2833</v>
      </c>
      <c r="B44" s="3175">
        <v>2021</v>
      </c>
      <c r="C44" s="3176">
        <v>3</v>
      </c>
      <c r="D44" s="3177"/>
      <c r="E44" s="3177">
        <v>0.47</v>
      </c>
      <c r="F44" s="3177">
        <v>0.28000000000000003</v>
      </c>
      <c r="G44" s="3177">
        <v>0.91</v>
      </c>
      <c r="H44" s="3194"/>
      <c r="I44" s="3178">
        <f t="shared" si="88"/>
        <v>0.28000000000000003</v>
      </c>
      <c r="J44" s="3179"/>
      <c r="K44" s="3180"/>
      <c r="L44" s="3170">
        <f t="shared" si="89"/>
        <v>4.6999999999999993E-3</v>
      </c>
      <c r="M44" s="3170">
        <f t="shared" si="89"/>
        <v>2.8000000000000004E-3</v>
      </c>
      <c r="N44" s="3170">
        <f t="shared" si="89"/>
        <v>9.1000000000000004E-3</v>
      </c>
      <c r="O44" s="3170"/>
      <c r="P44" s="3170">
        <f t="shared" si="103"/>
        <v>2.8000000000000004E-3</v>
      </c>
      <c r="Q44" s="3179"/>
      <c r="R44" s="3181"/>
      <c r="S44" s="3181">
        <f>ROUND(IF(项目基本情况!$B$8="出让",SUMPRODUCT(PRODUCT(1+L44:L$46)),SUMPRODUCT(PRODUCT(1+L44:L$45))),4)</f>
        <v>1.0102</v>
      </c>
      <c r="T44" s="3181">
        <f>ROUND(IF(项目基本情况!$B$8="出让",SUMPRODUCT(PRODUCT(1+M44:M$46)),SUMPRODUCT(PRODUCT(1+M44:M$45))),4)</f>
        <v>1.0074000000000001</v>
      </c>
      <c r="U44" s="3181">
        <f>ROUND(IF(项目基本情况!$B$8="出让",SUMPRODUCT(PRODUCT(1+N44:N$46)),SUMPRODUCT(PRODUCT(1+N44:N$45))),4)</f>
        <v>1.0202</v>
      </c>
      <c r="V44" s="3181"/>
      <c r="W44" s="3181">
        <f t="shared" si="104"/>
        <v>1.0074000000000001</v>
      </c>
      <c r="X44" s="3179"/>
      <c r="Y44" s="3182"/>
      <c r="Z44" s="3210">
        <f t="shared" si="105"/>
        <v>4.5999999999999999E-3</v>
      </c>
      <c r="AA44" s="3212">
        <f t="shared" si="105"/>
        <v>4.1000000000000003E-3</v>
      </c>
      <c r="AB44" s="3182">
        <f t="shared" si="105"/>
        <v>0.01</v>
      </c>
      <c r="AC44" s="3211"/>
      <c r="AD44" s="3182">
        <f t="shared" si="105"/>
        <v>4.1000000000000003E-3</v>
      </c>
    </row>
    <row r="45" spans="1:30" s="3183" customFormat="1" ht="12.75">
      <c r="A45" s="3174" t="s">
        <v>2834</v>
      </c>
      <c r="B45" s="3175">
        <v>2021</v>
      </c>
      <c r="C45" s="3176">
        <v>2</v>
      </c>
      <c r="D45" s="3177"/>
      <c r="E45" s="3177">
        <v>0.55000000000000004</v>
      </c>
      <c r="F45" s="3177">
        <v>0.46</v>
      </c>
      <c r="G45" s="3177">
        <v>1.1000000000000001</v>
      </c>
      <c r="H45" s="3194"/>
      <c r="I45" s="3178">
        <f t="shared" si="88"/>
        <v>0.46</v>
      </c>
      <c r="J45" s="3179"/>
      <c r="K45" s="3180"/>
      <c r="L45" s="3170">
        <f t="shared" si="89"/>
        <v>5.5000000000000005E-3</v>
      </c>
      <c r="M45" s="3170">
        <f t="shared" si="89"/>
        <v>4.5999999999999999E-3</v>
      </c>
      <c r="N45" s="3170">
        <f t="shared" si="89"/>
        <v>1.1000000000000001E-2</v>
      </c>
      <c r="O45" s="3170"/>
      <c r="P45" s="3170">
        <f t="shared" si="103"/>
        <v>4.5999999999999999E-3</v>
      </c>
      <c r="Q45" s="3179"/>
      <c r="R45" s="3181"/>
      <c r="S45" s="3181">
        <f>ROUND(IF(项目基本情况!$B$8="出让",SUMPRODUCT(PRODUCT(1+L45:L$46)),SUMPRODUCT(PRODUCT(1+L45:L$45))),4)</f>
        <v>1.0055000000000001</v>
      </c>
      <c r="T45" s="3181">
        <f>ROUND(IF(项目基本情况!$B$8="出让",SUMPRODUCT(PRODUCT(1+M45:M$46)),SUMPRODUCT(PRODUCT(1+M45:M$45))),4)</f>
        <v>1.0045999999999999</v>
      </c>
      <c r="U45" s="3181">
        <f>ROUND(IF(项目基本情况!$B$8="出让",SUMPRODUCT(PRODUCT(1+N45:N$46)),SUMPRODUCT(PRODUCT(1+N45:N$45))),4)</f>
        <v>1.0109999999999999</v>
      </c>
      <c r="V45" s="3181"/>
      <c r="W45" s="3181">
        <f t="shared" si="104"/>
        <v>1.0045999999999999</v>
      </c>
      <c r="X45" s="3179"/>
      <c r="Y45" s="3182"/>
      <c r="Z45" s="3210">
        <f t="shared" si="105"/>
        <v>4.4999999999999997E-3</v>
      </c>
      <c r="AA45" s="3212">
        <f t="shared" si="105"/>
        <v>4.7000000000000002E-3</v>
      </c>
      <c r="AB45" s="3182">
        <f t="shared" si="105"/>
        <v>1.04E-2</v>
      </c>
      <c r="AC45" s="3211"/>
      <c r="AD45" s="3182">
        <f t="shared" si="105"/>
        <v>4.7000000000000002E-3</v>
      </c>
    </row>
    <row r="46" spans="1:30" s="3205" customFormat="1" thickBot="1">
      <c r="A46" s="3195" t="s">
        <v>2820</v>
      </c>
      <c r="B46" s="3196">
        <v>2021</v>
      </c>
      <c r="C46" s="3197">
        <v>1</v>
      </c>
      <c r="D46" s="3198"/>
      <c r="E46" s="3198">
        <v>0.35</v>
      </c>
      <c r="F46" s="3198">
        <v>0.48</v>
      </c>
      <c r="G46" s="3198">
        <v>0.98</v>
      </c>
      <c r="H46" s="3199"/>
      <c r="I46" s="3200">
        <f t="shared" si="88"/>
        <v>0.48</v>
      </c>
      <c r="J46" s="3201"/>
      <c r="K46" s="3202"/>
      <c r="L46" s="3203">
        <f t="shared" si="89"/>
        <v>3.4999999999999996E-3</v>
      </c>
      <c r="M46" s="3203">
        <f>F46/100</f>
        <v>4.7999999999999996E-3</v>
      </c>
      <c r="N46" s="3203">
        <f t="shared" si="89"/>
        <v>9.7999999999999997E-3</v>
      </c>
      <c r="O46" s="3203"/>
      <c r="P46" s="3203">
        <f t="shared" si="103"/>
        <v>4.7999999999999996E-3</v>
      </c>
      <c r="Q46" s="3201"/>
      <c r="R46" s="3204"/>
      <c r="S46" s="3204">
        <v>1</v>
      </c>
      <c r="T46" s="3204">
        <v>1</v>
      </c>
      <c r="U46" s="3204">
        <v>1</v>
      </c>
      <c r="V46" s="3204"/>
      <c r="W46" s="3204">
        <f t="shared" si="104"/>
        <v>1</v>
      </c>
      <c r="X46" s="3201"/>
      <c r="Y46" s="3203"/>
      <c r="Z46" s="3216">
        <f t="shared" si="105"/>
        <v>3.5000000000000001E-3</v>
      </c>
      <c r="AA46" s="3217">
        <f t="shared" si="105"/>
        <v>4.7999999999999996E-3</v>
      </c>
      <c r="AB46" s="3203">
        <f t="shared" si="105"/>
        <v>9.7999999999999997E-3</v>
      </c>
      <c r="AC46" s="3218"/>
      <c r="AD46" s="3203">
        <f t="shared" si="105"/>
        <v>4.7999999999999996E-3</v>
      </c>
    </row>
    <row r="47" spans="1:30" ht="14.25" thickTop="1"/>
    <row r="48" spans="1:30">
      <c r="A48" s="3446"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45743</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45586</v>
      </c>
      <c r="D13" s="2820">
        <v>3.1</v>
      </c>
      <c r="E13" s="2820">
        <f>D13</f>
        <v>3.1</v>
      </c>
      <c r="F13" s="2820">
        <f>D13</f>
        <v>3.1</v>
      </c>
      <c r="G13" s="2820">
        <f>D13</f>
        <v>3.1</v>
      </c>
      <c r="H13" s="2820">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45495</v>
      </c>
      <c r="D14" s="2815">
        <v>3.35</v>
      </c>
      <c r="E14" s="2815">
        <f>D14</f>
        <v>3.35</v>
      </c>
      <c r="F14" s="2815">
        <f>D14</f>
        <v>3.35</v>
      </c>
      <c r="G14" s="2815">
        <f>D14</f>
        <v>3.35</v>
      </c>
      <c r="H14" s="2815">
        <v>3.85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45342</v>
      </c>
      <c r="D15" s="2815">
        <v>3.45</v>
      </c>
      <c r="E15" s="2815">
        <f>D15</f>
        <v>3.45</v>
      </c>
      <c r="F15" s="2815">
        <f>D15</f>
        <v>3.45</v>
      </c>
      <c r="G15" s="2815">
        <f>D15</f>
        <v>3.45</v>
      </c>
      <c r="H15" s="2815">
        <v>3.95</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45159</v>
      </c>
      <c r="D16" s="2815">
        <v>3.45</v>
      </c>
      <c r="E16" s="2815">
        <f>D16</f>
        <v>3.45</v>
      </c>
      <c r="F16" s="2815">
        <f>D16</f>
        <v>3.45</v>
      </c>
      <c r="G16" s="2815">
        <f>D16</f>
        <v>3.45</v>
      </c>
      <c r="H16" s="2815">
        <v>4.2</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45097</v>
      </c>
      <c r="D17" s="2815">
        <v>3.55</v>
      </c>
      <c r="E17" s="2815">
        <f>D17</f>
        <v>3.55</v>
      </c>
      <c r="F17" s="2815">
        <f>D17</f>
        <v>3.55</v>
      </c>
      <c r="G17" s="2815">
        <f>D17</f>
        <v>3.55</v>
      </c>
      <c r="H17" s="2815">
        <v>4.2</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6">
        <v>44795</v>
      </c>
      <c r="D18" s="2815">
        <v>3.65</v>
      </c>
      <c r="E18" s="2815">
        <v>3.65</v>
      </c>
      <c r="F18" s="2815">
        <v>3.65</v>
      </c>
      <c r="G18" s="2815">
        <v>3.65</v>
      </c>
      <c r="H18" s="2815">
        <v>4.3</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4"/>
      <c r="C19" s="2816">
        <v>44701</v>
      </c>
      <c r="D19" s="2815">
        <v>3.7</v>
      </c>
      <c r="E19" s="2815">
        <f>D19</f>
        <v>3.7</v>
      </c>
      <c r="F19" s="2815">
        <f>D19</f>
        <v>3.7</v>
      </c>
      <c r="G19" s="2815">
        <f>D19</f>
        <v>3.7</v>
      </c>
      <c r="H19" s="2815">
        <v>4.45</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6">
        <v>44581</v>
      </c>
      <c r="D20" s="2815">
        <v>3.7</v>
      </c>
      <c r="E20" s="2815">
        <f>D20</f>
        <v>3.7</v>
      </c>
      <c r="F20" s="2815">
        <f>D20</f>
        <v>3.7</v>
      </c>
      <c r="G20" s="2815">
        <f>D20</f>
        <v>3.7</v>
      </c>
      <c r="H20" s="2815">
        <v>4.5999999999999996</v>
      </c>
      <c r="I20" s="2820"/>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44550</v>
      </c>
      <c r="D21" s="2815">
        <v>3.8</v>
      </c>
      <c r="E21" s="2815">
        <f>D21</f>
        <v>3.8</v>
      </c>
      <c r="F21" s="2815">
        <f>D21</f>
        <v>3.8</v>
      </c>
      <c r="G21" s="2815">
        <f>D21</f>
        <v>3.8</v>
      </c>
      <c r="H21" s="2815">
        <v>4.6500000000000004</v>
      </c>
      <c r="I21" s="2815"/>
      <c r="J21" s="282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43941</v>
      </c>
      <c r="D22" s="2815">
        <v>3.85</v>
      </c>
      <c r="E22" s="2815">
        <v>3.85</v>
      </c>
      <c r="F22" s="2815">
        <v>3.85</v>
      </c>
      <c r="G22" s="2815">
        <v>3.85</v>
      </c>
      <c r="H22" s="2815">
        <v>4.6500000000000004</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5"/>
      <c r="C23" s="2816">
        <v>43881</v>
      </c>
      <c r="D23" s="2815">
        <v>4.05</v>
      </c>
      <c r="E23" s="2815">
        <v>4.05</v>
      </c>
      <c r="F23" s="2815">
        <v>4.05</v>
      </c>
      <c r="G23" s="2815">
        <v>4.05</v>
      </c>
      <c r="H23" s="2815">
        <v>4.75</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43789</v>
      </c>
      <c r="D24" s="2815">
        <v>4.1500000000000004</v>
      </c>
      <c r="E24" s="2815">
        <v>4.1500000000000004</v>
      </c>
      <c r="F24" s="2815">
        <v>4.1500000000000004</v>
      </c>
      <c r="G24" s="2815">
        <v>4.1500000000000004</v>
      </c>
      <c r="H24" s="2815">
        <v>4.8</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5"/>
      <c r="C25" s="2816">
        <v>43728</v>
      </c>
      <c r="D25" s="2815">
        <v>4.2</v>
      </c>
      <c r="E25" s="2815">
        <v>4.2</v>
      </c>
      <c r="F25" s="2815">
        <v>4.2</v>
      </c>
      <c r="G25" s="2815">
        <v>4.2</v>
      </c>
      <c r="H25" s="2815">
        <v>4.8499999999999996</v>
      </c>
      <c r="I25" s="2815"/>
      <c r="J25" s="281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4" t="s">
        <v>2305</v>
      </c>
      <c r="C26" s="2817">
        <v>43697</v>
      </c>
      <c r="D26" s="2818">
        <v>4.25</v>
      </c>
      <c r="E26" s="2818">
        <v>4.25</v>
      </c>
      <c r="F26" s="2818">
        <v>4.25</v>
      </c>
      <c r="G26" s="2818">
        <v>4.25</v>
      </c>
      <c r="H26" s="2818">
        <v>4.8499999999999996</v>
      </c>
      <c r="I26" s="2818"/>
      <c r="J26" s="2818"/>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2"/>
      <c r="C27" s="2823">
        <v>42301</v>
      </c>
      <c r="D27" s="2824">
        <v>4.3499999999999996</v>
      </c>
      <c r="E27" s="2824">
        <v>4.3499999999999996</v>
      </c>
      <c r="F27" s="2824">
        <v>4.75</v>
      </c>
      <c r="G27" s="2824">
        <v>4.75</v>
      </c>
      <c r="H27" s="2824">
        <v>4.9000000000000004</v>
      </c>
      <c r="I27" s="2824"/>
      <c r="J27" s="2824"/>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73"/>
      <c r="B3" s="3473"/>
      <c r="C3" s="3473"/>
      <c r="D3" s="854" t="s">
        <v>925</v>
      </c>
      <c r="E3" s="854" t="s">
        <v>931</v>
      </c>
      <c r="F3" s="854" t="s">
        <v>925</v>
      </c>
      <c r="G3" s="854" t="s">
        <v>926</v>
      </c>
      <c r="H3" s="854" t="s">
        <v>925</v>
      </c>
      <c r="I3" s="854" t="s">
        <v>926</v>
      </c>
    </row>
    <row r="4" spans="1:9" ht="15">
      <c r="A4" s="1505" t="str">
        <f>项目基本情况!S2</f>
        <v>房地产</v>
      </c>
      <c r="B4" s="854">
        <f>项目基本情况!C17</f>
        <v>1718.77</v>
      </c>
      <c r="C4" s="854">
        <f>项目基本情况!C18</f>
        <v>27621.77</v>
      </c>
      <c r="D4" s="854" t="e">
        <f ca="1">结果表!D118</f>
        <v>#REF!</v>
      </c>
      <c r="E4" s="854" t="e">
        <f ca="1">结果表!E118</f>
        <v>#REF!</v>
      </c>
      <c r="F4" s="854" t="e">
        <f ca="1">结果表!F118</f>
        <v>#REF!</v>
      </c>
      <c r="G4" s="854" t="e">
        <f ca="1">结果表!G118</f>
        <v>#REF!</v>
      </c>
      <c r="H4" s="854">
        <f ca="1">结果表!H118</f>
        <v>5388</v>
      </c>
      <c r="I4" s="854">
        <f ca="1">结果表!I118</f>
        <v>31348</v>
      </c>
    </row>
    <row r="5" spans="1:9" ht="30" customHeight="1">
      <c r="A5" s="3473" t="s">
        <v>927</v>
      </c>
      <c r="B5" s="3473"/>
      <c r="C5" s="3473"/>
      <c r="D5" s="3473" t="e">
        <f ca="1">结果表!D119</f>
        <v>#REF!</v>
      </c>
      <c r="E5" s="3473"/>
      <c r="F5" s="3473" t="e">
        <f ca="1">结果表!F119</f>
        <v>#REF!</v>
      </c>
      <c r="G5" s="3473"/>
      <c r="H5" s="3473" t="str">
        <f ca="1">结果表!H119</f>
        <v>伍仟叁佰捌拾捌万元整</v>
      </c>
      <c r="I5" s="3473"/>
    </row>
    <row r="6" spans="1:9" ht="15.75">
      <c r="A6" s="3474" t="str">
        <f>结果表!A120</f>
        <v>估价师知悉的法定优先受偿款</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75">
      <c r="A8" s="3474" t="str">
        <f>结果表!A122</f>
        <v>房地产抵押价值</v>
      </c>
      <c r="B8" s="3474"/>
      <c r="C8" s="3474"/>
      <c r="D8" s="3474">
        <f ca="1">结果表!D122</f>
        <v>5388</v>
      </c>
      <c r="E8" s="3474"/>
      <c r="F8" s="3474"/>
      <c r="G8" s="3474"/>
      <c r="H8" s="3474"/>
      <c r="I8" s="3474"/>
    </row>
    <row r="9" spans="1:9" ht="15">
      <c r="A9" s="3473" t="s">
        <v>927</v>
      </c>
      <c r="B9" s="3473"/>
      <c r="C9" s="3473"/>
      <c r="D9" s="3473" t="str">
        <f ca="1">结果表!D123</f>
        <v>伍仟叁佰捌拾捌万元整</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83" t="str">
        <f>IF(项目基本情况!B8="抵押","3.抵押双方在办理抵押登记手续时，应使用本公司出具的正式《房地产评估报告》，特提醒报告使用者注意。","——")</f>
        <v>——</v>
      </c>
      <c r="B13" s="3484"/>
      <c r="C13" s="3484"/>
      <c r="D13" s="3484"/>
    </row>
    <row r="14" spans="1:4" ht="15.75" customHeight="1">
      <c r="A14" s="3483" t="str">
        <f>IF(项目基本情况!B8="抵押","4.本次评估估价师所知悉的法定优先受偿款情况说明如下：","——")</f>
        <v>——</v>
      </c>
      <c r="B14" s="3484"/>
      <c r="C14" s="3484"/>
      <c r="D14" s="3484"/>
    </row>
    <row r="15" spans="1:4" ht="42" customHeight="1">
      <c r="A15" s="3483" t="str">
        <f>IF(项目基本情况!B8="抵押","（1）"&amp;CONCATENATE(项目基本情况!L20,项目基本情况!L21,项目基本情况!L22),"——")</f>
        <v>——</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4" t="s">
        <v>956</v>
      </c>
      <c r="B15" s="3489" t="s">
        <v>109</v>
      </c>
      <c r="C15" s="3490"/>
    </row>
    <row r="16" spans="1:7" ht="13.5">
      <c r="A16" s="3495"/>
      <c r="B16" s="3489" t="s">
        <v>42</v>
      </c>
      <c r="C16" s="3490"/>
    </row>
    <row r="17" spans="1:3" ht="13.5">
      <c r="A17" s="3495"/>
      <c r="B17" s="3492" t="s">
        <v>957</v>
      </c>
      <c r="C17" s="1532" t="s">
        <v>956</v>
      </c>
    </row>
    <row r="18" spans="1:3" ht="13.5">
      <c r="A18" s="3495"/>
      <c r="B18" s="3492"/>
      <c r="C18" s="1532" t="s">
        <v>958</v>
      </c>
    </row>
    <row r="19" spans="1:3" ht="13.5">
      <c r="A19" s="3495"/>
      <c r="B19" s="3492"/>
      <c r="C19" s="1532" t="s">
        <v>959</v>
      </c>
    </row>
    <row r="20" spans="1:3" ht="13.5">
      <c r="A20" s="3496"/>
      <c r="B20" s="3491" t="s">
        <v>960</v>
      </c>
      <c r="C20" s="3490"/>
    </row>
    <row r="21" spans="1:3" ht="13.5">
      <c r="A21" s="1533" t="s">
        <v>961</v>
      </c>
      <c r="B21" s="1534"/>
      <c r="C21" s="1535"/>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2" t="s">
        <v>967</v>
      </c>
    </row>
    <row r="26" spans="1:3" ht="13.5">
      <c r="A26" s="3493"/>
      <c r="B26" s="3492"/>
      <c r="C26" s="1532" t="s">
        <v>968</v>
      </c>
    </row>
    <row r="27" spans="1:3" ht="13.5">
      <c r="A27" s="3493"/>
      <c r="B27" s="3492"/>
      <c r="C27" s="1532" t="s">
        <v>969</v>
      </c>
    </row>
    <row r="28" spans="1:3" ht="13.5">
      <c r="A28" s="3493"/>
      <c r="B28" s="3492"/>
      <c r="C28" s="1532" t="s">
        <v>970</v>
      </c>
    </row>
    <row r="29" spans="1:3" ht="13.5">
      <c r="A29" s="3493"/>
      <c r="B29" s="3492"/>
      <c r="C29" s="1532" t="s">
        <v>971</v>
      </c>
    </row>
    <row r="30" spans="1:3" ht="13.5">
      <c r="A30" s="3493"/>
      <c r="B30" s="3492"/>
      <c r="C30" s="1532" t="s">
        <v>972</v>
      </c>
    </row>
    <row r="31" spans="1:3" ht="13.5">
      <c r="A31" s="3493"/>
      <c r="B31" s="3492"/>
      <c r="C31" s="1532" t="s">
        <v>973</v>
      </c>
    </row>
    <row r="32" spans="1:3" ht="13.5">
      <c r="A32" s="3493"/>
      <c r="B32" s="3492"/>
      <c r="C32" s="1532" t="s">
        <v>974</v>
      </c>
    </row>
    <row r="33" spans="1:3" ht="13.5">
      <c r="A33" s="3493"/>
      <c r="B33" s="34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45743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3"/>
      <c r="E18" s="3499" t="s">
        <v>2162</v>
      </c>
      <c r="F18" s="3498"/>
      <c r="G18" s="349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成本法</vt:lpstr>
      <vt:lpstr>成本法 (元)</vt:lpstr>
      <vt:lpstr>假设开发法</vt:lpstr>
      <vt:lpstr>收益法</vt:lpstr>
      <vt:lpstr>比较法-办公</vt:lpstr>
      <vt:lpstr>案例</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面积指标</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2025-03-27T07:17:57Z</dcterms:modified>
</cp:coreProperties>
</file>