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及房屋在售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1" i="68" l="1"/>
  <c r="P70" i="68"/>
  <c r="P69" i="68"/>
  <c r="P68" i="68"/>
  <c r="G47" i="21" l="1"/>
  <c r="I47" i="21"/>
  <c r="E47" i="21"/>
  <c r="C33" i="21" l="1"/>
  <c r="I40" i="39"/>
  <c r="G40" i="39"/>
  <c r="E40" i="39"/>
  <c r="C40" i="39"/>
  <c r="I9" i="39"/>
  <c r="G9" i="39"/>
  <c r="E9" i="39"/>
  <c r="I7" i="39"/>
  <c r="G7"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B7" i="4"/>
  <c r="D3" i="4"/>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B11" i="59" s="1"/>
  <c r="B10"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5" i="66"/>
  <c r="F15" i="66"/>
  <c r="E16" i="66"/>
  <c r="F16" i="66"/>
  <c r="E17" i="66"/>
  <c r="F17" i="66"/>
  <c r="E18" i="66"/>
  <c r="F18" i="66"/>
  <c r="E19" i="66"/>
  <c r="F19" i="66"/>
  <c r="E20" i="66"/>
  <c r="F20" i="66"/>
  <c r="E21" i="66"/>
  <c r="F21" i="66"/>
  <c r="E22" i="66"/>
  <c r="F22" i="66"/>
  <c r="E23" i="66"/>
  <c r="F23" i="66"/>
  <c r="B3" i="66"/>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AB26" i="59"/>
  <c r="S2" i="31"/>
  <c r="M2" i="31"/>
  <c r="N2" i="31"/>
  <c r="O2" i="31"/>
  <c r="P2" i="31"/>
  <c r="Q2" i="31"/>
  <c r="R2" i="31"/>
  <c r="C12" i="59"/>
  <c r="D12" i="59" s="1"/>
  <c r="C3" i="65"/>
  <c r="C1" i="65"/>
  <c r="N1" i="65" s="1"/>
  <c r="B76" i="63"/>
  <c r="M5" i="54"/>
  <c r="B41" i="63" s="1"/>
  <c r="A23" i="51"/>
  <c r="Y12" i="46"/>
  <c r="AA9" i="46"/>
  <c r="AB9" i="46"/>
  <c r="AB10" i="46" s="1"/>
  <c r="AC9" i="46"/>
  <c r="AC10" i="46" s="1"/>
  <c r="AD9" i="46"/>
  <c r="AD10" i="46" s="1"/>
  <c r="AE9" i="46"/>
  <c r="AF9" i="46"/>
  <c r="AF10" i="46" s="1"/>
  <c r="AG9" i="46"/>
  <c r="AG10" i="46" s="1"/>
  <c r="AH9" i="46"/>
  <c r="AH10" i="46"/>
  <c r="AI9" i="46"/>
  <c r="AJ9" i="46"/>
  <c r="AJ10" i="46" s="1"/>
  <c r="Z9" i="46"/>
  <c r="Z10" i="46" s="1"/>
  <c r="AI10" i="46"/>
  <c r="AA10" i="46"/>
  <c r="Y10" i="46"/>
  <c r="Z12" i="46"/>
  <c r="AI12" i="46"/>
  <c r="AC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s="1"/>
  <c r="N4" i="63"/>
  <c r="B67" i="63"/>
  <c r="I19" i="46"/>
  <c r="Q16" i="59"/>
  <c r="F16" i="59" s="1"/>
  <c r="P16" i="59"/>
  <c r="O16" i="59"/>
  <c r="N16" i="59"/>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c r="E44" i="59" s="1"/>
  <c r="U44" i="59" s="1"/>
  <c r="O41" i="59"/>
  <c r="C42" i="59"/>
  <c r="D42" i="59" s="1"/>
  <c r="N41" i="59"/>
  <c r="B42" i="59"/>
  <c r="B43" i="59" s="1"/>
  <c r="B44" i="59" s="1"/>
  <c r="S44" i="59" s="1"/>
  <c r="D41" i="59"/>
  <c r="Q40" i="59"/>
  <c r="P40" i="59"/>
  <c r="O40" i="59"/>
  <c r="N40" i="59"/>
  <c r="Q39" i="59"/>
  <c r="P39" i="59"/>
  <c r="O39" i="59"/>
  <c r="N39" i="59"/>
  <c r="Q38" i="59"/>
  <c r="P38" i="59"/>
  <c r="E39" i="59" s="1"/>
  <c r="E40" i="59" s="1"/>
  <c r="U40" i="59" s="1"/>
  <c r="O38" i="59"/>
  <c r="N38" i="59"/>
  <c r="Q37" i="59"/>
  <c r="F38" i="59"/>
  <c r="F39" i="59" s="1"/>
  <c r="F40" i="59" s="1"/>
  <c r="V40" i="59" s="1"/>
  <c r="P37" i="59"/>
  <c r="E38" i="59" s="1"/>
  <c r="O37" i="59"/>
  <c r="C38" i="59" s="1"/>
  <c r="C39" i="59" s="1"/>
  <c r="D39"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c r="P27" i="59"/>
  <c r="O27" i="59"/>
  <c r="Y27" i="59" s="1"/>
  <c r="Z27" i="59" s="1"/>
  <c r="N27" i="59"/>
  <c r="X27" i="59"/>
  <c r="Q26" i="59"/>
  <c r="P26" i="59"/>
  <c r="AA26" i="59" s="1"/>
  <c r="O26" i="59"/>
  <c r="N26" i="59"/>
  <c r="X26" i="59" s="1"/>
  <c r="Q25" i="59"/>
  <c r="AB25" i="59" s="1"/>
  <c r="F26" i="59"/>
  <c r="P25" i="59"/>
  <c r="E26" i="59"/>
  <c r="E27" i="59" s="1"/>
  <c r="E28" i="59" s="1"/>
  <c r="U28" i="59" s="1"/>
  <c r="O25" i="59"/>
  <c r="C26" i="59" s="1"/>
  <c r="D26" i="59" s="1"/>
  <c r="N25" i="59"/>
  <c r="D25" i="59"/>
  <c r="Q24" i="59"/>
  <c r="AB24" i="59" s="1"/>
  <c r="P24" i="59"/>
  <c r="O24" i="59"/>
  <c r="N24" i="59"/>
  <c r="Q23" i="59"/>
  <c r="AB23" i="59" s="1"/>
  <c r="P23" i="59"/>
  <c r="O23" i="59"/>
  <c r="N23" i="59"/>
  <c r="Q22" i="59"/>
  <c r="AB22" i="59" s="1"/>
  <c r="P22" i="59"/>
  <c r="O22" i="59"/>
  <c r="N22" i="59"/>
  <c r="Q21" i="59"/>
  <c r="P21" i="59"/>
  <c r="AA16" i="59" s="1"/>
  <c r="O21" i="59"/>
  <c r="C22" i="59"/>
  <c r="N21" i="59"/>
  <c r="B22" i="59"/>
  <c r="B23" i="59" s="1"/>
  <c r="B24" i="59" s="1"/>
  <c r="S24" i="59" s="1"/>
  <c r="D21" i="59"/>
  <c r="Q20" i="59"/>
  <c r="AB20" i="59" s="1"/>
  <c r="P20" i="59"/>
  <c r="O20" i="59"/>
  <c r="N20" i="59"/>
  <c r="Q19" i="59"/>
  <c r="P19" i="59"/>
  <c r="O19" i="59"/>
  <c r="N19" i="59"/>
  <c r="Q18" i="59"/>
  <c r="P18" i="59"/>
  <c r="O18" i="59"/>
  <c r="N18" i="59"/>
  <c r="Q17" i="59"/>
  <c r="F18" i="59"/>
  <c r="F19" i="59" s="1"/>
  <c r="F20" i="59" s="1"/>
  <c r="V20" i="59" s="1"/>
  <c r="P17" i="59"/>
  <c r="O17" i="59"/>
  <c r="C18" i="59" s="1"/>
  <c r="N17" i="59"/>
  <c r="D17" i="59"/>
  <c r="AA3" i="59"/>
  <c r="AB3" i="59"/>
  <c r="E18" i="59"/>
  <c r="E19" i="59" s="1"/>
  <c r="E20" i="59" s="1"/>
  <c r="U20" i="59"/>
  <c r="AA27" i="59"/>
  <c r="F27" i="59"/>
  <c r="F28" i="59" s="1"/>
  <c r="V28" i="59" s="1"/>
  <c r="F32" i="59"/>
  <c r="V32" i="59" s="1"/>
  <c r="F44" i="59"/>
  <c r="V44" i="59" s="1"/>
  <c r="V48" i="59"/>
  <c r="D34" i="59"/>
  <c r="D46" i="59"/>
  <c r="D22" i="59"/>
  <c r="O56" i="59"/>
  <c r="C55" i="59"/>
  <c r="O55" i="59" s="1"/>
  <c r="U56" i="59"/>
  <c r="C59" i="59"/>
  <c r="E59" i="59"/>
  <c r="E58" i="59"/>
  <c r="D60" i="59"/>
  <c r="C63" i="59"/>
  <c r="D63" i="59" s="1"/>
  <c r="C67" i="59"/>
  <c r="D67" i="59" s="1"/>
  <c r="E67" i="59"/>
  <c r="E66" i="59" s="1"/>
  <c r="D68" i="59"/>
  <c r="C71" i="59"/>
  <c r="C70" i="59" s="1"/>
  <c r="C75" i="59"/>
  <c r="D75" i="59" s="1"/>
  <c r="U16" i="4"/>
  <c r="S16" i="4"/>
  <c r="Q16" i="4"/>
  <c r="O16" i="4"/>
  <c r="M16" i="4"/>
  <c r="K16" i="4"/>
  <c r="C74" i="59"/>
  <c r="D74" i="59" s="1"/>
  <c r="C66" i="59"/>
  <c r="D66" i="59" s="1"/>
  <c r="D71" i="59"/>
  <c r="D70" i="59"/>
  <c r="C62" i="59"/>
  <c r="D62" i="59" s="1"/>
  <c r="N16" i="4"/>
  <c r="O27" i="6"/>
  <c r="N27" i="6"/>
  <c r="P26" i="6"/>
  <c r="L26" i="6"/>
  <c r="P25" i="6"/>
  <c r="L25" i="6"/>
  <c r="P24" i="6"/>
  <c r="L24" i="6"/>
  <c r="P23" i="6"/>
  <c r="L23" i="6"/>
  <c r="P22" i="6"/>
  <c r="L22" i="6"/>
  <c r="P21" i="6"/>
  <c r="L21" i="6"/>
  <c r="P20" i="6"/>
  <c r="P19" i="6"/>
  <c r="P27" i="6" s="1"/>
  <c r="Q18" i="36"/>
  <c r="Z18" i="36" s="1"/>
  <c r="C18" i="36"/>
  <c r="D66" i="36"/>
  <c r="E66" i="36" s="1"/>
  <c r="F18" i="36"/>
  <c r="AA18" i="36"/>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c r="C22" i="20"/>
  <c r="B65" i="46"/>
  <c r="S18" i="36"/>
  <c r="S18" i="35"/>
  <c r="S27" i="40"/>
  <c r="C27" i="40"/>
  <c r="C31" i="39"/>
  <c r="B54" i="46"/>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L482" i="3" s="1"/>
  <c r="BO482" i="3"/>
  <c r="BP482" i="3"/>
  <c r="BR482" i="3"/>
  <c r="BS482" i="3"/>
  <c r="BT482" i="3"/>
  <c r="H483" i="3"/>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L484" i="3" s="1"/>
  <c r="AZ484" i="3" s="1"/>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L489" i="3" s="1"/>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A505" i="3" s="1"/>
  <c r="AZ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L516" i="3" s="1"/>
  <c r="BO516" i="3"/>
  <c r="BP516" i="3"/>
  <c r="BR516" i="3"/>
  <c r="BS516" i="3"/>
  <c r="BT516" i="3"/>
  <c r="H517" i="3"/>
  <c r="AC517" i="3"/>
  <c r="BB517" i="3"/>
  <c r="BA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R536" i="3"/>
  <c r="BS536" i="3"/>
  <c r="BT536" i="3"/>
  <c r="H537" i="3"/>
  <c r="AC537" i="3"/>
  <c r="BB537" i="3"/>
  <c r="BC537" i="3"/>
  <c r="BD537" i="3"/>
  <c r="BE537" i="3"/>
  <c r="BF537" i="3"/>
  <c r="BG537" i="3"/>
  <c r="BH537" i="3"/>
  <c r="BI537" i="3"/>
  <c r="BJ537" i="3"/>
  <c r="BK537" i="3"/>
  <c r="BM537" i="3"/>
  <c r="BN537" i="3"/>
  <c r="BL537" i="3" s="1"/>
  <c r="AZ537" i="3" s="1"/>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A552" i="3" s="1"/>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A563" i="3" s="1"/>
  <c r="AZ563" i="3" s="1"/>
  <c r="BC563" i="3"/>
  <c r="BD563" i="3"/>
  <c r="BE563" i="3"/>
  <c r="BF563" i="3"/>
  <c r="BG563" i="3"/>
  <c r="BH563" i="3"/>
  <c r="BI563" i="3"/>
  <c r="BJ563" i="3"/>
  <c r="BK563" i="3"/>
  <c r="BM563" i="3"/>
  <c r="BN563" i="3"/>
  <c r="BO563" i="3"/>
  <c r="BP563" i="3"/>
  <c r="BQ563" i="3"/>
  <c r="BR563" i="3"/>
  <c r="BS563" i="3"/>
  <c r="BT563" i="3"/>
  <c r="H564" i="3"/>
  <c r="G564" i="3" s="1"/>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L565" i="3" s="1"/>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AC27" i="34" s="1"/>
  <c r="D88" i="34"/>
  <c r="E88" i="34"/>
  <c r="F88" i="34" s="1"/>
  <c r="G88" i="34" s="1"/>
  <c r="H88" i="34" s="1"/>
  <c r="I88" i="34" s="1"/>
  <c r="J88" i="34" s="1"/>
  <c r="K88" i="34" s="1"/>
  <c r="L88" i="34" s="1"/>
  <c r="M88" i="34" s="1"/>
  <c r="D86" i="34"/>
  <c r="E86" i="34" s="1"/>
  <c r="D82" i="34"/>
  <c r="E82" i="34" s="1"/>
  <c r="F82" i="34" s="1"/>
  <c r="G82" i="34" s="1"/>
  <c r="D80" i="34"/>
  <c r="D78" i="34"/>
  <c r="E78" i="34" s="1"/>
  <c r="F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B128" i="21"/>
  <c r="F45" i="21" s="1"/>
  <c r="B126" i="21"/>
  <c r="J44" i="21" s="1"/>
  <c r="AC44" i="21" s="1"/>
  <c r="B98" i="21"/>
  <c r="J31" i="21" s="1"/>
  <c r="B96" i="21"/>
  <c r="B94" i="21"/>
  <c r="H29" i="21" s="1"/>
  <c r="U29" i="21" s="1"/>
  <c r="B92" i="21"/>
  <c r="H28" i="21" s="1"/>
  <c r="U28" i="21" s="1"/>
  <c r="B90" i="21"/>
  <c r="H27" i="21" s="1"/>
  <c r="AB27" i="21" s="1"/>
  <c r="B74" i="21"/>
  <c r="F14" i="21" s="1"/>
  <c r="B72" i="21"/>
  <c r="J13" i="21" s="1"/>
  <c r="B70" i="21"/>
  <c r="F12" i="21" s="1"/>
  <c r="S12" i="21" s="1"/>
  <c r="F10" i="21"/>
  <c r="AA10" i="21" s="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BB12" i="3"/>
  <c r="F9" i="12"/>
  <c r="E9" i="12"/>
  <c r="G9" i="12"/>
  <c r="K5" i="3"/>
  <c r="E20" i="6" s="1"/>
  <c r="D9" i="12" s="1"/>
  <c r="J5" i="3"/>
  <c r="BE10" i="3"/>
  <c r="BD13" i="3"/>
  <c r="BE13" i="3"/>
  <c r="BE5" i="3" s="1"/>
  <c r="BF13" i="3"/>
  <c r="BG13"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G20" i="6" s="1"/>
  <c r="N5" i="3"/>
  <c r="O5" i="3"/>
  <c r="G21" i="6" s="1"/>
  <c r="E21" i="6" s="1"/>
  <c r="K8" i="1" s="1"/>
  <c r="M8" i="1" s="1"/>
  <c r="O8" i="1" s="1"/>
  <c r="P8" i="1" s="1"/>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J12" i="21"/>
  <c r="W12" i="21" s="1"/>
  <c r="J26" i="21"/>
  <c r="W26" i="21"/>
  <c r="F26" i="21"/>
  <c r="AA26" i="21"/>
  <c r="W41" i="21"/>
  <c r="S10" i="39"/>
  <c r="U30" i="37"/>
  <c r="E103" i="37"/>
  <c r="F103" i="37"/>
  <c r="G103" i="37" s="1"/>
  <c r="F29" i="36"/>
  <c r="AA29" i="36" s="1"/>
  <c r="F16" i="36"/>
  <c r="AA16" i="36" s="1"/>
  <c r="U22" i="36"/>
  <c r="W23" i="36"/>
  <c r="U26" i="36"/>
  <c r="AC31" i="36"/>
  <c r="J33" i="36"/>
  <c r="W33" i="36" s="1"/>
  <c r="U31" i="35"/>
  <c r="W36" i="35"/>
  <c r="S31" i="35"/>
  <c r="W31" i="35"/>
  <c r="U34" i="35"/>
  <c r="F36" i="34"/>
  <c r="S36" i="34"/>
  <c r="W39" i="34"/>
  <c r="H39" i="33"/>
  <c r="AB39" i="33" s="1"/>
  <c r="F26" i="33"/>
  <c r="AA26" i="33" s="1"/>
  <c r="U33" i="33"/>
  <c r="W38" i="33"/>
  <c r="S33" i="33"/>
  <c r="W33" i="33"/>
  <c r="U38" i="33"/>
  <c r="S8" i="21"/>
  <c r="H39" i="37"/>
  <c r="AB39" i="37" s="1"/>
  <c r="S10" i="40"/>
  <c r="W10" i="40"/>
  <c r="S11" i="40"/>
  <c r="U11" i="40"/>
  <c r="S36" i="40"/>
  <c r="U36" i="40"/>
  <c r="S40" i="39"/>
  <c r="S36" i="39"/>
  <c r="AA38" i="21"/>
  <c r="U36" i="39"/>
  <c r="S42" i="39"/>
  <c r="H32" i="33"/>
  <c r="AB32" i="33" s="1"/>
  <c r="H11" i="21"/>
  <c r="U11" i="21" s="1"/>
  <c r="AA12" i="33"/>
  <c r="J27" i="36"/>
  <c r="W27" i="36"/>
  <c r="J30" i="35"/>
  <c r="W30" i="35"/>
  <c r="F22" i="35"/>
  <c r="AA22" i="35"/>
  <c r="H10" i="35"/>
  <c r="U10" i="35"/>
  <c r="E85" i="36"/>
  <c r="F85" i="36" s="1"/>
  <c r="G85" i="36" s="1"/>
  <c r="H85" i="36" s="1"/>
  <c r="I85" i="36" s="1"/>
  <c r="J85" i="36" s="1"/>
  <c r="K85" i="36" s="1"/>
  <c r="L85" i="36" s="1"/>
  <c r="M85" i="36" s="1"/>
  <c r="J29" i="36"/>
  <c r="AC29" i="36"/>
  <c r="F12" i="36"/>
  <c r="S12" i="36"/>
  <c r="AB8" i="36"/>
  <c r="H16" i="35"/>
  <c r="U16" i="35"/>
  <c r="H33" i="35"/>
  <c r="AB33" i="35"/>
  <c r="AC8" i="35"/>
  <c r="F35" i="37"/>
  <c r="E101" i="37"/>
  <c r="F101" i="37" s="1"/>
  <c r="G101" i="37" s="1"/>
  <c r="H101" i="37" s="1"/>
  <c r="I101" i="37" s="1"/>
  <c r="J101" i="37" s="1"/>
  <c r="K101" i="37" s="1"/>
  <c r="L101" i="37" s="1"/>
  <c r="M101" i="37" s="1"/>
  <c r="J34" i="37"/>
  <c r="W34" i="37"/>
  <c r="H43" i="34"/>
  <c r="AB43" i="34" s="1"/>
  <c r="U42" i="34"/>
  <c r="E114" i="34"/>
  <c r="H36" i="34"/>
  <c r="U36" i="34" s="1"/>
  <c r="F37" i="34"/>
  <c r="AA37" i="34" s="1"/>
  <c r="F33" i="34"/>
  <c r="S33" i="34" s="1"/>
  <c r="F19" i="34"/>
  <c r="AA19" i="34" s="1"/>
  <c r="J10" i="34"/>
  <c r="AC10" i="34" s="1"/>
  <c r="U9" i="34"/>
  <c r="J28" i="34"/>
  <c r="S38" i="33"/>
  <c r="F36" i="33"/>
  <c r="S36" i="33" s="1"/>
  <c r="F19" i="33"/>
  <c r="S19" i="33" s="1"/>
  <c r="J19" i="33"/>
  <c r="W19" i="33" s="1"/>
  <c r="W40" i="33"/>
  <c r="S22" i="35"/>
  <c r="H29" i="35"/>
  <c r="U29" i="35" s="1"/>
  <c r="U34" i="37"/>
  <c r="S34" i="37"/>
  <c r="AC43" i="34"/>
  <c r="AB42" i="34"/>
  <c r="AB40" i="34"/>
  <c r="W36" i="34"/>
  <c r="J19" i="34"/>
  <c r="AC19" i="34" s="1"/>
  <c r="H37" i="33"/>
  <c r="AB37" i="33" s="1"/>
  <c r="S37" i="33"/>
  <c r="W43" i="34"/>
  <c r="AC42" i="34"/>
  <c r="AA42" i="34"/>
  <c r="S42" i="34"/>
  <c r="AC38" i="34"/>
  <c r="AA38" i="34"/>
  <c r="J37" i="33"/>
  <c r="W37" i="33" s="1"/>
  <c r="J44" i="34"/>
  <c r="AC44" i="34"/>
  <c r="F44" i="34"/>
  <c r="S44" i="34"/>
  <c r="J10" i="35"/>
  <c r="W10" i="35"/>
  <c r="AL5" i="3"/>
  <c r="BQ13" i="3"/>
  <c r="J14" i="21"/>
  <c r="AC14" i="21" s="1"/>
  <c r="AA14" i="21"/>
  <c r="AB28" i="21"/>
  <c r="J28" i="21"/>
  <c r="AC28" i="21" s="1"/>
  <c r="H30" i="21"/>
  <c r="U30" i="21" s="1"/>
  <c r="F30" i="21"/>
  <c r="S30" i="21" s="1"/>
  <c r="J30" i="21"/>
  <c r="W30" i="21" s="1"/>
  <c r="H44" i="21"/>
  <c r="U44" i="21" s="1"/>
  <c r="H46" i="21"/>
  <c r="J46" i="21"/>
  <c r="W46" i="21" s="1"/>
  <c r="F46" i="21"/>
  <c r="AA46" i="21" s="1"/>
  <c r="H28" i="33"/>
  <c r="U28" i="33" s="1"/>
  <c r="F33" i="35"/>
  <c r="S33" i="35"/>
  <c r="J33" i="35"/>
  <c r="W33" i="35"/>
  <c r="F30" i="35"/>
  <c r="AA30" i="35"/>
  <c r="F89" i="35"/>
  <c r="G89" i="35" s="1"/>
  <c r="H89" i="35"/>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F27" i="33"/>
  <c r="J29" i="33"/>
  <c r="J31" i="33"/>
  <c r="AC31" i="33" s="1"/>
  <c r="H31" i="33"/>
  <c r="U31" i="33" s="1"/>
  <c r="S31" i="33"/>
  <c r="F11" i="35"/>
  <c r="S11" i="35" s="1"/>
  <c r="H28" i="36"/>
  <c r="U28" i="36" s="1"/>
  <c r="H32" i="36"/>
  <c r="AB32" i="36" s="1"/>
  <c r="J32" i="36"/>
  <c r="W32" i="36" s="1"/>
  <c r="J11" i="36"/>
  <c r="H13" i="36"/>
  <c r="AB13" i="36" s="1"/>
  <c r="F13" i="36"/>
  <c r="S13" i="36" s="1"/>
  <c r="J29" i="37"/>
  <c r="W29" i="37" s="1"/>
  <c r="F29" i="37"/>
  <c r="AA29" i="37" s="1"/>
  <c r="J37" i="37"/>
  <c r="H37" i="37"/>
  <c r="U37" i="37" s="1"/>
  <c r="H40" i="37"/>
  <c r="J40" i="37"/>
  <c r="AC40" i="37" s="1"/>
  <c r="F40" i="37"/>
  <c r="AA40" i="37"/>
  <c r="H14" i="33"/>
  <c r="U14" i="33"/>
  <c r="F14" i="33"/>
  <c r="AA14" i="33"/>
  <c r="J14" i="33"/>
  <c r="AC14" i="33"/>
  <c r="H30" i="33"/>
  <c r="AB30" i="33"/>
  <c r="F30" i="33"/>
  <c r="S30" i="33"/>
  <c r="J30" i="33"/>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5"/>
  <c r="H25" i="35"/>
  <c r="AB25" i="35" s="1"/>
  <c r="F35" i="35"/>
  <c r="S35" i="35" s="1"/>
  <c r="J25" i="36"/>
  <c r="W25" i="36" s="1"/>
  <c r="F25" i="36"/>
  <c r="AA25" i="36" s="1"/>
  <c r="H25" i="36"/>
  <c r="H13" i="37"/>
  <c r="AB13" i="37" s="1"/>
  <c r="F13" i="37"/>
  <c r="S13" i="37" s="1"/>
  <c r="J13" i="37"/>
  <c r="AC13" i="37" s="1"/>
  <c r="F28" i="37"/>
  <c r="AA28" i="37" s="1"/>
  <c r="J28" i="37"/>
  <c r="AC28" i="37" s="1"/>
  <c r="H28" i="37"/>
  <c r="U28" i="37" s="1"/>
  <c r="J38" i="37"/>
  <c r="AC38" i="37" s="1"/>
  <c r="F14" i="37"/>
  <c r="AA14" i="37" s="1"/>
  <c r="J14" i="37"/>
  <c r="W14" i="37" s="1"/>
  <c r="AB13" i="35"/>
  <c r="U30" i="33"/>
  <c r="J36" i="37"/>
  <c r="AC36" i="37" s="1"/>
  <c r="AB28" i="36"/>
  <c r="S46" i="21"/>
  <c r="AB30" i="21"/>
  <c r="S46" i="33"/>
  <c r="AB27" i="33"/>
  <c r="G517" i="3"/>
  <c r="G508" i="3"/>
  <c r="G499" i="3"/>
  <c r="G493" i="3"/>
  <c r="G17" i="3"/>
  <c r="G561" i="3"/>
  <c r="G539" i="3"/>
  <c r="BL557" i="3"/>
  <c r="BL527" i="3"/>
  <c r="BL501" i="3"/>
  <c r="BL491" i="3"/>
  <c r="BL483" i="3"/>
  <c r="G16" i="3"/>
  <c r="BL563" i="3"/>
  <c r="BL555" i="3"/>
  <c r="BL541" i="3"/>
  <c r="G518" i="3"/>
  <c r="BL503" i="3"/>
  <c r="BA569" i="3"/>
  <c r="BA561" i="3"/>
  <c r="BA551" i="3"/>
  <c r="AZ551" i="3" s="1"/>
  <c r="BA543" i="3"/>
  <c r="BA521" i="3"/>
  <c r="BA501" i="3"/>
  <c r="BA493" i="3"/>
  <c r="BA487" i="3"/>
  <c r="BA566" i="3"/>
  <c r="BA560" i="3"/>
  <c r="BA554" i="3"/>
  <c r="BA540" i="3"/>
  <c r="BA532" i="3"/>
  <c r="BA524" i="3"/>
  <c r="AZ524" i="3" s="1"/>
  <c r="BA516" i="3"/>
  <c r="BA508" i="3"/>
  <c r="BA498" i="3"/>
  <c r="BA492" i="3"/>
  <c r="BA484" i="3"/>
  <c r="G566" i="3"/>
  <c r="G560" i="3"/>
  <c r="G554" i="3"/>
  <c r="AC542" i="3"/>
  <c r="BQ542" i="3"/>
  <c r="BQ568" i="3"/>
  <c r="BQ566" i="3"/>
  <c r="BL566" i="3" s="1"/>
  <c r="BQ564" i="3"/>
  <c r="BL564" i="3"/>
  <c r="BQ562" i="3"/>
  <c r="BL562" i="3"/>
  <c r="BQ560" i="3"/>
  <c r="BQ558" i="3"/>
  <c r="BQ556" i="3"/>
  <c r="BQ554" i="3"/>
  <c r="BQ552" i="3"/>
  <c r="BQ550" i="3"/>
  <c r="BQ548" i="3"/>
  <c r="BQ546" i="3"/>
  <c r="BQ544" i="3"/>
  <c r="G544" i="3"/>
  <c r="G534" i="3"/>
  <c r="BQ540" i="3"/>
  <c r="BL540" i="3" s="1"/>
  <c r="AZ540" i="3" s="1"/>
  <c r="BQ538" i="3"/>
  <c r="BQ536" i="3"/>
  <c r="BQ534" i="3"/>
  <c r="BL534" i="3"/>
  <c r="BQ532" i="3"/>
  <c r="BL532" i="3"/>
  <c r="AZ532" i="3" s="1"/>
  <c r="BQ530" i="3"/>
  <c r="BQ528" i="3"/>
  <c r="BQ526" i="3"/>
  <c r="BL526" i="3"/>
  <c r="BQ524" i="3"/>
  <c r="BL524" i="3"/>
  <c r="BQ522" i="3"/>
  <c r="BQ520" i="3"/>
  <c r="BQ518" i="3"/>
  <c r="BQ516" i="3"/>
  <c r="BQ514" i="3"/>
  <c r="BQ512" i="3"/>
  <c r="BQ510" i="3"/>
  <c r="BQ508" i="3"/>
  <c r="BL508" i="3" s="1"/>
  <c r="AC506" i="3"/>
  <c r="G506" i="3" s="1"/>
  <c r="BQ506" i="3"/>
  <c r="G498" i="3"/>
  <c r="BQ504" i="3"/>
  <c r="BQ502" i="3"/>
  <c r="BL502" i="3" s="1"/>
  <c r="BQ500" i="3"/>
  <c r="BQ498" i="3"/>
  <c r="BQ496" i="3"/>
  <c r="AC494" i="3"/>
  <c r="BQ494" i="3"/>
  <c r="BL493" i="3"/>
  <c r="G492" i="3"/>
  <c r="G488" i="3"/>
  <c r="G20" i="3"/>
  <c r="BQ492" i="3"/>
  <c r="BL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79" i="37"/>
  <c r="G79"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c r="J43" i="33"/>
  <c r="AC43" i="33"/>
  <c r="J23" i="37"/>
  <c r="F17" i="37"/>
  <c r="AA17" i="37" s="1"/>
  <c r="AB43" i="33"/>
  <c r="AC33" i="36"/>
  <c r="W23" i="35"/>
  <c r="AC8" i="37"/>
  <c r="AC36" i="34"/>
  <c r="AC37" i="33"/>
  <c r="AA36" i="21"/>
  <c r="F43" i="33"/>
  <c r="AA43" i="33" s="1"/>
  <c r="AA23" i="37"/>
  <c r="S10" i="35"/>
  <c r="H19" i="34"/>
  <c r="AB19" i="34" s="1"/>
  <c r="J10" i="37"/>
  <c r="W10" i="37" s="1"/>
  <c r="F36" i="35"/>
  <c r="S36" i="35" s="1"/>
  <c r="H9" i="37"/>
  <c r="U9" i="37" s="1"/>
  <c r="F11" i="37"/>
  <c r="S11" i="37" s="1"/>
  <c r="H12" i="37"/>
  <c r="H15" i="37"/>
  <c r="U15" i="37" s="1"/>
  <c r="F31" i="37"/>
  <c r="S31" i="37" s="1"/>
  <c r="H31" i="37"/>
  <c r="AB31" i="37"/>
  <c r="J15" i="37"/>
  <c r="W15" i="37"/>
  <c r="AB10" i="37"/>
  <c r="J11" i="37"/>
  <c r="W11" i="37" s="1"/>
  <c r="U31" i="37"/>
  <c r="E90" i="40"/>
  <c r="F90" i="40" s="1"/>
  <c r="F21" i="40"/>
  <c r="S21" i="40" s="1"/>
  <c r="W36" i="40"/>
  <c r="U40" i="39"/>
  <c r="J21" i="40"/>
  <c r="AC21" i="40" s="1"/>
  <c r="G90" i="40"/>
  <c r="S27" i="31"/>
  <c r="G483" i="3"/>
  <c r="G507" i="3"/>
  <c r="BA15" i="3"/>
  <c r="BL17" i="3"/>
  <c r="BL15" i="3"/>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AZ305" i="3"/>
  <c r="G321" i="3"/>
  <c r="BL322" i="3"/>
  <c r="AZ322" i="3" s="1"/>
  <c r="G323" i="3"/>
  <c r="BL324" i="3"/>
  <c r="BA326" i="3"/>
  <c r="AZ326" i="3"/>
  <c r="BA327" i="3"/>
  <c r="BL327" i="3"/>
  <c r="AZ327" i="3" s="1"/>
  <c r="G328" i="3"/>
  <c r="BA329" i="3"/>
  <c r="AZ329" i="3" s="1"/>
  <c r="G337" i="3"/>
  <c r="BL338" i="3"/>
  <c r="G339" i="3"/>
  <c r="BL340" i="3"/>
  <c r="BA342" i="3"/>
  <c r="BA343" i="3"/>
  <c r="BL343" i="3"/>
  <c r="G344" i="3"/>
  <c r="BA345" i="3"/>
  <c r="AZ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7" i="3"/>
  <c r="AZ31" i="3"/>
  <c r="AZ35" i="3"/>
  <c r="AZ43" i="3"/>
  <c r="AZ51" i="3"/>
  <c r="G537" i="3"/>
  <c r="BL181" i="3"/>
  <c r="AZ181" i="3"/>
  <c r="G182" i="3"/>
  <c r="BA184" i="3"/>
  <c r="AZ184" i="3" s="1"/>
  <c r="BL185" i="3"/>
  <c r="AZ185" i="3" s="1"/>
  <c r="G186" i="3"/>
  <c r="BA188" i="3"/>
  <c r="AZ188" i="3" s="1"/>
  <c r="BL189" i="3"/>
  <c r="G190" i="3"/>
  <c r="BA192" i="3"/>
  <c r="AZ192" i="3" s="1"/>
  <c r="BL193" i="3"/>
  <c r="AZ193" i="3" s="1"/>
  <c r="G194" i="3"/>
  <c r="BA196" i="3"/>
  <c r="AZ196" i="3" s="1"/>
  <c r="BL197" i="3"/>
  <c r="AZ197" i="3" s="1"/>
  <c r="G198" i="3"/>
  <c r="BA200" i="3"/>
  <c r="AZ200" i="3" s="1"/>
  <c r="BL201" i="3"/>
  <c r="AZ66" i="3"/>
  <c r="AZ78" i="3"/>
  <c r="AZ201"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AZ338" i="3" s="1"/>
  <c r="BA339" i="3"/>
  <c r="AZ339" i="3" s="1"/>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s="1"/>
  <c r="BA381" i="3"/>
  <c r="AZ381" i="3" s="1"/>
  <c r="BL381" i="3"/>
  <c r="G382" i="3"/>
  <c r="G385" i="3"/>
  <c r="AZ158" i="3"/>
  <c r="AZ162" i="3"/>
  <c r="AZ174" i="3"/>
  <c r="AZ179" i="3"/>
  <c r="AZ191" i="3"/>
  <c r="AZ199" i="3"/>
  <c r="AZ203" i="3"/>
  <c r="BL297" i="3"/>
  <c r="AZ297" i="3" s="1"/>
  <c r="G298" i="3"/>
  <c r="BA300" i="3"/>
  <c r="AZ300" i="3" s="1"/>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33" i="3"/>
  <c r="AZ337" i="3"/>
  <c r="AZ341" i="3"/>
  <c r="AZ349" i="3"/>
  <c r="AZ357" i="3"/>
  <c r="G368" i="3"/>
  <c r="BA370" i="3"/>
  <c r="BL371" i="3"/>
  <c r="AZ371" i="3" s="1"/>
  <c r="G372" i="3"/>
  <c r="BA374" i="3"/>
  <c r="AZ374" i="3" s="1"/>
  <c r="BL375" i="3"/>
  <c r="G376" i="3"/>
  <c r="BA378" i="3"/>
  <c r="AZ378" i="3" s="1"/>
  <c r="BL379" i="3"/>
  <c r="G380" i="3"/>
  <c r="BA382" i="3"/>
  <c r="AZ382" i="3"/>
  <c r="BL383" i="3"/>
  <c r="G384" i="3"/>
  <c r="AZ249" i="3"/>
  <c r="AZ257" i="3"/>
  <c r="AZ261" i="3"/>
  <c r="AZ265" i="3"/>
  <c r="AZ375" i="3"/>
  <c r="AZ270" i="3"/>
  <c r="AZ278" i="3"/>
  <c r="AZ313" i="3"/>
  <c r="AZ315" i="3"/>
  <c r="AZ319" i="3"/>
  <c r="AZ351" i="3"/>
  <c r="AZ369" i="3"/>
  <c r="AZ385" i="3"/>
  <c r="AZ390" i="3"/>
  <c r="AZ398" i="3"/>
  <c r="AZ410" i="3"/>
  <c r="AZ414" i="3"/>
  <c r="AZ418" i="3"/>
  <c r="AZ426" i="3"/>
  <c r="AZ434" i="3"/>
  <c r="AZ450" i="3"/>
  <c r="AZ459" i="3"/>
  <c r="AZ463" i="3"/>
  <c r="AZ475" i="3"/>
  <c r="AZ479" i="3"/>
  <c r="H7" i="48"/>
  <c r="F33" i="46"/>
  <c r="H16" i="48"/>
  <c r="H9" i="48"/>
  <c r="H8" i="48"/>
  <c r="C12" i="46"/>
  <c r="AB16" i="35"/>
  <c r="AA43" i="21"/>
  <c r="U43" i="21"/>
  <c r="AA13" i="40"/>
  <c r="R16" i="4"/>
  <c r="P16" i="4"/>
  <c r="D3" i="35"/>
  <c r="G4" i="4"/>
  <c r="J16" i="35"/>
  <c r="W16" i="35" s="1"/>
  <c r="AC26" i="36"/>
  <c r="H13" i="39"/>
  <c r="AB13" i="39" s="1"/>
  <c r="F13" i="39"/>
  <c r="S13" i="39" s="1"/>
  <c r="J13" i="39"/>
  <c r="AC13" i="39" s="1"/>
  <c r="H11" i="37"/>
  <c r="AB11" i="37" s="1"/>
  <c r="AA30" i="33"/>
  <c r="S42" i="33"/>
  <c r="AZ508" i="3"/>
  <c r="AC14" i="37"/>
  <c r="AC30" i="33"/>
  <c r="W30" i="33"/>
  <c r="AC29" i="37"/>
  <c r="AC32" i="36"/>
  <c r="J33" i="34"/>
  <c r="AC33" i="34" s="1"/>
  <c r="AB36" i="34"/>
  <c r="J40" i="34"/>
  <c r="W40" i="34" s="1"/>
  <c r="F16" i="35"/>
  <c r="AA16" i="35" s="1"/>
  <c r="J35" i="34"/>
  <c r="W35" i="34" s="1"/>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AB26" i="21"/>
  <c r="AA33" i="21"/>
  <c r="U39" i="21"/>
  <c r="F17" i="21"/>
  <c r="S17" i="21" s="1"/>
  <c r="F40" i="21"/>
  <c r="S40" i="21" s="1"/>
  <c r="H40" i="21"/>
  <c r="AB40" i="21" s="1"/>
  <c r="E119" i="21"/>
  <c r="F119" i="21" s="1"/>
  <c r="G119" i="21" s="1"/>
  <c r="H119" i="21" s="1"/>
  <c r="I119" i="21" s="1"/>
  <c r="J119" i="21" s="1"/>
  <c r="K119" i="21" s="1"/>
  <c r="L119" i="21" s="1"/>
  <c r="M119" i="21" s="1"/>
  <c r="S8" i="33"/>
  <c r="AC8" i="33"/>
  <c r="H66" i="33"/>
  <c r="I66" i="33" s="1"/>
  <c r="F10" i="33"/>
  <c r="AA10" i="33"/>
  <c r="F11" i="33"/>
  <c r="S11" i="33"/>
  <c r="J15" i="33"/>
  <c r="W15" i="33"/>
  <c r="H19" i="33"/>
  <c r="AB19" i="33"/>
  <c r="F32" i="33"/>
  <c r="AA32" i="33"/>
  <c r="J32" i="33"/>
  <c r="AC32" i="33"/>
  <c r="F35" i="33"/>
  <c r="AA35" i="33"/>
  <c r="AB39" i="34"/>
  <c r="F11" i="34"/>
  <c r="S11" i="34" s="1"/>
  <c r="E80" i="34"/>
  <c r="F80" i="34" s="1"/>
  <c r="H17" i="34"/>
  <c r="W27" i="34"/>
  <c r="AB28" i="35"/>
  <c r="W13" i="33"/>
  <c r="AC12" i="34"/>
  <c r="W14" i="34"/>
  <c r="AB30" i="34"/>
  <c r="AB32" i="34"/>
  <c r="AB46" i="34"/>
  <c r="J11" i="35"/>
  <c r="AC11" i="35" s="1"/>
  <c r="H32" i="37"/>
  <c r="AB32" i="37" s="1"/>
  <c r="F19" i="39"/>
  <c r="S19" i="39" s="1"/>
  <c r="J19" i="39"/>
  <c r="W19" i="39" s="1"/>
  <c r="H43" i="39"/>
  <c r="U43" i="39" s="1"/>
  <c r="U25" i="35"/>
  <c r="W40" i="37"/>
  <c r="S14" i="21"/>
  <c r="AA44" i="34"/>
  <c r="AC19" i="33"/>
  <c r="U43" i="34"/>
  <c r="AC34" i="37"/>
  <c r="S35" i="37"/>
  <c r="AA35" i="37"/>
  <c r="AB10" i="35"/>
  <c r="BL571" i="3"/>
  <c r="AB40" i="33"/>
  <c r="U40" i="33"/>
  <c r="AA35" i="34"/>
  <c r="S35" i="34"/>
  <c r="H27" i="34"/>
  <c r="AB27" i="34" s="1"/>
  <c r="AB8" i="35"/>
  <c r="S9" i="35"/>
  <c r="J14" i="35"/>
  <c r="AC14" i="35"/>
  <c r="F14" i="35"/>
  <c r="H14" i="35"/>
  <c r="U14" i="35" s="1"/>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H27" i="36"/>
  <c r="AB27" i="36"/>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AA39" i="39" s="1"/>
  <c r="J29" i="35"/>
  <c r="AC29" i="35" s="1"/>
  <c r="F29" i="35"/>
  <c r="S29" i="35" s="1"/>
  <c r="W30" i="36"/>
  <c r="AC30" i="36"/>
  <c r="F37" i="39"/>
  <c r="J37" i="39"/>
  <c r="W37" i="39" s="1"/>
  <c r="BA568" i="3"/>
  <c r="BA567" i="3"/>
  <c r="AZ567" i="3" s="1"/>
  <c r="AZ566" i="3"/>
  <c r="BA549" i="3"/>
  <c r="BL547" i="3"/>
  <c r="BL539" i="3"/>
  <c r="BA538" i="3"/>
  <c r="BA537" i="3"/>
  <c r="BA535" i="3"/>
  <c r="BA533" i="3"/>
  <c r="BL530" i="3"/>
  <c r="BL529" i="3"/>
  <c r="BL528" i="3"/>
  <c r="BA526" i="3"/>
  <c r="AZ526" i="3" s="1"/>
  <c r="BL523" i="3"/>
  <c r="BA522" i="3"/>
  <c r="AZ522" i="3" s="1"/>
  <c r="BA519" i="3"/>
  <c r="BA518" i="3"/>
  <c r="AZ518" i="3" s="1"/>
  <c r="BL517" i="3"/>
  <c r="BL515" i="3"/>
  <c r="BA514" i="3"/>
  <c r="BA513" i="3"/>
  <c r="AZ513" i="3" s="1"/>
  <c r="BL512" i="3"/>
  <c r="BA511" i="3"/>
  <c r="AZ511" i="3" s="1"/>
  <c r="BA510" i="3"/>
  <c r="BA507" i="3"/>
  <c r="BA506" i="3"/>
  <c r="AZ506" i="3" s="1"/>
  <c r="BL505" i="3"/>
  <c r="BL504" i="3"/>
  <c r="BA503" i="3"/>
  <c r="AZ503" i="3" s="1"/>
  <c r="BA500" i="3"/>
  <c r="BL499" i="3"/>
  <c r="BA499" i="3"/>
  <c r="BL498" i="3"/>
  <c r="AZ498" i="3" s="1"/>
  <c r="BL497" i="3"/>
  <c r="BA497" i="3"/>
  <c r="BL496" i="3"/>
  <c r="BA496" i="3"/>
  <c r="AZ496" i="3" s="1"/>
  <c r="BA495" i="3"/>
  <c r="BL494" i="3"/>
  <c r="BA494" i="3"/>
  <c r="G494" i="3"/>
  <c r="BA491" i="3"/>
  <c r="AZ491" i="3"/>
  <c r="BL490" i="3"/>
  <c r="BA490" i="3"/>
  <c r="AZ490" i="3" s="1"/>
  <c r="BA489" i="3"/>
  <c r="AZ489" i="3" s="1"/>
  <c r="BL487" i="3"/>
  <c r="BA486" i="3"/>
  <c r="AZ483"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AA36" i="34"/>
  <c r="AC12" i="21"/>
  <c r="AB33" i="21"/>
  <c r="U8" i="21"/>
  <c r="AB8" i="21"/>
  <c r="AC36" i="21"/>
  <c r="AB8" i="33"/>
  <c r="U8" i="33"/>
  <c r="E106" i="33"/>
  <c r="H34" i="33"/>
  <c r="U34" i="33" s="1"/>
  <c r="F34" i="33"/>
  <c r="E121" i="33"/>
  <c r="F121" i="33" s="1"/>
  <c r="G121" i="33" s="1"/>
  <c r="H121" i="33" s="1"/>
  <c r="I121" i="33" s="1"/>
  <c r="J121" i="33" s="1"/>
  <c r="K121" i="33" s="1"/>
  <c r="L121" i="33" s="1"/>
  <c r="M121" i="33" s="1"/>
  <c r="F41" i="33"/>
  <c r="S41" i="33" s="1"/>
  <c r="AC34" i="34"/>
  <c r="W34" i="34"/>
  <c r="AA39" i="34"/>
  <c r="S39" i="34"/>
  <c r="S43" i="34"/>
  <c r="F15" i="34"/>
  <c r="AC28" i="35"/>
  <c r="W28" i="35"/>
  <c r="J20" i="35"/>
  <c r="AC20" i="35"/>
  <c r="E72" i="35"/>
  <c r="F72" i="35"/>
  <c r="G72" i="35" s="1"/>
  <c r="H22" i="35"/>
  <c r="AB22" i="35" s="1"/>
  <c r="H23" i="35"/>
  <c r="F23" i="35"/>
  <c r="AA23" i="35"/>
  <c r="AB36" i="35"/>
  <c r="U36" i="35"/>
  <c r="AC12" i="36"/>
  <c r="S8" i="37"/>
  <c r="AA8" i="37"/>
  <c r="F14" i="39"/>
  <c r="H14" i="39"/>
  <c r="AB14" i="39" s="1"/>
  <c r="J14" i="39"/>
  <c r="F16" i="39"/>
  <c r="H16" i="39"/>
  <c r="U16" i="39" s="1"/>
  <c r="J16" i="39"/>
  <c r="AC16" i="39" s="1"/>
  <c r="F23" i="39"/>
  <c r="AA23" i="39" s="1"/>
  <c r="E97" i="39"/>
  <c r="F27" i="39"/>
  <c r="AA27" i="39" s="1"/>
  <c r="J27" i="39"/>
  <c r="AC27" i="39" s="1"/>
  <c r="F15" i="40"/>
  <c r="AA15" i="40"/>
  <c r="J15" i="40"/>
  <c r="H15" i="40"/>
  <c r="AB15" i="40" s="1"/>
  <c r="H23" i="40"/>
  <c r="H41" i="40"/>
  <c r="AB41" i="40" s="1"/>
  <c r="F41" i="40"/>
  <c r="J41" i="40"/>
  <c r="W41" i="40" s="1"/>
  <c r="H36" i="33"/>
  <c r="H37" i="34"/>
  <c r="U37" i="34" s="1"/>
  <c r="H15" i="39"/>
  <c r="U15" i="39" s="1"/>
  <c r="H25" i="39"/>
  <c r="U25" i="39" s="1"/>
  <c r="F25" i="39"/>
  <c r="AA25" i="39" s="1"/>
  <c r="AA47" i="39"/>
  <c r="F41" i="39"/>
  <c r="AA41" i="39" s="1"/>
  <c r="H41" i="39"/>
  <c r="AB41" i="39" s="1"/>
  <c r="J41" i="39"/>
  <c r="AC41" i="39" s="1"/>
  <c r="E94" i="40"/>
  <c r="J25" i="40"/>
  <c r="AC25" i="40" s="1"/>
  <c r="J32" i="40"/>
  <c r="H32" i="40"/>
  <c r="F33" i="40"/>
  <c r="AA33" i="40" s="1"/>
  <c r="H35" i="40"/>
  <c r="F35" i="40"/>
  <c r="AA35" i="40" s="1"/>
  <c r="J35" i="40"/>
  <c r="J38" i="39"/>
  <c r="W38" i="39" s="1"/>
  <c r="H38" i="39"/>
  <c r="U38" i="39" s="1"/>
  <c r="J16" i="40"/>
  <c r="W16" i="40"/>
  <c r="H42" i="40"/>
  <c r="H40" i="40"/>
  <c r="AZ391" i="3"/>
  <c r="AZ407" i="3"/>
  <c r="AZ439" i="3"/>
  <c r="AZ454" i="3"/>
  <c r="B41" i="1"/>
  <c r="J42" i="40"/>
  <c r="AC42" i="40" s="1"/>
  <c r="J34" i="40"/>
  <c r="AC34" i="40" s="1"/>
  <c r="H16" i="40"/>
  <c r="H14" i="40"/>
  <c r="F32" i="40"/>
  <c r="AA32" i="40" s="1"/>
  <c r="AZ428" i="3"/>
  <c r="AZ441" i="3"/>
  <c r="AZ452" i="3"/>
  <c r="M1" i="46"/>
  <c r="M6" i="46"/>
  <c r="M10" i="46"/>
  <c r="N2" i="46"/>
  <c r="N5" i="46"/>
  <c r="F58" i="46"/>
  <c r="H61" i="46"/>
  <c r="N7" i="46"/>
  <c r="AZ456" i="3"/>
  <c r="AZ458" i="3"/>
  <c r="AZ461" i="3"/>
  <c r="AZ474" i="3"/>
  <c r="AZ477" i="3"/>
  <c r="AZ212" i="3"/>
  <c r="AZ215" i="3"/>
  <c r="AZ228" i="3"/>
  <c r="AZ231" i="3"/>
  <c r="AZ244" i="3"/>
  <c r="AZ247" i="3"/>
  <c r="AZ268" i="3"/>
  <c r="AZ273" i="3"/>
  <c r="AZ281" i="3"/>
  <c r="AZ292" i="3"/>
  <c r="AZ121" i="3"/>
  <c r="AZ137" i="3"/>
  <c r="M7" i="46"/>
  <c r="M11" i="46"/>
  <c r="N3" i="46"/>
  <c r="N6" i="46"/>
  <c r="N10" i="46"/>
  <c r="F69" i="46"/>
  <c r="AZ167" i="3"/>
  <c r="AZ48" i="3"/>
  <c r="AZ99" i="3"/>
  <c r="AZ112" i="3"/>
  <c r="J13" i="40"/>
  <c r="W13" i="40" s="1"/>
  <c r="F34" i="44"/>
  <c r="F27" i="43"/>
  <c r="C27" i="43" s="1"/>
  <c r="F66" i="9"/>
  <c r="P72" i="9" s="1"/>
  <c r="F71" i="9"/>
  <c r="F72" i="9"/>
  <c r="S47" i="39"/>
  <c r="AB37" i="34"/>
  <c r="AC41" i="40"/>
  <c r="U41" i="40"/>
  <c r="J23" i="40"/>
  <c r="AC23" i="40"/>
  <c r="F23" i="40"/>
  <c r="S23" i="40" s="1"/>
  <c r="AC15" i="40"/>
  <c r="W15" i="40"/>
  <c r="H20" i="35"/>
  <c r="AB20" i="35" s="1"/>
  <c r="F20" i="35"/>
  <c r="S20" i="35"/>
  <c r="H15" i="34"/>
  <c r="AB15" i="34"/>
  <c r="G78" i="34"/>
  <c r="J15" i="34"/>
  <c r="H41" i="33"/>
  <c r="U41" i="33" s="1"/>
  <c r="F30" i="40"/>
  <c r="J100" i="40"/>
  <c r="K100" i="40" s="1"/>
  <c r="L100" i="40" s="1"/>
  <c r="M100" i="40" s="1"/>
  <c r="AZ497" i="3"/>
  <c r="AZ549" i="3"/>
  <c r="AA29" i="35"/>
  <c r="J29" i="39"/>
  <c r="AC29" i="39" s="1"/>
  <c r="AA11" i="36"/>
  <c r="AA14" i="35"/>
  <c r="S14" i="35"/>
  <c r="F33" i="37"/>
  <c r="W12" i="34"/>
  <c r="AA11" i="34"/>
  <c r="W32" i="33"/>
  <c r="H15" i="33"/>
  <c r="AA11" i="33"/>
  <c r="AA13" i="39"/>
  <c r="AB42" i="40"/>
  <c r="U42" i="40"/>
  <c r="AC16" i="40"/>
  <c r="H25" i="40"/>
  <c r="F94" i="40"/>
  <c r="G94" i="40" s="1"/>
  <c r="J37" i="34"/>
  <c r="AC37" i="34" s="1"/>
  <c r="J36" i="33"/>
  <c r="H23" i="39"/>
  <c r="AB23" i="39" s="1"/>
  <c r="J23" i="39"/>
  <c r="AC23" i="39" s="1"/>
  <c r="F97" i="39"/>
  <c r="G97" i="39"/>
  <c r="AA41" i="33"/>
  <c r="F106" i="33"/>
  <c r="G106" i="33" s="1"/>
  <c r="H106" i="33" s="1"/>
  <c r="I106" i="33" s="1"/>
  <c r="J106" i="33" s="1"/>
  <c r="K106" i="33" s="1"/>
  <c r="L106" i="33" s="1"/>
  <c r="M106" i="33" s="1"/>
  <c r="J34" i="33"/>
  <c r="U30" i="40"/>
  <c r="W29" i="35"/>
  <c r="AB46" i="39"/>
  <c r="U11" i="36"/>
  <c r="W14" i="35"/>
  <c r="H90" i="34"/>
  <c r="I90" i="34" s="1"/>
  <c r="J90" i="34" s="1"/>
  <c r="K90" i="34" s="1"/>
  <c r="L90" i="34" s="1"/>
  <c r="M90" i="34" s="1"/>
  <c r="F27" i="34"/>
  <c r="S27" i="34" s="1"/>
  <c r="H96" i="37"/>
  <c r="I96" i="37" s="1"/>
  <c r="J96" i="37" s="1"/>
  <c r="K96" i="37" s="1"/>
  <c r="L96" i="37" s="1"/>
  <c r="M96" i="37" s="1"/>
  <c r="F32" i="37"/>
  <c r="S32" i="37" s="1"/>
  <c r="AB11" i="35"/>
  <c r="G80" i="34"/>
  <c r="F17" i="34"/>
  <c r="AA17" i="34" s="1"/>
  <c r="J17" i="34"/>
  <c r="AC17" i="34" s="1"/>
  <c r="H11" i="34"/>
  <c r="AB11" i="34" s="1"/>
  <c r="J35" i="33"/>
  <c r="W35" i="33" s="1"/>
  <c r="S32" i="33"/>
  <c r="AC15" i="33"/>
  <c r="H11" i="33"/>
  <c r="H10" i="33"/>
  <c r="J10" i="33"/>
  <c r="U13" i="39"/>
  <c r="J11" i="34"/>
  <c r="W11" i="34" s="1"/>
  <c r="S17" i="34"/>
  <c r="F25" i="40"/>
  <c r="AA25" i="40" s="1"/>
  <c r="J11" i="33"/>
  <c r="W11" i="33" s="1"/>
  <c r="H33" i="37"/>
  <c r="AB33" i="37" s="1"/>
  <c r="W15" i="34"/>
  <c r="AC15" i="34"/>
  <c r="W23" i="40"/>
  <c r="D73" i="9"/>
  <c r="N73" i="9" s="1"/>
  <c r="AP11" i="1"/>
  <c r="B11" i="1"/>
  <c r="E11" i="1" s="1"/>
  <c r="K11" i="1"/>
  <c r="M11" i="1" s="1"/>
  <c r="O11" i="1" s="1"/>
  <c r="P11" i="1" s="1"/>
  <c r="B9" i="1"/>
  <c r="E9" i="1" s="1"/>
  <c r="K9" i="1"/>
  <c r="M9" i="1" s="1"/>
  <c r="B7" i="1"/>
  <c r="E7" i="1"/>
  <c r="C20" i="43"/>
  <c r="F6" i="1"/>
  <c r="AP6" i="1" s="1"/>
  <c r="M22" i="44"/>
  <c r="F32" i="15"/>
  <c r="F59" i="15" s="1"/>
  <c r="F29" i="12"/>
  <c r="F70" i="9"/>
  <c r="D86" i="9"/>
  <c r="M20" i="44"/>
  <c r="F31" i="43"/>
  <c r="F30" i="44"/>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AC33" i="35"/>
  <c r="U22" i="35"/>
  <c r="AA13" i="35"/>
  <c r="S8" i="35"/>
  <c r="U33" i="35"/>
  <c r="AA20" i="35"/>
  <c r="W20" i="35"/>
  <c r="S23" i="35"/>
  <c r="AB14" i="35"/>
  <c r="AC10" i="35"/>
  <c r="U9" i="35"/>
  <c r="AC18" i="35"/>
  <c r="W18" i="35"/>
  <c r="U18" i="35"/>
  <c r="AB18" i="35"/>
  <c r="S30" i="35"/>
  <c r="AB30" i="35"/>
  <c r="S27" i="35"/>
  <c r="S28" i="35"/>
  <c r="F26" i="35"/>
  <c r="S26" i="35" s="1"/>
  <c r="AB9" i="37"/>
  <c r="W28" i="37"/>
  <c r="AA31" i="37"/>
  <c r="S33" i="37"/>
  <c r="AA33" i="37"/>
  <c r="J33" i="37"/>
  <c r="W33" i="37"/>
  <c r="I99" i="37"/>
  <c r="J99" i="37" s="1"/>
  <c r="K99" i="37" s="1"/>
  <c r="L99" i="37" s="1"/>
  <c r="M99" i="37" s="1"/>
  <c r="J19" i="37"/>
  <c r="F19" i="37"/>
  <c r="AA19" i="37" s="1"/>
  <c r="H19" i="37"/>
  <c r="U19" i="37" s="1"/>
  <c r="J17" i="37"/>
  <c r="S15" i="37"/>
  <c r="AC10" i="37"/>
  <c r="AC21" i="37"/>
  <c r="W21" i="37"/>
  <c r="AC11" i="37"/>
  <c r="W32" i="37"/>
  <c r="U8" i="37"/>
  <c r="AB21" i="37"/>
  <c r="U21" i="37"/>
  <c r="S37" i="37"/>
  <c r="S40" i="37"/>
  <c r="AA11" i="37"/>
  <c r="S10" i="37"/>
  <c r="AC45" i="34"/>
  <c r="AA40" i="34"/>
  <c r="W33" i="34"/>
  <c r="U30" i="34"/>
  <c r="AB33" i="34"/>
  <c r="AC35" i="34"/>
  <c r="AA33" i="34"/>
  <c r="U44" i="34"/>
  <c r="U34" i="34"/>
  <c r="AA27" i="34"/>
  <c r="J25" i="34"/>
  <c r="AC25" i="34" s="1"/>
  <c r="H25" i="34"/>
  <c r="F25" i="34"/>
  <c r="S25" i="34" s="1"/>
  <c r="J23" i="34"/>
  <c r="F86" i="34"/>
  <c r="G86" i="34" s="1"/>
  <c r="F23" i="34"/>
  <c r="S23" i="34" s="1"/>
  <c r="H23" i="34"/>
  <c r="AC11" i="34"/>
  <c r="U11" i="34"/>
  <c r="W10" i="34"/>
  <c r="U10" i="34"/>
  <c r="W37" i="34"/>
  <c r="AC40" i="34"/>
  <c r="W44" i="34"/>
  <c r="W19" i="34"/>
  <c r="AC21" i="34"/>
  <c r="W21" i="34"/>
  <c r="U15" i="34"/>
  <c r="AB21" i="34"/>
  <c r="U21" i="34"/>
  <c r="U19" i="34"/>
  <c r="S13" i="34"/>
  <c r="U39" i="33"/>
  <c r="U37" i="33"/>
  <c r="S35" i="33"/>
  <c r="AC12" i="33"/>
  <c r="AB41" i="33"/>
  <c r="W31" i="33"/>
  <c r="W43" i="33"/>
  <c r="W39" i="33"/>
  <c r="U35" i="33"/>
  <c r="AB34" i="33"/>
  <c r="H25" i="33"/>
  <c r="AB25" i="33"/>
  <c r="J25" i="33"/>
  <c r="W25" i="33"/>
  <c r="F87" i="33"/>
  <c r="G87" i="33"/>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U25" i="33"/>
  <c r="AB21" i="33"/>
  <c r="U21" i="33"/>
  <c r="AA21" i="33"/>
  <c r="S21" i="33"/>
  <c r="AA36" i="33"/>
  <c r="AC34" i="21"/>
  <c r="W43" i="21"/>
  <c r="W28" i="21"/>
  <c r="AC46" i="21"/>
  <c r="AC26" i="21"/>
  <c r="J23" i="21"/>
  <c r="W23" i="21" s="1"/>
  <c r="H23" i="21"/>
  <c r="U23" i="21" s="1"/>
  <c r="J15" i="21"/>
  <c r="AC15" i="21" s="1"/>
  <c r="AB11" i="21"/>
  <c r="AC21" i="21"/>
  <c r="W21" i="21"/>
  <c r="AC38" i="21"/>
  <c r="AB21" i="21"/>
  <c r="U21" i="21"/>
  <c r="AB29" i="21"/>
  <c r="AA30" i="21"/>
  <c r="U33" i="40"/>
  <c r="S35" i="40"/>
  <c r="U15" i="40"/>
  <c r="S15" i="40"/>
  <c r="AB13" i="40"/>
  <c r="S16" i="40"/>
  <c r="W11" i="40"/>
  <c r="AA21" i="40"/>
  <c r="W42"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S25" i="40"/>
  <c r="AA23" i="40"/>
  <c r="F88" i="40"/>
  <c r="G88" i="40" s="1"/>
  <c r="F19" i="40"/>
  <c r="AA19" i="40" s="1"/>
  <c r="H19" i="40"/>
  <c r="U19" i="40" s="1"/>
  <c r="J19" i="40"/>
  <c r="W19" i="40" s="1"/>
  <c r="W17" i="40"/>
  <c r="F17" i="40"/>
  <c r="AA17" i="40" s="1"/>
  <c r="H17" i="40"/>
  <c r="W21" i="40"/>
  <c r="U10" i="40"/>
  <c r="U27" i="40"/>
  <c r="AB27" i="40"/>
  <c r="S11" i="39"/>
  <c r="S27" i="39"/>
  <c r="AC19" i="39"/>
  <c r="AC38" i="39"/>
  <c r="W29" i="39"/>
  <c r="AC21" i="39"/>
  <c r="AB15" i="39"/>
  <c r="U11" i="39"/>
  <c r="AB38" i="39"/>
  <c r="U31" i="39"/>
  <c r="AB31" i="39"/>
  <c r="S22" i="31"/>
  <c r="R22" i="31" s="1"/>
  <c r="B21" i="31" s="1"/>
  <c r="D96" i="9"/>
  <c r="F28" i="15"/>
  <c r="C28" i="15" s="1"/>
  <c r="M18" i="15"/>
  <c r="A18" i="64"/>
  <c r="B74" i="63" s="1"/>
  <c r="C53" i="10"/>
  <c r="A25" i="64" s="1"/>
  <c r="A18" i="51"/>
  <c r="B14" i="63" s="1"/>
  <c r="BA16" i="3"/>
  <c r="BA17" i="3"/>
  <c r="AZ17" i="3" s="1"/>
  <c r="F3" i="35"/>
  <c r="K1" i="43"/>
  <c r="K1" i="12"/>
  <c r="G1" i="44"/>
  <c r="G3" i="46"/>
  <c r="BK5" i="3"/>
  <c r="BO5" i="3"/>
  <c r="BP5" i="3"/>
  <c r="BN5" i="3"/>
  <c r="BL18" i="3"/>
  <c r="BC5" i="3"/>
  <c r="BD5" i="3"/>
  <c r="BR5" i="3"/>
  <c r="BS5" i="3"/>
  <c r="F28" i="6" s="1"/>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W11" i="35"/>
  <c r="AA11" i="35"/>
  <c r="S14" i="37"/>
  <c r="U13" i="37"/>
  <c r="S13" i="21"/>
  <c r="C24" i="9"/>
  <c r="C25" i="9"/>
  <c r="G9" i="1"/>
  <c r="I20" i="46"/>
  <c r="L5" i="54"/>
  <c r="B39" i="63" s="1"/>
  <c r="K5" i="54"/>
  <c r="B38" i="63" s="1"/>
  <c r="T41" i="4"/>
  <c r="A17" i="64"/>
  <c r="B46" i="50"/>
  <c r="B4" i="63"/>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s="1"/>
  <c r="S12" i="1"/>
  <c r="G1" i="15"/>
  <c r="F66" i="36"/>
  <c r="H18"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AA31" i="34"/>
  <c r="AB35" i="34"/>
  <c r="W47" i="34"/>
  <c r="AB47" i="34"/>
  <c r="AB13" i="34"/>
  <c r="S47" i="34"/>
  <c r="AA29" i="34"/>
  <c r="S19" i="34"/>
  <c r="S8" i="34"/>
  <c r="AA19" i="33"/>
  <c r="AC25" i="33"/>
  <c r="S43" i="33"/>
  <c r="AB42" i="33"/>
  <c r="AB14" i="33"/>
  <c r="S26" i="33"/>
  <c r="AB12" i="33"/>
  <c r="S15" i="33"/>
  <c r="S39" i="21"/>
  <c r="AB25" i="21"/>
  <c r="AB45" i="21"/>
  <c r="W25" i="21"/>
  <c r="AA25" i="21"/>
  <c r="AA29" i="21"/>
  <c r="U27" i="21"/>
  <c r="AC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19" i="37"/>
  <c r="AB19" i="37"/>
  <c r="AC17" i="37"/>
  <c r="W17" i="37"/>
  <c r="U25" i="34"/>
  <c r="AB25" i="34"/>
  <c r="AA25" i="34"/>
  <c r="W25" i="34"/>
  <c r="U23"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AB19" i="40"/>
  <c r="B20" i="31"/>
  <c r="A17" i="51"/>
  <c r="B13" i="63" s="1"/>
  <c r="AT6" i="3"/>
  <c r="AZ16" i="3"/>
  <c r="A9" i="64"/>
  <c r="A9" i="51"/>
  <c r="B9" i="63" s="1"/>
  <c r="E4" i="4"/>
  <c r="C4" i="4"/>
  <c r="B20" i="55" s="1"/>
  <c r="B70" i="63" s="1"/>
  <c r="G66" i="36"/>
  <c r="J18" i="36"/>
  <c r="W18" i="36" s="1"/>
  <c r="AE6" i="1"/>
  <c r="AG6" i="1"/>
  <c r="B21" i="55"/>
  <c r="B72" i="63" s="1"/>
  <c r="S9" i="1"/>
  <c r="R9" i="1"/>
  <c r="C45" i="9"/>
  <c r="K31" i="9"/>
  <c r="K32" i="9" s="1"/>
  <c r="N76" i="9"/>
  <c r="C46" i="9"/>
  <c r="K33" i="9" s="1"/>
  <c r="A25" i="51"/>
  <c r="B18" i="63" s="1"/>
  <c r="D58" i="2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c r="AB9" i="59"/>
  <c r="AB8" i="59"/>
  <c r="AB7" i="59"/>
  <c r="AA12" i="59"/>
  <c r="X10" i="59"/>
  <c r="X8" i="59"/>
  <c r="X7" i="59"/>
  <c r="AA8" i="59"/>
  <c r="AA7" i="59"/>
  <c r="C30" i="44"/>
  <c r="C25" i="12"/>
  <c r="C31" i="43"/>
  <c r="H1" i="65"/>
  <c r="H51" i="46"/>
  <c r="X7" i="46"/>
  <c r="E17" i="46"/>
  <c r="N17" i="46"/>
  <c r="O17" i="46"/>
  <c r="M17" i="46"/>
  <c r="L17" i="46"/>
  <c r="J22" i="46"/>
  <c r="AP7" i="1"/>
  <c r="D46" i="36"/>
  <c r="H73" i="46"/>
  <c r="H48" i="46"/>
  <c r="F35" i="46"/>
  <c r="I17" i="46"/>
  <c r="H63" i="46"/>
  <c r="M101" i="46"/>
  <c r="M107" i="46" s="1"/>
  <c r="AJ11" i="46"/>
  <c r="H64" i="46"/>
  <c r="H66" i="46"/>
  <c r="D100" i="46"/>
  <c r="H62" i="46"/>
  <c r="AF12" i="46"/>
  <c r="K100" i="46"/>
  <c r="AB12" i="46"/>
  <c r="AJ12" i="46"/>
  <c r="J101" i="46"/>
  <c r="J106" i="46" s="1"/>
  <c r="F22" i="46"/>
  <c r="E22" i="46"/>
  <c r="AA11" i="46"/>
  <c r="AA13" i="46" s="1"/>
  <c r="H60" i="46"/>
  <c r="H59" i="46"/>
  <c r="H74" i="46"/>
  <c r="H65" i="46"/>
  <c r="AB11" i="46"/>
  <c r="AB13" i="46" s="1"/>
  <c r="E10" i="46"/>
  <c r="E9" i="46"/>
  <c r="E11" i="46"/>
  <c r="E8" i="46"/>
  <c r="H72" i="46"/>
  <c r="H77" i="46"/>
  <c r="H55" i="46"/>
  <c r="H52" i="46"/>
  <c r="AD12" i="46"/>
  <c r="AH12" i="46"/>
  <c r="P21" i="46"/>
  <c r="B9" i="59"/>
  <c r="B8" i="59" s="1"/>
  <c r="P22" i="46"/>
  <c r="P23" i="46"/>
  <c r="P25" i="46"/>
  <c r="B73" i="39"/>
  <c r="P24" i="46"/>
  <c r="B68" i="40" s="1"/>
  <c r="B14" i="52"/>
  <c r="D67" i="40"/>
  <c r="E46" i="36"/>
  <c r="F46" i="36" s="1"/>
  <c r="E67" i="40"/>
  <c r="G20" i="46"/>
  <c r="E41" i="46"/>
  <c r="C41" i="46" s="1"/>
  <c r="S3" i="46"/>
  <c r="F31" i="15"/>
  <c r="M25" i="44"/>
  <c r="F45" i="44"/>
  <c r="F14" i="67"/>
  <c r="E10" i="67"/>
  <c r="F11" i="44"/>
  <c r="E13" i="67"/>
  <c r="F8" i="15"/>
  <c r="M26" i="44"/>
  <c r="I7" i="65"/>
  <c r="N6" i="65"/>
  <c r="E11" i="67"/>
  <c r="B8" i="67"/>
  <c r="F40" i="44"/>
  <c r="F38" i="15"/>
  <c r="F9" i="44"/>
  <c r="F8" i="67"/>
  <c r="J17" i="44"/>
  <c r="E8" i="67"/>
  <c r="F37" i="44"/>
  <c r="F18" i="44"/>
  <c r="F26" i="15"/>
  <c r="M29" i="44"/>
  <c r="J5" i="65"/>
  <c r="N4" i="65"/>
  <c r="B10" i="67"/>
  <c r="E12" i="67"/>
  <c r="B14" i="67"/>
  <c r="F39" i="44"/>
  <c r="E14" i="67"/>
  <c r="M27" i="15"/>
  <c r="J7" i="65"/>
  <c r="N5" i="65"/>
  <c r="M11" i="44"/>
  <c r="F28" i="44"/>
  <c r="B13" i="67"/>
  <c r="L48" i="44"/>
  <c r="B9" i="67"/>
  <c r="F46" i="44"/>
  <c r="M23" i="44"/>
  <c r="M31" i="44"/>
  <c r="I5" i="65"/>
  <c r="B12" i="67"/>
  <c r="E9" i="67"/>
  <c r="N3" i="65"/>
  <c r="F12" i="67"/>
  <c r="C19" i="44"/>
  <c r="F10" i="44"/>
  <c r="F11" i="67"/>
  <c r="B11" i="67"/>
  <c r="F9" i="67"/>
  <c r="N7" i="65"/>
  <c r="F15" i="44"/>
  <c r="I6" i="65"/>
  <c r="M10" i="44"/>
  <c r="F8" i="44"/>
  <c r="L47" i="15"/>
  <c r="M8" i="44"/>
  <c r="L49" i="44"/>
  <c r="M24" i="44"/>
  <c r="M28" i="44"/>
  <c r="F10" i="67"/>
  <c r="M30" i="44"/>
  <c r="F43" i="44"/>
  <c r="J3" i="65"/>
  <c r="F13" i="67"/>
  <c r="F38" i="44"/>
  <c r="W44" i="21" l="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Z500" i="3"/>
  <c r="AA28" i="33"/>
  <c r="S28" i="33"/>
  <c r="W13" i="34"/>
  <c r="AC13" i="34"/>
  <c r="AC29" i="34"/>
  <c r="W29" i="34"/>
  <c r="AB31" i="34"/>
  <c r="U31" i="34"/>
  <c r="W9" i="37"/>
  <c r="AC9" i="37"/>
  <c r="U27" i="37"/>
  <c r="AB27" i="37"/>
  <c r="AA40" i="40"/>
  <c r="S40" i="40"/>
  <c r="AZ565" i="3"/>
  <c r="AZ559" i="3"/>
  <c r="AZ553"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519" i="3"/>
  <c r="AZ560" i="3"/>
  <c r="AZ487" i="3"/>
  <c r="AZ572" i="3"/>
  <c r="AC13" i="21"/>
  <c r="W13" i="21"/>
  <c r="AC31" i="21"/>
  <c r="W31" i="21"/>
  <c r="AA25" i="35"/>
  <c r="S25" i="35"/>
  <c r="W13" i="36"/>
  <c r="AC13" i="36"/>
  <c r="AB33" i="36"/>
  <c r="U33" i="36"/>
  <c r="AC12" i="37"/>
  <c r="W12" i="37"/>
  <c r="U39" i="39"/>
  <c r="AB39" i="39"/>
  <c r="U37" i="39"/>
  <c r="AB37" i="39"/>
  <c r="AZ517" i="3"/>
  <c r="AZ135" i="3"/>
  <c r="AZ15" i="3"/>
  <c r="AZ492" i="3"/>
  <c r="AZ561" i="3"/>
  <c r="AZ569" i="3"/>
  <c r="BB5" i="3"/>
  <c r="BL569" i="3"/>
  <c r="BA557" i="3"/>
  <c r="AZ557" i="3" s="1"/>
  <c r="BA556" i="3"/>
  <c r="BA555" i="3"/>
  <c r="AZ555" i="3" s="1"/>
  <c r="BL553" i="3"/>
  <c r="BA550" i="3"/>
  <c r="BA546" i="3"/>
  <c r="AZ546" i="3" s="1"/>
  <c r="BA545" i="3"/>
  <c r="AZ545" i="3" s="1"/>
  <c r="BL543" i="3"/>
  <c r="AZ543" i="3" s="1"/>
  <c r="BA542" i="3"/>
  <c r="BA541" i="3"/>
  <c r="AZ541" i="3" s="1"/>
  <c r="BL535" i="3"/>
  <c r="AZ535" i="3" s="1"/>
  <c r="BL533" i="3"/>
  <c r="BA531" i="3"/>
  <c r="AZ531" i="3" s="1"/>
  <c r="BL519" i="3"/>
  <c r="BA509" i="3"/>
  <c r="AZ509" i="3" s="1"/>
  <c r="AZ529" i="3"/>
  <c r="AZ533"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M7" i="1" s="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BL538" i="3"/>
  <c r="AZ538" i="3" s="1"/>
  <c r="BL548" i="3"/>
  <c r="AZ548" i="3" s="1"/>
  <c r="BL552" i="3"/>
  <c r="AZ552" i="3" s="1"/>
  <c r="BL560" i="3"/>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E19" i="6"/>
  <c r="F19" i="6"/>
  <c r="H5" i="3"/>
  <c r="BA571" i="3"/>
  <c r="AZ571" i="3" s="1"/>
  <c r="BL570" i="3"/>
  <c r="BG5" i="3"/>
  <c r="BA570" i="3"/>
  <c r="AZ570" i="3" s="1"/>
  <c r="BT5" i="3"/>
  <c r="G28" i="6" s="1"/>
  <c r="J39" i="21"/>
  <c r="F9" i="34"/>
  <c r="G568" i="3"/>
  <c r="G541" i="3"/>
  <c r="G533" i="3"/>
  <c r="G500" i="3"/>
  <c r="BH5" i="3"/>
  <c r="E14" i="6" s="1"/>
  <c r="E61" i="40" s="1"/>
  <c r="BL495" i="3"/>
  <c r="AZ495" i="3" s="1"/>
  <c r="G482" i="3"/>
  <c r="AZ397" i="3"/>
  <c r="AZ453" i="3"/>
  <c r="AZ464" i="3"/>
  <c r="AZ384" i="3"/>
  <c r="AZ214" i="3"/>
  <c r="AZ246"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G249" i="3"/>
  <c r="G250" i="3"/>
  <c r="BL250" i="3"/>
  <c r="AZ250" i="3" s="1"/>
  <c r="BA251" i="3"/>
  <c r="AZ251" i="3" s="1"/>
  <c r="BA252" i="3"/>
  <c r="AZ252" i="3" s="1"/>
  <c r="BA253" i="3"/>
  <c r="AZ253" i="3" s="1"/>
  <c r="BL255" i="3"/>
  <c r="AZ255" i="3" s="1"/>
  <c r="AZ256" i="3"/>
  <c r="BL262" i="3"/>
  <c r="AZ262" i="3" s="1"/>
  <c r="G266" i="3"/>
  <c r="BL266" i="3"/>
  <c r="AZ266" i="3" s="1"/>
  <c r="BA267" i="3"/>
  <c r="AZ267" i="3" s="1"/>
  <c r="AZ280" i="3"/>
  <c r="BL290" i="3"/>
  <c r="AZ290" i="3" s="1"/>
  <c r="BL296" i="3"/>
  <c r="BA113" i="3"/>
  <c r="AZ113" i="3" s="1"/>
  <c r="AZ168" i="3"/>
  <c r="BA180" i="3"/>
  <c r="AZ180" i="3" s="1"/>
  <c r="BL182" i="3"/>
  <c r="G185" i="3"/>
  <c r="BL187" i="3"/>
  <c r="AZ187" i="3" s="1"/>
  <c r="BA189" i="3"/>
  <c r="AZ189" i="3" s="1"/>
  <c r="BL190" i="3"/>
  <c r="G193" i="3"/>
  <c r="BL195" i="3"/>
  <c r="AZ195" i="3" s="1"/>
  <c r="BL198" i="3"/>
  <c r="G201" i="3"/>
  <c r="G203" i="3"/>
  <c r="G204" i="3"/>
  <c r="BL204" i="3"/>
  <c r="AZ204" i="3" s="1"/>
  <c r="BA21" i="3"/>
  <c r="BA22" i="3"/>
  <c r="AZ22" i="3" s="1"/>
  <c r="BL22" i="3"/>
  <c r="AZ37" i="3"/>
  <c r="BL41" i="3"/>
  <c r="AZ42" i="3"/>
  <c r="AZ50"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BA38" i="3"/>
  <c r="AZ38" i="3" s="1"/>
  <c r="BA39" i="3"/>
  <c r="AZ39" i="3" s="1"/>
  <c r="BA40" i="3"/>
  <c r="AZ40" i="3" s="1"/>
  <c r="AZ41" i="3"/>
  <c r="G44" i="3"/>
  <c r="BL44" i="3"/>
  <c r="AZ44" i="3" s="1"/>
  <c r="BA45" i="3"/>
  <c r="AZ45" i="3" s="1"/>
  <c r="BL47" i="3"/>
  <c r="AZ47" i="3" s="1"/>
  <c r="G50" i="3"/>
  <c r="BL50" i="3"/>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D3" i="21"/>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AZ13" i="3" s="1"/>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E101" i="46"/>
  <c r="E105" i="46" s="1"/>
  <c r="L101" i="46"/>
  <c r="B113" i="46"/>
  <c r="B118" i="46" s="1"/>
  <c r="C118" i="46" s="1"/>
  <c r="G101" i="46"/>
  <c r="AD11" i="46"/>
  <c r="AD13" i="46" s="1"/>
  <c r="N101" i="46"/>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C33" i="21"/>
  <c r="AB8" i="34"/>
  <c r="S25" i="37"/>
  <c r="U39" i="37"/>
  <c r="H28" i="34"/>
  <c r="BL20" i="3"/>
  <c r="AZ20" i="3" s="1"/>
  <c r="S19" i="21"/>
  <c r="AB45" i="33"/>
  <c r="F45" i="33"/>
  <c r="J45" i="33"/>
  <c r="F44" i="21"/>
  <c r="AA44" i="21" s="1"/>
  <c r="F28" i="21"/>
  <c r="H14" i="21"/>
  <c r="AB30" i="36"/>
  <c r="AA28" i="34"/>
  <c r="F34" i="36"/>
  <c r="F24" i="36"/>
  <c r="J34" i="36"/>
  <c r="J11" i="21"/>
  <c r="C23" i="39"/>
  <c r="AC35" i="21"/>
  <c r="F11"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J32" i="21"/>
  <c r="AC32" i="21" s="1"/>
  <c r="H32" i="21"/>
  <c r="AA15" i="21"/>
  <c r="AB23" i="21"/>
  <c r="AC23" i="21"/>
  <c r="U19" i="21"/>
  <c r="W15" i="21"/>
  <c r="AC40" i="21"/>
  <c r="U40" i="21"/>
  <c r="AB36" i="21"/>
  <c r="AA40" i="21"/>
  <c r="AA37" i="21"/>
  <c r="U38" i="21"/>
  <c r="S35" i="21"/>
  <c r="S34" i="21"/>
  <c r="AB34" i="21"/>
  <c r="U9" i="21"/>
  <c r="W10" i="21"/>
  <c r="AB10" i="21"/>
  <c r="W8" i="21"/>
  <c r="AA9" i="21"/>
  <c r="S10" i="21"/>
  <c r="D18" i="9"/>
  <c r="M44" i="9" s="1"/>
  <c r="M43" i="9"/>
  <c r="A30" i="64"/>
  <c r="A30" i="51"/>
  <c r="B22" i="63" s="1"/>
  <c r="P75" i="15"/>
  <c r="C5" i="46"/>
  <c r="B9" i="52"/>
  <c r="E17" i="52"/>
  <c r="S41" i="39"/>
  <c r="AB33" i="39"/>
  <c r="AC33" i="39"/>
  <c r="AB29" i="39"/>
  <c r="H19" i="39"/>
  <c r="AC17" i="39"/>
  <c r="AA19" i="39"/>
  <c r="U23" i="39"/>
  <c r="S31" i="39"/>
  <c r="AC31" i="39"/>
  <c r="W27" i="39"/>
  <c r="S25" i="39"/>
  <c r="AB25" i="39"/>
  <c r="S23" i="39"/>
  <c r="W23" i="39"/>
  <c r="U21" i="39"/>
  <c r="S17" i="39"/>
  <c r="AB17" i="39"/>
  <c r="AC44" i="39"/>
  <c r="AB44" i="39"/>
  <c r="W41" i="39"/>
  <c r="U41" i="39"/>
  <c r="W34" i="39"/>
  <c r="S34" i="39"/>
  <c r="D23" i="15"/>
  <c r="C103" i="46"/>
  <c r="M105" i="46"/>
  <c r="M102" i="46"/>
  <c r="AZ23" i="3"/>
  <c r="AZ21" i="3"/>
  <c r="J103" i="46"/>
  <c r="M106" i="46"/>
  <c r="E13" i="6"/>
  <c r="E15" i="6"/>
  <c r="E62" i="40" s="1"/>
  <c r="E11" i="6"/>
  <c r="E63" i="39" s="1"/>
  <c r="K109" i="46"/>
  <c r="G104" i="46"/>
  <c r="L109" i="46"/>
  <c r="K104" i="46"/>
  <c r="N109" i="46"/>
  <c r="M104" i="46"/>
  <c r="M109" i="46"/>
  <c r="M103" i="46"/>
  <c r="O10" i="1"/>
  <c r="P10" i="1" s="1"/>
  <c r="O9" i="1"/>
  <c r="P9" i="1" s="1"/>
  <c r="O7" i="1"/>
  <c r="P7" i="1" s="1"/>
  <c r="O13" i="1"/>
  <c r="P13" i="1" s="1"/>
  <c r="C106" i="46"/>
  <c r="C104" i="46"/>
  <c r="J102" i="46"/>
  <c r="J109" i="46"/>
  <c r="C105" i="46"/>
  <c r="C102" i="46"/>
  <c r="C107" i="46"/>
  <c r="J105" i="46"/>
  <c r="J104" i="46"/>
  <c r="G11" i="1"/>
  <c r="B8" i="52"/>
  <c r="E16" i="52"/>
  <c r="E15" i="52"/>
  <c r="B4" i="52"/>
  <c r="E22" i="52"/>
  <c r="E5" i="52"/>
  <c r="E7" i="52"/>
  <c r="G13" i="1"/>
  <c r="G10" i="1"/>
  <c r="G6" i="1"/>
  <c r="E21" i="52"/>
  <c r="B13" i="52"/>
  <c r="B16" i="52"/>
  <c r="B5" i="52"/>
  <c r="E8" i="52"/>
  <c r="E13" i="52"/>
  <c r="E11" i="52"/>
  <c r="E9" i="52"/>
  <c r="B11" i="52"/>
  <c r="B22" i="52"/>
  <c r="B7" i="52"/>
  <c r="E6" i="52"/>
  <c r="B6" i="52"/>
  <c r="E14" i="52"/>
  <c r="I14" i="66"/>
  <c r="B8" i="66" s="1"/>
  <c r="K76" i="9"/>
  <c r="K77" i="9" s="1"/>
  <c r="K79" i="9" s="1"/>
  <c r="K81" i="9" s="1"/>
  <c r="O52" i="37"/>
  <c r="F7" i="37" s="1"/>
  <c r="N48" i="35"/>
  <c r="O48" i="35" s="1"/>
  <c r="F7" i="35"/>
  <c r="G46" i="36"/>
  <c r="H46" i="36" s="1"/>
  <c r="I46" i="36" s="1"/>
  <c r="J46" i="36" s="1"/>
  <c r="K46" i="36" s="1"/>
  <c r="L46" i="36" s="1"/>
  <c r="M46" i="36" s="1"/>
  <c r="N46" i="36" s="1"/>
  <c r="O46" i="36" s="1"/>
  <c r="J7" i="36"/>
  <c r="F58" i="33"/>
  <c r="E58" i="21"/>
  <c r="D59" i="34"/>
  <c r="I1" i="65"/>
  <c r="Q73" i="44"/>
  <c r="F65" i="15"/>
  <c r="J60" i="44"/>
  <c r="I55" i="44"/>
  <c r="J61" i="44"/>
  <c r="Q50" i="44" s="1"/>
  <c r="J58" i="44"/>
  <c r="J56" i="44" s="1"/>
  <c r="J59" i="44" s="1"/>
  <c r="Q52" i="44" s="1"/>
  <c r="L57" i="44"/>
  <c r="J54" i="44"/>
  <c r="C29" i="44"/>
  <c r="F50" i="15"/>
  <c r="J1" i="65"/>
  <c r="C8" i="44"/>
  <c r="C27" i="15"/>
  <c r="M9" i="44"/>
  <c r="J22" i="44"/>
  <c r="C36" i="44"/>
  <c r="L59" i="44"/>
  <c r="L60" i="44"/>
  <c r="C4" i="65"/>
  <c r="B39" i="1" s="1"/>
  <c r="F58" i="15"/>
  <c r="M17" i="15"/>
  <c r="M19" i="44"/>
  <c r="F37" i="15"/>
  <c r="M28" i="15"/>
  <c r="M29" i="15"/>
  <c r="M26" i="15"/>
  <c r="F7" i="15"/>
  <c r="F16" i="15"/>
  <c r="F36" i="15"/>
  <c r="M23" i="15"/>
  <c r="E3" i="65"/>
  <c r="J15" i="15"/>
  <c r="E2" i="65"/>
  <c r="M24" i="15"/>
  <c r="F42" i="15"/>
  <c r="F40" i="15"/>
  <c r="F43" i="15"/>
  <c r="F13" i="15"/>
  <c r="M9" i="15"/>
  <c r="I4" i="65"/>
  <c r="M6" i="15"/>
  <c r="M8" i="15"/>
  <c r="M22" i="15"/>
  <c r="C18" i="44"/>
  <c r="L48" i="15"/>
  <c r="J6" i="65"/>
  <c r="F9" i="15"/>
  <c r="J4" i="65"/>
  <c r="I3" i="65"/>
  <c r="F6" i="15"/>
  <c r="J36" i="15"/>
  <c r="S44" i="21" l="1"/>
  <c r="S21" i="21"/>
  <c r="F63" i="15"/>
  <c r="Q72" i="15"/>
  <c r="F70" i="15"/>
  <c r="F64" i="15"/>
  <c r="G30" i="6"/>
  <c r="G31" i="6" s="1"/>
  <c r="E28" i="6"/>
  <c r="C48" i="59"/>
  <c r="D47" i="59"/>
  <c r="AC39" i="21"/>
  <c r="W39" i="21"/>
  <c r="S9" i="37"/>
  <c r="AA9" i="37"/>
  <c r="AB26" i="35"/>
  <c r="U26" i="35"/>
  <c r="S23" i="21"/>
  <c r="AA23" i="21"/>
  <c r="E32" i="6"/>
  <c r="K6" i="1"/>
  <c r="M6" i="1" s="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12" i="6"/>
  <c r="E16" i="6" s="1"/>
  <c r="E10" i="6"/>
  <c r="E29" i="6"/>
  <c r="BA5" i="3"/>
  <c r="W25" i="39"/>
  <c r="AB15" i="21"/>
  <c r="AE13" i="46"/>
  <c r="AZ542" i="3"/>
  <c r="C9" i="12"/>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E8" i="6"/>
  <c r="E5" i="6"/>
  <c r="G67" i="40"/>
  <c r="H65" i="40"/>
  <c r="AP16" i="1"/>
  <c r="F22" i="11" s="1"/>
  <c r="G5" i="3"/>
  <c r="B3" i="3" s="1"/>
  <c r="A3" i="3" s="1"/>
  <c r="E23" i="3" s="1"/>
  <c r="E109" i="46"/>
  <c r="E27" i="6"/>
  <c r="K21" i="6" s="1"/>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AZ5" i="3"/>
  <c r="E3" i="6" s="1"/>
  <c r="V12" i="59"/>
  <c r="F11" i="59"/>
  <c r="F10" i="59" s="1"/>
  <c r="F9" i="59" s="1"/>
  <c r="F8" i="59" s="1"/>
  <c r="U8" i="59"/>
  <c r="E7" i="59"/>
  <c r="E6" i="59" s="1"/>
  <c r="E5" i="59" s="1"/>
  <c r="D16" i="59"/>
  <c r="C15" i="59"/>
  <c r="T16" i="59"/>
  <c r="B54" i="59"/>
  <c r="N55" i="59"/>
  <c r="D51" i="59"/>
  <c r="C52" i="59"/>
  <c r="O54" i="59"/>
  <c r="O53" i="59"/>
  <c r="D54" i="59"/>
  <c r="D28" i="59"/>
  <c r="T28" i="59"/>
  <c r="AA39" i="37"/>
  <c r="S39" i="37"/>
  <c r="S11" i="21"/>
  <c r="AA11" i="21"/>
  <c r="W34" i="36"/>
  <c r="AC34" i="36"/>
  <c r="AA34" i="36"/>
  <c r="S34" i="36"/>
  <c r="S28" i="21"/>
  <c r="AA28" i="21"/>
  <c r="W45" i="33"/>
  <c r="AC45" i="33"/>
  <c r="W24" i="36"/>
  <c r="AC24" i="36"/>
  <c r="AA9" i="33"/>
  <c r="S9" i="33"/>
  <c r="H7" i="35"/>
  <c r="U7" i="35" s="1"/>
  <c r="H16" i="1"/>
  <c r="N104" i="46"/>
  <c r="N103" i="46"/>
  <c r="K102" i="46"/>
  <c r="L104" i="46"/>
  <c r="L107" i="46"/>
  <c r="G107" i="46"/>
  <c r="AC43" i="39"/>
  <c r="U17" i="21"/>
  <c r="C19" i="46"/>
  <c r="T11" i="46" s="1"/>
  <c r="V11" i="46" s="1"/>
  <c r="D11" i="59"/>
  <c r="C10" i="59"/>
  <c r="D43" i="59"/>
  <c r="C44" i="59"/>
  <c r="D23" i="59"/>
  <c r="C24" i="59"/>
  <c r="T40" i="59"/>
  <c r="D40" i="59"/>
  <c r="E54" i="59"/>
  <c r="P55" i="59"/>
  <c r="AA26" i="37"/>
  <c r="S26" i="37"/>
  <c r="W11" i="21"/>
  <c r="AC11" i="21"/>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Q16" i="1"/>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H101" i="21" s="1"/>
  <c r="I101" i="21" s="1"/>
  <c r="J101" i="21" s="1"/>
  <c r="K101" i="21" s="1"/>
  <c r="L101" i="21" s="1"/>
  <c r="M101" i="21" s="1"/>
  <c r="F32" i="21"/>
  <c r="W32" i="21"/>
  <c r="U32" i="21"/>
  <c r="AB32" i="21"/>
  <c r="T14" i="46"/>
  <c r="V14" i="46" s="1"/>
  <c r="T2" i="46"/>
  <c r="V2" i="46" s="1"/>
  <c r="T10" i="46"/>
  <c r="V10" i="46" s="1"/>
  <c r="T9" i="46"/>
  <c r="V9" i="46" s="1"/>
  <c r="U19" i="39"/>
  <c r="AB19" i="39"/>
  <c r="E66" i="39"/>
  <c r="E561" i="3"/>
  <c r="E549" i="3"/>
  <c r="E80" i="3"/>
  <c r="E427" i="3"/>
  <c r="E387" i="3"/>
  <c r="R6" i="3"/>
  <c r="E125" i="3"/>
  <c r="AH6" i="3"/>
  <c r="P6" i="3"/>
  <c r="E84" i="3"/>
  <c r="AP6" i="3"/>
  <c r="E431" i="3"/>
  <c r="E70" i="3"/>
  <c r="E38" i="3"/>
  <c r="E151" i="3"/>
  <c r="E313" i="3"/>
  <c r="E53" i="3"/>
  <c r="E405" i="3"/>
  <c r="W6" i="3"/>
  <c r="E178" i="3"/>
  <c r="E48" i="3"/>
  <c r="E455" i="3"/>
  <c r="E113" i="3"/>
  <c r="E425"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559" i="3"/>
  <c r="E228" i="3"/>
  <c r="E324" i="3"/>
  <c r="E334" i="3"/>
  <c r="E325" i="3"/>
  <c r="E396" i="3"/>
  <c r="E216" i="3"/>
  <c r="E392" i="3"/>
  <c r="E373" i="3"/>
  <c r="E360" i="3"/>
  <c r="T6" i="3"/>
  <c r="E144"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22" i="3"/>
  <c r="E388" i="3"/>
  <c r="E430" i="3"/>
  <c r="E146" i="3"/>
  <c r="E77" i="3"/>
  <c r="E434" i="3"/>
  <c r="E552" i="3"/>
  <c r="E57" i="3"/>
  <c r="E176" i="3"/>
  <c r="E554" i="3"/>
  <c r="E525" i="3"/>
  <c r="K6" i="3"/>
  <c r="E353" i="3"/>
  <c r="E50" i="3"/>
  <c r="E236" i="3"/>
  <c r="E474" i="3"/>
  <c r="E171" i="3"/>
  <c r="E354" i="3"/>
  <c r="E531" i="3"/>
  <c r="E495"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266" i="3"/>
  <c r="E215" i="3"/>
  <c r="I6" i="3"/>
  <c r="E548" i="3"/>
  <c r="Z6" i="3"/>
  <c r="E454" i="3"/>
  <c r="E520" i="3"/>
  <c r="AK6" i="3"/>
  <c r="AY6" i="3"/>
  <c r="E58" i="40"/>
  <c r="E67" i="39"/>
  <c r="E59" i="40"/>
  <c r="E60" i="40"/>
  <c r="E65" i="39"/>
  <c r="K19" i="6"/>
  <c r="S6" i="1" s="1"/>
  <c r="K14" i="1"/>
  <c r="K24" i="6"/>
  <c r="M24" i="6" s="1"/>
  <c r="I24" i="6" s="1"/>
  <c r="K23" i="6"/>
  <c r="M23" i="6" s="1"/>
  <c r="I23" i="6" s="1"/>
  <c r="K20" i="6"/>
  <c r="K22" i="6"/>
  <c r="M22" i="6" s="1"/>
  <c r="I22" i="6" s="1"/>
  <c r="G16" i="1"/>
  <c r="F12" i="39" s="1"/>
  <c r="AA12" i="39" s="1"/>
  <c r="AA7" i="37"/>
  <c r="R42" i="37" s="1"/>
  <c r="S7" i="37"/>
  <c r="E59" i="34"/>
  <c r="G58" i="33"/>
  <c r="AC7" i="36"/>
  <c r="V36" i="36" s="1"/>
  <c r="I36" i="36" s="1"/>
  <c r="W7" i="36"/>
  <c r="F7" i="36"/>
  <c r="AA7" i="35"/>
  <c r="R38" i="35" s="1"/>
  <c r="S7" i="35"/>
  <c r="J7" i="35"/>
  <c r="J7" i="37"/>
  <c r="H7" i="37"/>
  <c r="F58" i="21"/>
  <c r="AB7" i="36"/>
  <c r="T36" i="36" s="1"/>
  <c r="G36" i="36" s="1"/>
  <c r="AB7" i="35"/>
  <c r="T38" i="35" s="1"/>
  <c r="G38" i="35" s="1"/>
  <c r="F17" i="11"/>
  <c r="C17" i="11" s="1"/>
  <c r="B40" i="1"/>
  <c r="M11" i="15"/>
  <c r="J10" i="15" s="1"/>
  <c r="J5" i="15" s="1"/>
  <c r="M13" i="44"/>
  <c r="J12" i="44" s="1"/>
  <c r="F13" i="44"/>
  <c r="C12" i="44" s="1"/>
  <c r="C7" i="44" s="1"/>
  <c r="F11" i="15"/>
  <c r="Q76" i="44"/>
  <c r="Q63" i="44"/>
  <c r="Q62" i="44"/>
  <c r="Q75" i="44"/>
  <c r="Q62" i="15"/>
  <c r="Q75" i="15"/>
  <c r="J18" i="15"/>
  <c r="L47" i="44"/>
  <c r="F1" i="44"/>
  <c r="Q54" i="44"/>
  <c r="Q53" i="15"/>
  <c r="C34" i="44"/>
  <c r="J8" i="44"/>
  <c r="AE7" i="1"/>
  <c r="AE8" i="1"/>
  <c r="C16" i="15"/>
  <c r="I65" i="40" l="1"/>
  <c r="H67" i="40"/>
  <c r="D48" i="59"/>
  <c r="T48" i="59"/>
  <c r="D21" i="12"/>
  <c r="C21" i="12" s="1"/>
  <c r="D12" i="11"/>
  <c r="C12" i="11" s="1"/>
  <c r="D20" i="59"/>
  <c r="T20" i="59"/>
  <c r="T32" i="59"/>
  <c r="D32" i="59"/>
  <c r="K15" i="1"/>
  <c r="L20" i="6"/>
  <c r="L19" i="6"/>
  <c r="L27" i="6" s="1"/>
  <c r="K25" i="6"/>
  <c r="M25" i="6" s="1"/>
  <c r="I25" i="6" s="1"/>
  <c r="K26" i="6"/>
  <c r="M26" i="6" s="1"/>
  <c r="I26" i="6" s="1"/>
  <c r="E30" i="6"/>
  <c r="E31" i="6" s="1"/>
  <c r="E64" i="39"/>
  <c r="E143" i="3"/>
  <c r="E230" i="3"/>
  <c r="E389" i="3"/>
  <c r="E62" i="3"/>
  <c r="E200" i="3"/>
  <c r="E103" i="3"/>
  <c r="E327" i="3"/>
  <c r="E299" i="3"/>
  <c r="E124" i="3"/>
  <c r="E83" i="3"/>
  <c r="E409" i="3"/>
  <c r="E375" i="3"/>
  <c r="E570" i="3"/>
  <c r="E282" i="3"/>
  <c r="E55" i="3"/>
  <c r="E394" i="3"/>
  <c r="E93" i="3"/>
  <c r="E348" i="3"/>
  <c r="E114" i="3"/>
  <c r="E192" i="3"/>
  <c r="E476" i="3"/>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122" i="3"/>
  <c r="E56" i="3"/>
  <c r="E251" i="3"/>
  <c r="E15" i="3"/>
  <c r="E546" i="3"/>
  <c r="AJ6" i="3"/>
  <c r="E569" i="3"/>
  <c r="E456" i="3"/>
  <c r="E319" i="3"/>
  <c r="E491" i="3"/>
  <c r="E256" i="3"/>
  <c r="E29" i="3"/>
  <c r="E101" i="3"/>
  <c r="E262" i="3"/>
  <c r="E99" i="3"/>
  <c r="E164" i="3"/>
  <c r="E82" i="3"/>
  <c r="E424" i="3"/>
  <c r="E263" i="3"/>
  <c r="E311" i="3"/>
  <c r="E127" i="3"/>
  <c r="E321" i="3"/>
  <c r="E391" i="3"/>
  <c r="E195" i="3"/>
  <c r="E359" i="3"/>
  <c r="E115" i="3"/>
  <c r="E91" i="3"/>
  <c r="E333" i="3"/>
  <c r="E132" i="3"/>
  <c r="E206" i="3"/>
  <c r="E421" i="3"/>
  <c r="E475" i="3"/>
  <c r="AO6"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69" i="3"/>
  <c r="E181" i="3"/>
  <c r="E42" i="3"/>
  <c r="E284" i="3"/>
  <c r="E45" i="3"/>
  <c r="E320" i="3"/>
  <c r="E183" i="3"/>
  <c r="E286" i="3"/>
  <c r="E489" i="3"/>
  <c r="E502" i="3"/>
  <c r="E314" i="3"/>
  <c r="E150" i="3"/>
  <c r="E226" i="3"/>
  <c r="E118" i="3"/>
  <c r="E169" i="3"/>
  <c r="E14"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75" i="3"/>
  <c r="E303" i="3"/>
  <c r="E507" i="3"/>
  <c r="E37" i="3"/>
  <c r="E189" i="3"/>
  <c r="E533" i="3"/>
  <c r="E550" i="3"/>
  <c r="E407" i="3"/>
  <c r="E34" i="3"/>
  <c r="E168" i="3"/>
  <c r="E141"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401" i="3"/>
  <c r="E79" i="3"/>
  <c r="E363" i="3"/>
  <c r="E438" i="3"/>
  <c r="J6" i="3"/>
  <c r="E293" i="3"/>
  <c r="E469" i="3"/>
  <c r="E412" i="3"/>
  <c r="E27" i="3"/>
  <c r="E148" i="3"/>
  <c r="E185" i="3"/>
  <c r="E109" i="3"/>
  <c r="E468" i="3"/>
  <c r="E410" i="3"/>
  <c r="E142" i="3"/>
  <c r="E343" i="3"/>
  <c r="E140" i="3"/>
  <c r="E64" i="3"/>
  <c r="E21" i="3"/>
  <c r="E294" i="3"/>
  <c r="E94" i="3"/>
  <c r="E250" i="3"/>
  <c r="E367" i="3"/>
  <c r="E209" i="3"/>
  <c r="T7" i="46"/>
  <c r="V7" i="46" s="1"/>
  <c r="T16" i="46"/>
  <c r="V16" i="46" s="1"/>
  <c r="E58" i="39"/>
  <c r="E53" i="40"/>
  <c r="F27" i="6"/>
  <c r="F31" i="6" s="1"/>
  <c r="C15" i="43"/>
  <c r="O6" i="1"/>
  <c r="P6" i="1" s="1"/>
  <c r="C15" i="12" s="1"/>
  <c r="M21" i="6"/>
  <c r="I21" i="6" s="1"/>
  <c r="S8" i="1"/>
  <c r="E376" i="3"/>
  <c r="E278" i="3"/>
  <c r="E381" i="3"/>
  <c r="E28" i="3"/>
  <c r="E415" i="3"/>
  <c r="E30" i="3"/>
  <c r="E149" i="3"/>
  <c r="E59" i="3"/>
  <c r="E534" i="3"/>
  <c r="E104" i="3"/>
  <c r="E193" i="3"/>
  <c r="E49" i="3"/>
  <c r="E156" i="3"/>
  <c r="E411" i="3"/>
  <c r="E317" i="3"/>
  <c r="E478" i="3"/>
  <c r="E399" i="3"/>
  <c r="E441" i="3"/>
  <c r="E460" i="3"/>
  <c r="E249" i="3"/>
  <c r="E450" i="3"/>
  <c r="E464" i="3"/>
  <c r="AN6" i="3"/>
  <c r="E205" i="3"/>
  <c r="E223" i="3"/>
  <c r="E170" i="3"/>
  <c r="E201" i="3"/>
  <c r="E89" i="3"/>
  <c r="E295" i="3"/>
  <c r="E492" i="3"/>
  <c r="E161" i="3"/>
  <c r="E157" i="3"/>
  <c r="E270" i="3"/>
  <c r="E280" i="3"/>
  <c r="D113" i="46"/>
  <c r="I3" i="6"/>
  <c r="I4" i="6"/>
  <c r="E283" i="3"/>
  <c r="E535" i="3"/>
  <c r="E41" i="3"/>
  <c r="E471" i="3"/>
  <c r="E418" i="3"/>
  <c r="E408" i="3"/>
  <c r="E92" i="3"/>
  <c r="E238" i="3"/>
  <c r="E414" i="3"/>
  <c r="E44" i="3"/>
  <c r="E202" i="3"/>
  <c r="E36" i="3"/>
  <c r="E131" i="3"/>
  <c r="E237" i="3"/>
  <c r="E304" i="3"/>
  <c r="E428" i="3"/>
  <c r="E165" i="3"/>
  <c r="E100" i="3"/>
  <c r="E404" i="3"/>
  <c r="E374" i="3"/>
  <c r="E274" i="3"/>
  <c r="E463" i="3"/>
  <c r="E32" i="3"/>
  <c r="E292" i="3"/>
  <c r="E547" i="3"/>
  <c r="E426" i="3"/>
  <c r="E447" i="3"/>
  <c r="E60" i="3"/>
  <c r="E33" i="3"/>
  <c r="E75" i="3"/>
  <c r="E297" i="3"/>
  <c r="E395"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 i="3"/>
  <c r="H6" i="3" s="1"/>
  <c r="E119" i="3"/>
  <c r="E500" i="3"/>
  <c r="E97" i="3"/>
  <c r="AE6" i="3"/>
  <c r="E289" i="3"/>
  <c r="E136" i="3"/>
  <c r="E568" i="3"/>
  <c r="E85" i="3"/>
  <c r="E539" i="3"/>
  <c r="E332" i="3"/>
  <c r="N28" i="46"/>
  <c r="P28" i="46"/>
  <c r="Q61" i="15"/>
  <c r="O28" i="46"/>
  <c r="G72" i="39"/>
  <c r="H70" i="39"/>
  <c r="F33" i="12"/>
  <c r="C34" i="12" s="1"/>
  <c r="D33" i="12" s="1"/>
  <c r="F24" i="43"/>
  <c r="C26" i="43" s="1"/>
  <c r="D24" i="43" s="1"/>
  <c r="F18" i="11"/>
  <c r="C18" i="11" s="1"/>
  <c r="C19" i="11" s="1"/>
  <c r="C20" i="11" s="1"/>
  <c r="C21" i="11" s="1"/>
  <c r="C22" i="11" s="1"/>
  <c r="C23" i="11" s="1"/>
  <c r="B2" i="11" s="1"/>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20" i="6"/>
  <c r="I20" i="6" s="1"/>
  <c r="S7" i="1"/>
  <c r="AC6" i="3"/>
  <c r="D16" i="43"/>
  <c r="C16" i="43" s="1"/>
  <c r="L38" i="9"/>
  <c r="B14" i="66" s="1"/>
  <c r="B1" i="66" s="1"/>
  <c r="D10" i="11"/>
  <c r="D16" i="12"/>
  <c r="D45" i="9"/>
  <c r="C21" i="4"/>
  <c r="O5" i="54" s="1"/>
  <c r="B45" i="63" s="1"/>
  <c r="E6" i="6"/>
  <c r="D46" i="9"/>
  <c r="AY73" i="3"/>
  <c r="AY55" i="3"/>
  <c r="AY310" i="3"/>
  <c r="AY340" i="3"/>
  <c r="AY572" i="3"/>
  <c r="AY150" i="3"/>
  <c r="AY280" i="3"/>
  <c r="BS6" i="3"/>
  <c r="AY282" i="3"/>
  <c r="AY24" i="3"/>
  <c r="AY51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469" i="3"/>
  <c r="AY263" i="3"/>
  <c r="AY231" i="3"/>
  <c r="AY19" i="3"/>
  <c r="AY347" i="3"/>
  <c r="AY470" i="3"/>
  <c r="AY59" i="3"/>
  <c r="AY522" i="3"/>
  <c r="AY306" i="3"/>
  <c r="AY33" i="3"/>
  <c r="AY473" i="3"/>
  <c r="AY551" i="3"/>
  <c r="AY541" i="3"/>
  <c r="AY167" i="3"/>
  <c r="AY439" i="3"/>
  <c r="AY180" i="3"/>
  <c r="AY477" i="3"/>
  <c r="AY292" i="3"/>
  <c r="AY452" i="3"/>
  <c r="AY530" i="3"/>
  <c r="AY209" i="3"/>
  <c r="AY560" i="3"/>
  <c r="AY226" i="3"/>
  <c r="AY405" i="3"/>
  <c r="AY103" i="3"/>
  <c r="AY432" i="3"/>
  <c r="AY172" i="3"/>
  <c r="AY394" i="3"/>
  <c r="AY544" i="3"/>
  <c r="AY49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AY164" i="3"/>
  <c r="AY177" i="3"/>
  <c r="AY524" i="3"/>
  <c r="AY300" i="3"/>
  <c r="AY513" i="3"/>
  <c r="AY345" i="3"/>
  <c r="AY119" i="3"/>
  <c r="AY533" i="3"/>
  <c r="AY89" i="3"/>
  <c r="AY102" i="3"/>
  <c r="AY332" i="3"/>
  <c r="AY462" i="3"/>
  <c r="AY51" i="3"/>
  <c r="AY94" i="3"/>
  <c r="AY511" i="3"/>
  <c r="AY536" i="3"/>
  <c r="BJ6" i="3"/>
  <c r="AY517" i="3"/>
  <c r="AY535" i="3"/>
  <c r="AY523" i="3"/>
  <c r="BI6" i="3"/>
  <c r="D3" i="6"/>
  <c r="AY69" i="3"/>
  <c r="AY26" i="3"/>
  <c r="AY529" i="3"/>
  <c r="AY53" i="3"/>
  <c r="AY98"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09" i="3"/>
  <c r="AY537" i="3"/>
  <c r="AY175" i="3"/>
  <c r="AY264" i="3"/>
  <c r="AY467" i="3"/>
  <c r="AY479" i="3"/>
  <c r="AY139" i="3"/>
  <c r="AY364" i="3"/>
  <c r="AY70" i="3"/>
  <c r="AY238" i="3"/>
  <c r="BK6" i="3"/>
  <c r="AY115" i="3"/>
  <c r="AY435" i="3"/>
  <c r="AY230" i="3"/>
  <c r="AY132" i="3"/>
  <c r="AY420" i="3"/>
  <c r="AY188" i="3"/>
  <c r="AY157" i="3"/>
  <c r="AY528" i="3"/>
  <c r="AY516" i="3"/>
  <c r="AY191" i="3"/>
  <c r="AY274" i="3"/>
  <c r="AY275" i="3"/>
  <c r="AY556" i="3"/>
  <c r="AY414" i="3"/>
  <c r="AY114" i="3"/>
  <c r="AY304" i="3"/>
  <c r="AY38" i="3"/>
  <c r="AY227" i="3"/>
  <c r="AY558" i="3"/>
  <c r="AY120" i="3"/>
  <c r="AY424" i="3"/>
  <c r="AY266" i="3"/>
  <c r="AY156" i="3"/>
  <c r="AY14" i="3"/>
  <c r="AY378" i="3"/>
  <c r="AY193" i="3"/>
  <c r="AY549" i="3"/>
  <c r="AY129" i="3"/>
  <c r="AY74" i="3"/>
  <c r="AY217" i="3"/>
  <c r="AY383" i="3"/>
  <c r="AY427" i="3"/>
  <c r="AY170" i="3"/>
  <c r="AY214" i="3"/>
  <c r="AY476" i="3"/>
  <c r="AY116" i="3"/>
  <c r="AY366" i="3"/>
  <c r="AY548" i="3"/>
  <c r="AY256" i="3"/>
  <c r="AY81" i="3"/>
  <c r="AY342" i="3"/>
  <c r="AY279" i="3"/>
  <c r="AY438" i="3"/>
  <c r="AY336" i="3"/>
  <c r="AY352" i="3"/>
  <c r="AY124" i="3"/>
  <c r="AY87" i="3"/>
  <c r="AY144" i="3"/>
  <c r="AY384" i="3"/>
  <c r="AY202" i="3"/>
  <c r="AY398" i="3"/>
  <c r="AY348" i="3"/>
  <c r="AY241" i="3"/>
  <c r="AY542" i="3"/>
  <c r="AY555" i="3"/>
  <c r="AY308" i="3"/>
  <c r="AY21" i="3"/>
  <c r="AY293" i="3"/>
  <c r="AY411" i="3"/>
  <c r="AY271" i="3"/>
  <c r="AY200" i="3"/>
  <c r="AY111" i="3"/>
  <c r="AY85" i="3"/>
  <c r="AY229" i="3"/>
  <c r="AY314" i="3"/>
  <c r="AY27" i="3"/>
  <c r="BN6" i="3"/>
  <c r="BD6" i="3"/>
  <c r="BL6" i="3"/>
  <c r="AY160" i="3"/>
  <c r="AY97" i="3"/>
  <c r="AY57" i="3"/>
  <c r="AY317" i="3"/>
  <c r="AY181" i="3"/>
  <c r="AY65" i="3"/>
  <c r="AY350" i="3"/>
  <c r="AY346" i="3"/>
  <c r="AY101" i="3"/>
  <c r="AY429" i="3"/>
  <c r="AY501" i="3"/>
  <c r="AY52" i="3"/>
  <c r="AY246" i="3"/>
  <c r="AY408" i="3"/>
  <c r="AY374" i="3"/>
  <c r="AY183" i="3"/>
  <c r="AY25" i="3"/>
  <c r="AY197" i="3"/>
  <c r="AY321" i="3"/>
  <c r="BH6" i="3"/>
  <c r="AY431" i="3"/>
  <c r="AY526" i="3"/>
  <c r="AY34" i="3"/>
  <c r="AY218" i="3"/>
  <c r="AY309" i="3"/>
  <c r="AY392" i="3"/>
  <c r="AY176" i="3"/>
  <c r="AY356" i="3"/>
  <c r="AY44" i="3"/>
  <c r="AY288" i="3"/>
  <c r="AY318" i="3"/>
  <c r="AY147" i="3"/>
  <c r="AY561" i="3"/>
  <c r="AY162" i="3"/>
  <c r="AY22" i="3"/>
  <c r="AY562" i="3"/>
  <c r="AY406" i="3"/>
  <c r="AY303" i="3"/>
  <c r="AY127" i="3"/>
  <c r="AY498" i="3"/>
  <c r="AY407" i="3"/>
  <c r="AY552" i="3"/>
  <c r="AY104" i="3"/>
  <c r="AY291" i="3"/>
  <c r="AY422" i="3"/>
  <c r="AY324" i="3"/>
  <c r="AY258" i="3"/>
  <c r="AY168" i="3"/>
  <c r="AY295" i="3"/>
  <c r="AY16" i="3"/>
  <c r="AY253" i="3"/>
  <c r="AY525" i="3"/>
  <c r="AY277" i="3"/>
  <c r="AY286" i="3"/>
  <c r="AY72" i="3"/>
  <c r="AY382" i="3"/>
  <c r="AY236" i="3"/>
  <c r="AY386" i="3"/>
  <c r="AY445" i="3"/>
  <c r="AY224" i="3"/>
  <c r="AY430" i="3"/>
  <c r="AY268" i="3"/>
  <c r="AY510" i="3"/>
  <c r="AY75" i="3"/>
  <c r="AY234" i="3"/>
  <c r="AY343" i="3"/>
  <c r="AY50" i="3"/>
  <c r="AY305" i="3"/>
  <c r="AY481" i="3"/>
  <c r="AY333" i="3"/>
  <c r="AY123" i="3"/>
  <c r="AY341" i="3"/>
  <c r="AY465" i="3"/>
  <c r="AY428" i="3"/>
  <c r="AY158" i="3"/>
  <c r="AY443" i="3"/>
  <c r="AY219" i="3"/>
  <c r="AY148" i="3"/>
  <c r="BA6" i="3"/>
  <c r="AY446" i="3"/>
  <c r="AY211" i="3"/>
  <c r="AY221" i="3"/>
  <c r="AY32" i="3"/>
  <c r="AY500"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508" i="3"/>
  <c r="AY121" i="3"/>
  <c r="BE6" i="3"/>
  <c r="AY354" i="3"/>
  <c r="AY521" i="3"/>
  <c r="AY255" i="3"/>
  <c r="AY570" i="3"/>
  <c r="AY165" i="3"/>
  <c r="AY196" i="3"/>
  <c r="BG6" i="3"/>
  <c r="AY261" i="3"/>
  <c r="AY134" i="3"/>
  <c r="AY444" i="3"/>
  <c r="AY312" i="3"/>
  <c r="AY237" i="3"/>
  <c r="AY61" i="3"/>
  <c r="AY48" i="3"/>
  <c r="AY391" i="3"/>
  <c r="AY454" i="3"/>
  <c r="AY403" i="3"/>
  <c r="AY110" i="3"/>
  <c r="AY213" i="3"/>
  <c r="AY547" i="3"/>
  <c r="AY339" i="3"/>
  <c r="AY363" i="3"/>
  <c r="AY495" i="3"/>
  <c r="AY195" i="3"/>
  <c r="AY440" i="3"/>
  <c r="AY71" i="3"/>
  <c r="AY63" i="3"/>
  <c r="AY328" i="3"/>
  <c r="AY351" i="3"/>
  <c r="AY174" i="3"/>
  <c r="AY199" i="3"/>
  <c r="AY399" i="3"/>
  <c r="AY244" i="3"/>
  <c r="AY485" i="3"/>
  <c r="AY531" i="3"/>
  <c r="AY151" i="3"/>
  <c r="AY184" i="3"/>
  <c r="AY453" i="3"/>
  <c r="AY520" i="3"/>
  <c r="AY131" i="3"/>
  <c r="AY233" i="3"/>
  <c r="AY472" i="3"/>
  <c r="AY145" i="3"/>
  <c r="AY273" i="3"/>
  <c r="AY437" i="3"/>
  <c r="AY254" i="3"/>
  <c r="AY311" i="3"/>
  <c r="AY216" i="3"/>
  <c r="AY99" i="3"/>
  <c r="AY272" i="3"/>
  <c r="AY459" i="3"/>
  <c r="AY250" i="3"/>
  <c r="AY118" i="3"/>
  <c r="AY88" i="3"/>
  <c r="AY106" i="3"/>
  <c r="AY361" i="3"/>
  <c r="AY146" i="3"/>
  <c r="AY39" i="3"/>
  <c r="AY315" i="3"/>
  <c r="AY464" i="3"/>
  <c r="AY194" i="3"/>
  <c r="AY278" i="3"/>
  <c r="AY35" i="3"/>
  <c r="AY142" i="3"/>
  <c r="AY425" i="3"/>
  <c r="AY169" i="3"/>
  <c r="AY30" i="3"/>
  <c r="AY143" i="3"/>
  <c r="AY92" i="3"/>
  <c r="AY187" i="3"/>
  <c r="AY335" i="3"/>
  <c r="AY369" i="3"/>
  <c r="AY320" i="3"/>
  <c r="AY207" i="3"/>
  <c r="AY154" i="3"/>
  <c r="AY77" i="3"/>
  <c r="AY402" i="3"/>
  <c r="AY265" i="3"/>
  <c r="AY161" i="3"/>
  <c r="AY43" i="3"/>
  <c r="AY36" i="3"/>
  <c r="AY117" i="3"/>
  <c r="AY337" i="3"/>
  <c r="AY76" i="3"/>
  <c r="AY86" i="3"/>
  <c r="AY42" i="3"/>
  <c r="AY290" i="3"/>
  <c r="AY46" i="3"/>
  <c r="AY569" i="3"/>
  <c r="AY371" i="3"/>
  <c r="AY283" i="3"/>
  <c r="AY380" i="3"/>
  <c r="AY396" i="3"/>
  <c r="AY245" i="3"/>
  <c r="AY239"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491" i="3"/>
  <c r="AY441" i="3"/>
  <c r="AY482" i="3"/>
  <c r="AY474" i="3"/>
  <c r="AY496" i="3"/>
  <c r="AY466" i="3"/>
  <c r="AY301" i="3"/>
  <c r="AY373" i="3"/>
  <c r="AY426" i="3"/>
  <c r="AY243" i="3"/>
  <c r="AY419" i="3"/>
  <c r="AY79" i="3"/>
  <c r="AY284" i="3"/>
  <c r="AY173" i="3"/>
  <c r="AY23" i="3"/>
  <c r="AY215" i="3"/>
  <c r="AY507" i="3"/>
  <c r="AY499" i="3"/>
  <c r="AY514" i="3"/>
  <c r="AY298" i="3"/>
  <c r="AY502" i="3"/>
  <c r="AY455" i="3"/>
  <c r="AY433" i="3"/>
  <c r="AY545" i="3"/>
  <c r="AY267" i="3"/>
  <c r="AY401" i="3"/>
  <c r="AY235" i="3"/>
  <c r="AY190" i="3"/>
  <c r="AY223" i="3"/>
  <c r="AY344" i="3"/>
  <c r="AY358" i="3"/>
  <c r="AY90" i="3"/>
  <c r="AY480" i="3"/>
  <c r="AY553" i="3"/>
  <c r="BP6" i="3"/>
  <c r="AY565" i="3"/>
  <c r="AY137" i="3"/>
  <c r="AY360" i="3"/>
  <c r="BQ6" i="3"/>
  <c r="AY225" i="3"/>
  <c r="AY249" i="3"/>
  <c r="AY206" i="3"/>
  <c r="AY329" i="3"/>
  <c r="AY96" i="3"/>
  <c r="AY248" i="3"/>
  <c r="AY64" i="3"/>
  <c r="AY493" i="3"/>
  <c r="AY359" i="3"/>
  <c r="AY257" i="3"/>
  <c r="AY28" i="3"/>
  <c r="AY204" i="3"/>
  <c r="AY442" i="3"/>
  <c r="AY400" i="3"/>
  <c r="AY141" i="3"/>
  <c r="AY416" i="3"/>
  <c r="AY198" i="3"/>
  <c r="AY31" i="3"/>
  <c r="AY126" i="3"/>
  <c r="AY47" i="3"/>
  <c r="AY100" i="3"/>
  <c r="AY105" i="3"/>
  <c r="AY179" i="3"/>
  <c r="AY159" i="3"/>
  <c r="AY58" i="3"/>
  <c r="AY67" i="3"/>
  <c r="AY80" i="3"/>
  <c r="AY486" i="3"/>
  <c r="AY182" i="3"/>
  <c r="AY504" i="3"/>
  <c r="AY128" i="3"/>
  <c r="AY41" i="3"/>
  <c r="AY82" i="3"/>
  <c r="AY45" i="3"/>
  <c r="AY83" i="3"/>
  <c r="AY95" i="3"/>
  <c r="AY203" i="3"/>
  <c r="AY37" i="3"/>
  <c r="S25" i="6"/>
  <c r="H25" i="6"/>
  <c r="S26" i="6"/>
  <c r="H26" i="6"/>
  <c r="S21" i="6"/>
  <c r="H21" i="6"/>
  <c r="K16" i="1"/>
  <c r="M14" i="1"/>
  <c r="S22" i="6"/>
  <c r="H22" i="6"/>
  <c r="S20" i="6"/>
  <c r="S23" i="6"/>
  <c r="H23" i="6"/>
  <c r="S24" i="6"/>
  <c r="H24" i="6"/>
  <c r="M19" i="6"/>
  <c r="K27" i="6"/>
  <c r="S12" i="39"/>
  <c r="H12" i="39"/>
  <c r="AB12" i="39" s="1"/>
  <c r="J12" i="40"/>
  <c r="W12" i="40" s="1"/>
  <c r="J12" i="39"/>
  <c r="AC12" i="39" s="1"/>
  <c r="H12" i="40"/>
  <c r="AB12" i="40" s="1"/>
  <c r="F12" i="40"/>
  <c r="G42" i="35"/>
  <c r="H42" i="35" s="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J24" i="15"/>
  <c r="J26" i="15"/>
  <c r="C52" i="15"/>
  <c r="C47" i="15" s="1"/>
  <c r="C10" i="15"/>
  <c r="C5" i="15" s="1"/>
  <c r="C40" i="44"/>
  <c r="F26" i="44"/>
  <c r="C26" i="44" s="1"/>
  <c r="F24" i="15"/>
  <c r="C24" i="15" s="1"/>
  <c r="F26" i="12"/>
  <c r="C27" i="12" s="1"/>
  <c r="D26" i="12" s="1"/>
  <c r="C32" i="12" s="1"/>
  <c r="D30" i="12" s="1"/>
  <c r="F21" i="43"/>
  <c r="C17" i="15"/>
  <c r="F41" i="15"/>
  <c r="L52" i="44"/>
  <c r="J7" i="33" l="1"/>
  <c r="F7" i="21"/>
  <c r="H20" i="6"/>
  <c r="J65" i="40"/>
  <c r="I67" i="40"/>
  <c r="E6" i="3"/>
  <c r="W12" i="39"/>
  <c r="F68" i="15"/>
  <c r="J29" i="15"/>
  <c r="G33" i="46"/>
  <c r="I33" i="46" s="1"/>
  <c r="E33" i="46"/>
  <c r="G39" i="46"/>
  <c r="I39" i="46" s="1"/>
  <c r="E39" i="46"/>
  <c r="G34" i="46"/>
  <c r="I34" i="46" s="1"/>
  <c r="E34" i="46"/>
  <c r="E37" i="46"/>
  <c r="G37" i="46"/>
  <c r="I37" i="46" s="1"/>
  <c r="C30" i="46"/>
  <c r="E30" i="46" s="1"/>
  <c r="E29" i="46"/>
  <c r="H72" i="39"/>
  <c r="I70" i="39"/>
  <c r="S16" i="1"/>
  <c r="T13" i="1" s="1"/>
  <c r="E38" i="46"/>
  <c r="G38" i="46"/>
  <c r="I38" i="46" s="1"/>
  <c r="E35" i="46"/>
  <c r="G35" i="46"/>
  <c r="I35" i="46" s="1"/>
  <c r="E36" i="46"/>
  <c r="G36" i="46"/>
  <c r="I36" i="46" s="1"/>
  <c r="C8" i="59"/>
  <c r="D9" i="59"/>
  <c r="AC12" i="40"/>
  <c r="U12" i="39"/>
  <c r="U12" i="40"/>
  <c r="D19" i="12"/>
  <c r="C19" i="12" s="1"/>
  <c r="C16" i="12"/>
  <c r="C7" i="66"/>
  <c r="C8" i="66"/>
  <c r="D10" i="6"/>
  <c r="D26" i="6"/>
  <c r="R26" i="6" s="1"/>
  <c r="D5" i="6"/>
  <c r="D19" i="6"/>
  <c r="D13" i="6"/>
  <c r="D28" i="6"/>
  <c r="E45" i="9"/>
  <c r="K38" i="9"/>
  <c r="C14" i="66" s="1"/>
  <c r="B2" i="66" s="1"/>
  <c r="D12" i="6"/>
  <c r="E63" i="40"/>
  <c r="D25" i="6"/>
  <c r="R25" i="6" s="1"/>
  <c r="D23" i="6"/>
  <c r="R23" i="6" s="1"/>
  <c r="D8" i="6"/>
  <c r="E68" i="39"/>
  <c r="D11" i="6"/>
  <c r="D29" i="6"/>
  <c r="F46" i="9"/>
  <c r="D21" i="6"/>
  <c r="R21" i="6" s="1"/>
  <c r="R8" i="1" s="1"/>
  <c r="D14" i="6"/>
  <c r="F45" i="9"/>
  <c r="E46" i="9"/>
  <c r="D9" i="6"/>
  <c r="C22" i="4"/>
  <c r="D20" i="6"/>
  <c r="R20" i="6" s="1"/>
  <c r="R7" i="1" s="1"/>
  <c r="D24" i="6"/>
  <c r="R24" i="6" s="1"/>
  <c r="D15" i="6"/>
  <c r="D6" i="6"/>
  <c r="D22" i="6"/>
  <c r="R22" i="6" s="1"/>
  <c r="D22" i="12"/>
  <c r="C22" i="12" s="1"/>
  <c r="C20" i="12" s="1"/>
  <c r="D13" i="11"/>
  <c r="C13" i="11" s="1"/>
  <c r="T11" i="1"/>
  <c r="O14" i="1"/>
  <c r="O16" i="1" s="1"/>
  <c r="M16" i="1"/>
  <c r="N16" i="1" s="1"/>
  <c r="C29" i="43" s="1"/>
  <c r="I19" i="6"/>
  <c r="M27" i="6"/>
  <c r="S12" i="40"/>
  <c r="AA12" i="40"/>
  <c r="AC7" i="21"/>
  <c r="V48" i="21" s="1"/>
  <c r="I48" i="21" s="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AA7" i="21"/>
  <c r="R48" i="21" s="1"/>
  <c r="R37" i="36"/>
  <c r="E36" i="36"/>
  <c r="H7" i="33"/>
  <c r="Q69" i="44"/>
  <c r="L58" i="44"/>
  <c r="L61" i="44" s="1"/>
  <c r="B5" i="11"/>
  <c r="B4" i="11"/>
  <c r="B3" i="11"/>
  <c r="C65" i="15"/>
  <c r="C59" i="15"/>
  <c r="J28" i="44"/>
  <c r="J31" i="44" s="1"/>
  <c r="J26" i="44"/>
  <c r="C38" i="15"/>
  <c r="C23" i="43"/>
  <c r="D21" i="43" s="1"/>
  <c r="F7" i="67"/>
  <c r="F35" i="15"/>
  <c r="M21" i="15"/>
  <c r="K65" i="40" l="1"/>
  <c r="J67" i="40"/>
  <c r="T9" i="1"/>
  <c r="T10" i="1"/>
  <c r="T8" i="1"/>
  <c r="T6" i="1"/>
  <c r="T12" i="1"/>
  <c r="T7" i="1"/>
  <c r="C34" i="15"/>
  <c r="F62" i="15"/>
  <c r="C61" i="15" s="1"/>
  <c r="J20" i="15"/>
  <c r="E4" i="67"/>
  <c r="D8" i="59"/>
  <c r="T8" i="59"/>
  <c r="C7" i="59"/>
  <c r="J70" i="39"/>
  <c r="I72" i="39"/>
  <c r="C26" i="46"/>
  <c r="C27" i="46"/>
  <c r="P14" i="1"/>
  <c r="P16" i="1" s="1"/>
  <c r="C13" i="12" s="1"/>
  <c r="C17" i="12" s="1"/>
  <c r="D16" i="6"/>
  <c r="D30" i="6"/>
  <c r="D27" i="6"/>
  <c r="N5" i="54"/>
  <c r="B43" i="63" s="1"/>
  <c r="A20" i="64"/>
  <c r="A20" i="51"/>
  <c r="B15" i="63" s="1"/>
  <c r="A6" i="51"/>
  <c r="B7" i="63" s="1"/>
  <c r="A6" i="64"/>
  <c r="D7" i="66"/>
  <c r="D8" i="66"/>
  <c r="H19" i="6"/>
  <c r="S19" i="6"/>
  <c r="S27" i="6" s="1"/>
  <c r="I27" i="6"/>
  <c r="L16" i="1"/>
  <c r="C13" i="43"/>
  <c r="C36" i="36"/>
  <c r="C37" i="36"/>
  <c r="B3" i="36" s="1"/>
  <c r="B2" i="36" s="1"/>
  <c r="I52" i="33"/>
  <c r="J52" i="33" s="1"/>
  <c r="H59" i="34"/>
  <c r="U7" i="33"/>
  <c r="AB7" i="33"/>
  <c r="T48" i="33" s="1"/>
  <c r="G48" i="33" s="1"/>
  <c r="E40" i="36"/>
  <c r="F40" i="36" s="1"/>
  <c r="E41" i="36"/>
  <c r="F41" i="36" s="1"/>
  <c r="I41" i="36"/>
  <c r="J41" i="36" s="1"/>
  <c r="E48" i="21"/>
  <c r="U7" i="21"/>
  <c r="AB7" i="21"/>
  <c r="T48" i="21" s="1"/>
  <c r="G48" i="21" s="1"/>
  <c r="R49" i="33"/>
  <c r="E48" i="33"/>
  <c r="I52" i="21"/>
  <c r="J52" i="21" s="1"/>
  <c r="I53" i="21"/>
  <c r="J53" i="21" s="1"/>
  <c r="Q58" i="44"/>
  <c r="Q67" i="44"/>
  <c r="Q49" i="44"/>
  <c r="Q55" i="44" s="1"/>
  <c r="Q68" i="44"/>
  <c r="Q59" i="44"/>
  <c r="E7" i="67"/>
  <c r="C16" i="44"/>
  <c r="C14" i="15"/>
  <c r="L65" i="40" l="1"/>
  <c r="K67" i="40"/>
  <c r="C17" i="44"/>
  <c r="C20" i="44"/>
  <c r="T16" i="1"/>
  <c r="C18" i="15"/>
  <c r="C15" i="15"/>
  <c r="E3" i="67"/>
  <c r="B2" i="46"/>
  <c r="J72" i="39"/>
  <c r="K70" i="39"/>
  <c r="C6" i="59"/>
  <c r="D7" i="59"/>
  <c r="R49" i="21"/>
  <c r="C49" i="21" s="1"/>
  <c r="C14" i="12"/>
  <c r="C18" i="12" s="1"/>
  <c r="C23" i="12" s="1"/>
  <c r="D31" i="6"/>
  <c r="I5" i="6" s="1"/>
  <c r="H27" i="6"/>
  <c r="R19" i="6"/>
  <c r="C14" i="43"/>
  <c r="C17" i="43"/>
  <c r="E53" i="33"/>
  <c r="F53" i="33" s="1"/>
  <c r="E52" i="33"/>
  <c r="F52" i="33" s="1"/>
  <c r="G52" i="21"/>
  <c r="H52" i="21" s="1"/>
  <c r="G53" i="21"/>
  <c r="H53" i="21" s="1"/>
  <c r="I53" i="33"/>
  <c r="J53" i="33" s="1"/>
  <c r="C48" i="33"/>
  <c r="C49" i="33"/>
  <c r="B3" i="33" s="1"/>
  <c r="B2" i="33" s="1"/>
  <c r="E52" i="21"/>
  <c r="F52" i="21" s="1"/>
  <c r="E53" i="21"/>
  <c r="F53" i="21" s="1"/>
  <c r="G53" i="33"/>
  <c r="H53" i="33" s="1"/>
  <c r="G52" i="33"/>
  <c r="H52" i="33" s="1"/>
  <c r="I59" i="34"/>
  <c r="Q77" i="44"/>
  <c r="Q64" i="44"/>
  <c r="B7" i="67"/>
  <c r="L67" i="40" l="1"/>
  <c r="M65" i="40"/>
  <c r="C8" i="12"/>
  <c r="C10" i="12" s="1"/>
  <c r="D8" i="12"/>
  <c r="D10" i="12" s="1"/>
  <c r="C19" i="15"/>
  <c r="C20" i="15" s="1"/>
  <c r="C26" i="15" s="1"/>
  <c r="I6" i="6"/>
  <c r="C21" i="44"/>
  <c r="C22" i="44" s="1"/>
  <c r="C25" i="44" s="1"/>
  <c r="B2" i="67"/>
  <c r="B3" i="21"/>
  <c r="B2" i="21" s="1"/>
  <c r="C5" i="59"/>
  <c r="D6" i="59"/>
  <c r="K72" i="39"/>
  <c r="L70" i="39"/>
  <c r="D4" i="46"/>
  <c r="B3" i="46"/>
  <c r="B4" i="46"/>
  <c r="C48" i="21"/>
  <c r="R27" i="6"/>
  <c r="R6" i="1"/>
  <c r="R16" i="1" s="1"/>
  <c r="C18" i="43"/>
  <c r="C19" i="43" s="1"/>
  <c r="J59" i="34"/>
  <c r="C28" i="44" l="1"/>
  <c r="J9" i="40"/>
  <c r="N65" i="40"/>
  <c r="N67" i="40" s="1"/>
  <c r="M67" i="40"/>
  <c r="C31" i="44"/>
  <c r="C38" i="44" s="1"/>
  <c r="C23" i="15"/>
  <c r="C29" i="15" s="1"/>
  <c r="C36" i="15" s="1"/>
  <c r="D5" i="59"/>
  <c r="M20" i="46"/>
  <c r="M70" i="39"/>
  <c r="L72" i="39"/>
  <c r="B3" i="67"/>
  <c r="B4" i="67"/>
  <c r="C25" i="43"/>
  <c r="C24" i="43" s="1"/>
  <c r="C22" i="43"/>
  <c r="C21" i="43" s="1"/>
  <c r="C35" i="44"/>
  <c r="C33" i="44" s="1"/>
  <c r="C33" i="15"/>
  <c r="C31" i="15" s="1"/>
  <c r="K59" i="34"/>
  <c r="L59" i="34" s="1"/>
  <c r="M59" i="34" s="1"/>
  <c r="N59" i="34" s="1"/>
  <c r="O59" i="34" s="1"/>
  <c r="J7" i="34" s="1"/>
  <c r="H9" i="40" l="1"/>
  <c r="F9" i="40"/>
  <c r="F7" i="34"/>
  <c r="AC9" i="40"/>
  <c r="V44" i="40" s="1"/>
  <c r="I44" i="40" s="1"/>
  <c r="W9" i="40"/>
  <c r="J16" i="44"/>
  <c r="J15" i="44" s="1"/>
  <c r="J25" i="44" s="1"/>
  <c r="Q51" i="44"/>
  <c r="J21" i="44"/>
  <c r="J19" i="44" s="1"/>
  <c r="C15" i="44"/>
  <c r="C39" i="44" s="1"/>
  <c r="C32" i="44" s="1"/>
  <c r="C42" i="44" s="1"/>
  <c r="C56" i="15"/>
  <c r="C63" i="15" s="1"/>
  <c r="J19" i="15"/>
  <c r="J17" i="15" s="1"/>
  <c r="C13" i="15"/>
  <c r="Q71" i="15" s="1"/>
  <c r="Q50" i="15"/>
  <c r="J14" i="15"/>
  <c r="J22" i="15" s="1"/>
  <c r="J59" i="15"/>
  <c r="J60" i="15" s="1"/>
  <c r="Q49" i="15" s="1"/>
  <c r="H7" i="34"/>
  <c r="N70" i="39"/>
  <c r="N72" i="39" s="1"/>
  <c r="F9" i="39" s="1"/>
  <c r="M72" i="39"/>
  <c r="J9" i="39"/>
  <c r="H9" i="39"/>
  <c r="C28" i="43"/>
  <c r="C30" i="43" s="1"/>
  <c r="C32" i="43" s="1"/>
  <c r="B2" i="43" s="1"/>
  <c r="J13" i="15"/>
  <c r="J23" i="15" s="1"/>
  <c r="C60" i="15"/>
  <c r="C58" i="15" s="1"/>
  <c r="AA7" i="34"/>
  <c r="R49" i="34" s="1"/>
  <c r="S7" i="34"/>
  <c r="AC7" i="34"/>
  <c r="V49" i="34" s="1"/>
  <c r="I49" i="34" s="1"/>
  <c r="W7" i="34"/>
  <c r="U7" i="34"/>
  <c r="AB7" i="34"/>
  <c r="T49" i="34" s="1"/>
  <c r="G49" i="34" s="1"/>
  <c r="Q72" i="44" l="1"/>
  <c r="C43" i="44"/>
  <c r="C44" i="44" s="1"/>
  <c r="C45" i="44" s="1"/>
  <c r="B2" i="44" s="1"/>
  <c r="I48" i="40"/>
  <c r="J48" i="40" s="1"/>
  <c r="S9" i="40"/>
  <c r="AA9" i="40"/>
  <c r="R44" i="40" s="1"/>
  <c r="U9" i="40"/>
  <c r="AB9" i="40"/>
  <c r="T44" i="40" s="1"/>
  <c r="G44" i="40" s="1"/>
  <c r="G48" i="40" s="1"/>
  <c r="H48" i="40" s="1"/>
  <c r="C55" i="15"/>
  <c r="C64" i="15" s="1"/>
  <c r="C57" i="15" s="1"/>
  <c r="C66" i="15" s="1"/>
  <c r="C67" i="15" s="1"/>
  <c r="C70" i="15" s="1"/>
  <c r="J24" i="44"/>
  <c r="J35" i="15"/>
  <c r="C37" i="15"/>
  <c r="C30" i="15" s="1"/>
  <c r="C39" i="15" s="1"/>
  <c r="C40" i="15" s="1"/>
  <c r="E10" i="12" s="1"/>
  <c r="S9" i="39"/>
  <c r="AA9" i="39"/>
  <c r="R49" i="39" s="1"/>
  <c r="AB9" i="39"/>
  <c r="T49" i="39" s="1"/>
  <c r="G49" i="39" s="1"/>
  <c r="U9" i="39"/>
  <c r="W9" i="39"/>
  <c r="AC9" i="39"/>
  <c r="V49" i="39" s="1"/>
  <c r="I49" i="39" s="1"/>
  <c r="I53" i="39" s="1"/>
  <c r="J53" i="39" s="1"/>
  <c r="J16" i="15"/>
  <c r="J25" i="15" s="1"/>
  <c r="J18" i="44"/>
  <c r="J27" i="44" s="1"/>
  <c r="B3" i="43"/>
  <c r="B5" i="43"/>
  <c r="B4" i="43"/>
  <c r="L57" i="15"/>
  <c r="L60" i="15" s="1"/>
  <c r="L46" i="15" s="1"/>
  <c r="Q71" i="44"/>
  <c r="G54" i="34"/>
  <c r="H54" i="34" s="1"/>
  <c r="G53" i="34"/>
  <c r="H53" i="34" s="1"/>
  <c r="R50" i="34"/>
  <c r="E49" i="34"/>
  <c r="I53" i="34"/>
  <c r="J53" i="34" s="1"/>
  <c r="I54" i="34"/>
  <c r="J54" i="34" s="1"/>
  <c r="L51" i="15"/>
  <c r="Q70" i="44" l="1"/>
  <c r="E44" i="40"/>
  <c r="R45" i="40"/>
  <c r="G49" i="40"/>
  <c r="H49" i="40" s="1"/>
  <c r="Q68" i="15"/>
  <c r="Q70" i="15"/>
  <c r="Q69" i="15" s="1"/>
  <c r="J39" i="15"/>
  <c r="J40" i="15" s="1"/>
  <c r="C6" i="12"/>
  <c r="E49" i="39"/>
  <c r="R50" i="39"/>
  <c r="G54" i="39"/>
  <c r="H54" i="39" s="1"/>
  <c r="G53" i="39"/>
  <c r="H53" i="39" s="1"/>
  <c r="Q57" i="15"/>
  <c r="C43" i="15"/>
  <c r="E8" i="12" s="1"/>
  <c r="J42" i="15"/>
  <c r="J43" i="15" s="1"/>
  <c r="Q48" i="15"/>
  <c r="Q54" i="15" s="1"/>
  <c r="B2" i="15"/>
  <c r="B3" i="15" s="1"/>
  <c r="Q66" i="15"/>
  <c r="C46" i="15"/>
  <c r="B5" i="44"/>
  <c r="B4" i="44"/>
  <c r="B3" i="44"/>
  <c r="Q67" i="15"/>
  <c r="Q58" i="15"/>
  <c r="C49" i="34"/>
  <c r="C50" i="34"/>
  <c r="B3" i="34" s="1"/>
  <c r="B2" i="34" s="1"/>
  <c r="E54" i="34"/>
  <c r="F54" i="34" s="1"/>
  <c r="E53" i="34"/>
  <c r="F53" i="34" s="1"/>
  <c r="C45" i="40" l="1"/>
  <c r="C44" i="40"/>
  <c r="E48" i="40"/>
  <c r="F48" i="40" s="1"/>
  <c r="E49" i="40"/>
  <c r="F49" i="40" s="1"/>
  <c r="I49" i="40"/>
  <c r="J49" i="40" s="1"/>
  <c r="C24" i="12"/>
  <c r="C35" i="12" s="1"/>
  <c r="C33" i="12" s="1"/>
  <c r="C29" i="12"/>
  <c r="C49" i="39"/>
  <c r="C50" i="39"/>
  <c r="I54" i="39"/>
  <c r="J54" i="39" s="1"/>
  <c r="E54" i="39"/>
  <c r="F54" i="39" s="1"/>
  <c r="E53" i="39"/>
  <c r="F53" i="39" s="1"/>
  <c r="Q76" i="15"/>
  <c r="Q63" i="15"/>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28" i="12"/>
  <c r="C26" i="12" s="1"/>
  <c r="C31" i="12" s="1"/>
  <c r="C30" i="12" s="1"/>
  <c r="C36" i="12" s="1"/>
  <c r="B2" i="12" s="1"/>
  <c r="B61" i="39"/>
  <c r="F61" i="39" s="1"/>
  <c r="B62" i="39"/>
  <c r="F62" i="39" s="1"/>
  <c r="B59" i="39"/>
  <c r="F59" i="39" s="1"/>
  <c r="B65" i="39"/>
  <c r="F65" i="39" s="1"/>
  <c r="B63" i="39"/>
  <c r="F63" i="39" s="1"/>
  <c r="B64" i="39"/>
  <c r="F64" i="39" s="1"/>
  <c r="B58" i="39"/>
  <c r="F58" i="39" s="1"/>
  <c r="B67" i="39"/>
  <c r="F67" i="39" s="1"/>
  <c r="B60" i="39"/>
  <c r="F60" i="39" s="1"/>
  <c r="B66" i="39"/>
  <c r="F66" i="39" s="1"/>
  <c r="D19" i="9"/>
  <c r="B4" i="40" l="1"/>
  <c r="B5" i="40"/>
  <c r="B3" i="40"/>
  <c r="F68" i="39"/>
  <c r="B2" i="39" s="1"/>
  <c r="L44" i="9"/>
  <c r="B5" i="12"/>
  <c r="B3" i="12"/>
  <c r="B4" i="12"/>
  <c r="C19" i="9"/>
  <c r="D21" i="9"/>
  <c r="D20" i="9"/>
  <c r="L43" i="9" l="1"/>
  <c r="D22" i="9"/>
  <c r="G19" i="9"/>
  <c r="A27" i="9" s="1"/>
  <c r="B3" i="39"/>
  <c r="B5" i="39"/>
  <c r="B4" i="39"/>
  <c r="C20" i="9"/>
  <c r="C21" i="9"/>
  <c r="N43" i="9" l="1"/>
  <c r="G22" i="9"/>
  <c r="C32" i="9"/>
  <c r="O43" i="9" s="1"/>
  <c r="G21" i="9"/>
  <c r="G20" i="9"/>
  <c r="C42" i="9" l="1"/>
  <c r="D14" i="66" s="1"/>
  <c r="C33" i="9"/>
  <c r="N38" i="9" s="1"/>
  <c r="K28" i="9" s="1"/>
  <c r="C35" i="9"/>
  <c r="F42" i="9" s="1"/>
  <c r="C34" i="9"/>
  <c r="E42" i="9" s="1"/>
  <c r="P5" i="54" s="1"/>
  <c r="B46" i="63" s="1"/>
  <c r="O38" i="9"/>
  <c r="K26" i="9" s="1"/>
  <c r="D42" i="9"/>
  <c r="Q5" i="54" s="1"/>
  <c r="B47" i="63" s="1"/>
  <c r="C44" i="9"/>
  <c r="K25" i="9" l="1"/>
  <c r="M38" i="9"/>
  <c r="K27" i="9" s="1"/>
  <c r="R5" i="54"/>
  <c r="B48" i="63" s="1"/>
  <c r="N68" i="9"/>
  <c r="D63" i="9"/>
  <c r="C103" i="9" s="1"/>
  <c r="D44" i="9"/>
  <c r="N69" i="9"/>
  <c r="E44" i="9"/>
  <c r="O39" i="9"/>
  <c r="G14" i="66"/>
  <c r="B6" i="66" s="1"/>
  <c r="F44" i="9"/>
  <c r="B5" i="66"/>
  <c r="F14" i="66"/>
  <c r="E14" i="66"/>
  <c r="C90" i="9" l="1"/>
  <c r="C96" i="9"/>
  <c r="C91" i="9" s="1"/>
  <c r="D71" i="9"/>
  <c r="D66" i="9" s="1"/>
  <c r="N72" i="9" s="1"/>
  <c r="C111" i="9"/>
  <c r="C104" i="9" s="1"/>
  <c r="D77" i="9"/>
  <c r="N75" i="9" s="1"/>
  <c r="C82" i="9"/>
  <c r="C81" i="9" s="1"/>
  <c r="C85" i="9" s="1"/>
  <c r="C86" i="9" s="1"/>
  <c r="D72" i="9" s="1"/>
  <c r="D70" i="9"/>
  <c r="C113" i="9"/>
  <c r="C114" i="9" s="1"/>
  <c r="E114" i="9" s="1"/>
  <c r="E115" i="9" s="1"/>
  <c r="C5" i="66"/>
  <c r="D5" i="66"/>
  <c r="K29" i="9"/>
  <c r="K30" i="9" s="1"/>
  <c r="R6" i="54"/>
  <c r="B50" i="63" s="1"/>
  <c r="M87" i="9"/>
  <c r="N87" i="9" s="1"/>
  <c r="M86" i="9"/>
  <c r="N86" i="9" s="1"/>
  <c r="M88" i="9"/>
  <c r="N88" i="9" s="1"/>
  <c r="M85" i="9"/>
  <c r="N85" i="9" s="1"/>
  <c r="M84" i="9"/>
  <c r="N84" i="9" s="1"/>
  <c r="M83" i="9"/>
  <c r="N83" i="9" s="1"/>
  <c r="C6" i="66"/>
  <c r="D6" i="66"/>
  <c r="C97" i="9" l="1"/>
  <c r="C98" i="9" s="1"/>
  <c r="E98" i="9" s="1"/>
  <c r="E99" i="9" s="1"/>
  <c r="C115" i="9"/>
  <c r="D76" i="9" s="1"/>
  <c r="D74" i="9" s="1"/>
  <c r="N74" i="9" s="1"/>
  <c r="O77" i="9" s="1"/>
  <c r="O78" i="9" s="1"/>
  <c r="N89" i="9"/>
  <c r="O8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<sst xmlns="http://schemas.openxmlformats.org/spreadsheetml/2006/main" count="7466" uniqueCount="3290">
  <si>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</si>
  <si>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</si>
  <si>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</si>
  <si>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</si>
  <si>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</si>
  <si>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</si>
  <si>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</si>
  <si>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</si>
  <si>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</si>
  <si>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</si>
  <si>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</si>
  <si>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</si>
  <si>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</si>
  <si>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</si>
  <si>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</si>
  <si>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</si>
  <si>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</si>
  <si>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</si>
  <si>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</si>
  <si>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</si>
  <si>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</si>
  <si>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</si>
  <si>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</si>
  <si>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</si>
  <si>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</si>
  <si>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</si>
  <si>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</si>
  <si>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</si>
  <si>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</si>
  <si>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</si>
  <si>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</si>
  <si>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</si>
  <si>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</si>
  <si>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</si>
  <si>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</si>
  <si>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</si>
  <si>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</si>
  <si>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</si>
  <si>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</si>
  <si>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</si>
  <si>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</si>
  <si>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</si>
  <si>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</si>
  <si>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</si>
  <si>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</si>
  <si>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</si>
  <si>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</si>
  <si>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</si>
  <si>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</si>
  <si>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</si>
  <si>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</si>
  <si>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</si>
  <si>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</si>
  <si>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</si>
  <si>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</si>
  <si>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</si>
  <si>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</si>
  <si>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</si>
  <si>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</si>
  <si>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</si>
  <si>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</si>
  <si>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</si>
  <si>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</si>
  <si>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</si>
  <si>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</si>
  <si>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</si>
  <si>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</si>
  <si>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</si>
  <si>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</si>
  <si>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</si>
  <si>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</si>
  <si>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</si>
  <si>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</si>
  <si>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</si>
  <si>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</si>
  <si>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</si>
  <si>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</si>
  <si>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</si>
  <si>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</si>
  <si>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</si>
  <si>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</si>
  <si>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</si>
  <si>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</si>
  <si>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</si>
  <si>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</si>
  <si>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</si>
  <si>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</si>
  <si>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</si>
  <si>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</si>
  <si>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</si>
  <si>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</si>
  <si>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</si>
  <si>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</si>
  <si>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</si>
  <si>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</si>
  <si>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</si>
  <si>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</si>
  <si>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</si>
  <si>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</si>
  <si>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</si>
  <si>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</si>
  <si>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</si>
  <si>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</si>
  <si>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</si>
  <si>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</si>
  <si>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</si>
  <si>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</si>
  <si>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</si>
  <si>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</si>
  <si>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</si>
  <si>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</si>
  <si>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</si>
  <si>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</si>
  <si>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</si>
  <si>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</si>
  <si>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</si>
  <si>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</si>
  <si>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</si>
  <si>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</si>
  <si>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</si>
  <si>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</si>
  <si>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</si>
  <si>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</si>
  <si>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</si>
  <si>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</si>
  <si>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</si>
  <si>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</si>
  <si>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</si>
  <si>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</si>
  <si>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</si>
  <si>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</si>
  <si>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</si>
  <si>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</si>
  <si>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</si>
  <si>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</si>
  <si>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</si>
  <si>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</si>
  <si>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</si>
  <si>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</si>
  <si>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</si>
  <si>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</si>
  <si>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</si>
  <si>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</si>
  <si>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</si>
  <si>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</si>
  <si>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</si>
  <si>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</si>
  <si>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</si>
  <si>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</si>
  <si>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</si>
  <si>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</si>
  <si>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</si>
  <si>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</si>
  <si>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</si>
  <si>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</si>
  <si>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</si>
  <si>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</si>
  <si>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</si>
  <si>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</si>
  <si>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</si>
  <si>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</si>
  <si>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</si>
  <si>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</si>
  <si>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</si>
  <si>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</si>
  <si>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</si>
  <si>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</si>
  <si>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</si>
  <si>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</si>
  <si>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</si>
  <si>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</si>
  <si>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</si>
  <si>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</si>
  <si>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</si>
  <si>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</si>
  <si>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</si>
  <si>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</si>
  <si>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</si>
  <si>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</si>
  <si>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</si>
  <si>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</si>
  <si>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</si>
  <si>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</si>
  <si>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</si>
  <si>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</si>
  <si>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</si>
  <si>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</si>
  <si>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</si>
  <si>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</si>
  <si>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</si>
  <si>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</si>
  <si>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</si>
  <si>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</si>
  <si>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</si>
  <si>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</si>
  <si>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</si>
  <si>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</si>
  <si>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</si>
  <si>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</si>
  <si>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</si>
  <si>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</si>
  <si>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</si>
  <si>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</si>
  <si>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</si>
  <si>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</si>
  <si>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</si>
  <si>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</si>
  <si>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</si>
  <si>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</si>
  <si>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</si>
  <si>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</si>
  <si>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</si>
  <si>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</si>
  <si>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</si>
  <si>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</si>
  <si>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</si>
  <si>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</si>
  <si>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</si>
  <si>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</si>
  <si>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</si>
  <si>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</si>
  <si>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</si>
  <si>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</si>
  <si>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</si>
  <si>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</si>
  <si>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</si>
  <si>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</si>
  <si>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</si>
  <si>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</si>
  <si>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</si>
  <si>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</si>
  <si>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</si>
  <si>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</si>
  <si>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</si>
  <si>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</si>
  <si>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</si>
  <si>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</si>
  <si>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</si>
  <si>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</si>
  <si>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</si>
  <si>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</si>
  <si>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</si>
  <si>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</si>
  <si>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</si>
  <si>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</si>
  <si>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</si>
  <si>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</si>
  <si>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</si>
  <si>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</si>
  <si>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</si>
  <si>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</si>
  <si>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</si>
  <si>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</si>
  <si>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</si>
  <si>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</si>
  <si>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</si>
  <si>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</si>
  <si>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</si>
  <si>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</si>
  <si>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</si>
  <si>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</si>
  <si>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</si>
  <si>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</si>
  <si>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</si>
  <si>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</si>
  <si>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</si>
  <si>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</si>
  <si>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</si>
  <si>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</si>
  <si>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</si>
  <si>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</si>
  <si>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</si>
  <si>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</si>
  <si>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</si>
  <si>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</si>
  <si>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</si>
  <si>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</si>
  <si>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</si>
  <si>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</si>
  <si>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</si>
  <si>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</si>
  <si>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</si>
  <si>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</si>
  <si>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</si>
  <si>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</si>
  <si>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</si>
  <si>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</si>
  <si>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</si>
  <si>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</si>
  <si>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</si>
  <si>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</si>
  <si>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</si>
  <si>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</si>
  <si>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</si>
  <si>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</si>
  <si>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</si>
  <si>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</si>
  <si>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</si>
  <si>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</si>
  <si>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</si>
  <si>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</si>
  <si>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</si>
  <si>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</si>
  <si>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</si>
  <si>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</si>
  <si>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</si>
  <si>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</si>
  <si>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</si>
  <si>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</si>
  <si>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</si>
  <si>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</si>
  <si>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</si>
  <si>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</si>
  <si>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</si>
  <si>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</si>
  <si>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</si>
  <si>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</si>
  <si>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</si>
  <si>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</si>
  <si>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</si>
  <si>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</si>
  <si>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</si>
  <si>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</si>
  <si>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</si>
  <si>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</si>
  <si>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</si>
  <si>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</si>
  <si>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</si>
  <si>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</si>
  <si>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</si>
  <si>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</si>
  <si>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</si>
  <si>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</si>
  <si>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</si>
  <si>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</si>
  <si>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</si>
  <si>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</si>
  <si>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</si>
  <si>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</si>
  <si>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</si>
  <si>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</si>
  <si>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</si>
  <si>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</si>
  <si>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</si>
  <si>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</si>
  <si>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</si>
  <si>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</si>
  <si>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</si>
  <si>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</si>
  <si>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</si>
  <si>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</si>
  <si>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</si>
  <si>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</si>
  <si>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</si>
  <si>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</si>
  <si>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</si>
  <si>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</si>
  <si>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</si>
  <si>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</si>
  <si>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</si>
  <si>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</si>
  <si>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</si>
  <si>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</si>
  <si>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</si>
  <si>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</si>
  <si>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</si>
  <si>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</si>
  <si>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</si>
  <si>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</si>
  <si>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</si>
  <si>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</si>
  <si>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</si>
  <si>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</si>
  <si>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</si>
  <si>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</si>
  <si>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</si>
  <si>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</si>
  <si>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</si>
  <si>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</si>
  <si>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</si>
  <si>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</si>
  <si>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</si>
  <si>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</si>
  <si>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</si>
  <si>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</si>
  <si>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</si>
  <si>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</si>
  <si>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</si>
  <si>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</si>
  <si>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</si>
  <si>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</si>
  <si>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</si>
  <si>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</si>
  <si>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</si>
  <si>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</si>
  <si>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</si>
  <si>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</si>
  <si>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</si>
  <si>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</si>
  <si>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</si>
  <si>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</si>
  <si>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</si>
  <si>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</si>
  <si>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</si>
  <si>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</si>
  <si>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</si>
  <si>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</si>
  <si>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</si>
  <si>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</si>
  <si>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</si>
  <si>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</si>
  <si>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</si>
  <si>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</si>
  <si>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</si>
  <si>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</si>
  <si>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</si>
  <si>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</si>
  <si>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</si>
  <si>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</si>
  <si>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</si>
  <si>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</si>
  <si>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</si>
  <si>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</si>
  <si>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</si>
  <si>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</si>
  <si>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</si>
  <si>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</si>
  <si>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</si>
  <si>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</si>
  <si>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</si>
  <si>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</si>
  <si>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</si>
  <si>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</si>
  <si>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</si>
  <si>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</si>
  <si>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</si>
  <si>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</si>
  <si>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</si>
  <si>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</si>
  <si>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</si>
  <si>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</si>
  <si>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</si>
  <si>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</si>
  <si>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</si>
  <si>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</si>
  <si>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</si>
  <si>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</si>
  <si>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</si>
  <si>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</si>
  <si>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</si>
  <si>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</si>
  <si>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</si>
  <si>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</si>
  <si>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</si>
  <si>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</si>
  <si>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</si>
  <si>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</si>
  <si>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</si>
  <si>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</si>
  <si>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</si>
  <si>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</si>
  <si>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</si>
  <si>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</si>
  <si>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</si>
  <si>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</si>
  <si>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</si>
  <si>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</si>
  <si>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</si>
  <si>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</si>
  <si>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</si>
  <si>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</si>
  <si>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</si>
  <si>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</si>
  <si>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</si>
  <si>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</si>
  <si>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</si>
  <si>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</si>
  <si>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</si>
  <si>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</si>
  <si>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</si>
  <si>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</si>
  <si>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</si>
  <si>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</si>
  <si>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</si>
  <si>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</si>
  <si>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</si>
  <si>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</si>
  <si>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</si>
  <si>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</si>
  <si>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</si>
  <si>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</si>
  <si>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</si>
  <si>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</si>
  <si>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</si>
  <si>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</si>
  <si>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</si>
  <si>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</si>
  <si>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</si>
  <si>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</si>
  <si>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</si>
  <si>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</si>
  <si>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</si>
  <si>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</si>
  <si>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</si>
  <si>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</si>
  <si>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</si>
  <si>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</si>
  <si>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</si>
  <si>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</si>
  <si>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</si>
  <si>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</si>
  <si>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</si>
  <si>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</si>
  <si>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</si>
  <si>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</si>
  <si>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</si>
  <si>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</si>
  <si>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</si>
  <si>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</si>
  <si>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</si>
  <si>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</si>
  <si>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</si>
  <si>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</si>
  <si>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</si>
  <si>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</si>
  <si>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</si>
  <si>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</si>
  <si>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</si>
  <si>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</si>
  <si>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</si>
  <si>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</si>
  <si>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</si>
  <si>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</si>
  <si>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</si>
  <si>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</si>
  <si>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</si>
  <si>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</si>
  <si>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</si>
  <si>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</si>
  <si>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</si>
  <si>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</si>
  <si>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</si>
  <si>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</si>
  <si>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</si>
  <si>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</si>
  <si>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</si>
  <si>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</si>
  <si>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</si>
  <si>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</si>
  <si>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</si>
  <si>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</si>
  <si>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</si>
  <si>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</si>
  <si>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</si>
  <si>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</si>
  <si>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</si>
  <si>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</si>
  <si>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</si>
  <si>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</si>
  <si>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</si>
  <si>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</si>
  <si>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</si>
  <si>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</si>
  <si>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</si>
  <si>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</si>
  <si>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</si>
  <si>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</si>
  <si>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</si>
  <si>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</si>
  <si>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</si>
  <si>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</si>
  <si>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</si>
  <si>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</si>
  <si>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</si>
  <si>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</si>
  <si>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</si>
  <si>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</si>
  <si>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</si>
  <si>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</si>
  <si>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</si>
  <si>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</si>
  <si>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</si>
  <si>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</si>
  <si>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</si>
  <si>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</si>
  <si>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</si>
  <si>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</si>
  <si>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</si>
  <si>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</si>
  <si>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</si>
  <si>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</si>
  <si>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</si>
  <si>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</si>
  <si>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</si>
  <si>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</si>
  <si>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</si>
  <si>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</si>
  <si>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</si>
  <si>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</si>
  <si>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</si>
  <si>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</si>
  <si>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</si>
  <si>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</si>
  <si>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</si>
  <si>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</si>
  <si>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</si>
  <si>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</si>
  <si>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</si>
  <si>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</si>
  <si>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</si>
  <si>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</si>
  <si>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</si>
  <si>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</si>
  <si>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</si>
  <si>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</si>
  <si>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</si>
  <si>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</si>
  <si>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</si>
  <si>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</si>
  <si>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</si>
  <si>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</si>
  <si>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</si>
  <si>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</si>
  <si>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</si>
  <si>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</si>
  <si>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</si>
  <si>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</si>
  <si>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</si>
  <si>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</si>
  <si>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</si>
  <si>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</si>
  <si>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</si>
  <si>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</si>
  <si>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</si>
  <si>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</si>
  <si>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</si>
  <si>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</si>
  <si>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</si>
  <si>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</si>
  <si>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</si>
  <si>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</si>
  <si>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</si>
  <si>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</si>
  <si>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</si>
  <si>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</si>
  <si>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</si>
  <si>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</si>
  <si>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</si>
  <si>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</si>
  <si>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</si>
  <si>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</si>
  <si>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</si>
  <si>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</si>
  <si>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</si>
  <si>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</si>
  <si>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</si>
  <si>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</si>
  <si>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</si>
  <si>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</si>
  <si>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</si>
  <si>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</si>
  <si>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</si>
  <si>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</si>
  <si>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</si>
  <si>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</si>
  <si>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</si>
  <si>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</si>
  <si>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</si>
  <si>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</si>
  <si>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</si>
  <si>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</si>
  <si>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</si>
  <si>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</si>
  <si>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</si>
  <si>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</si>
  <si>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</si>
  <si>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</si>
  <si>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</si>
  <si>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</si>
  <si>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</si>
  <si>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</si>
  <si>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</si>
  <si>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</si>
  <si>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</si>
  <si>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</si>
  <si>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</si>
  <si>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</si>
  <si>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</si>
  <si>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</si>
  <si>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</si>
  <si>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</si>
  <si>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</si>
  <si>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</si>
  <si>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</si>
  <si>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</si>
  <si>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</si>
  <si>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</si>
  <si>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</si>
  <si>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</si>
  <si>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</si>
  <si>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</si>
  <si>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</si>
  <si>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</si>
  <si>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</si>
  <si>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</si>
  <si>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</si>
  <si>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</si>
  <si>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</si>
  <si>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</si>
  <si>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</si>
  <si>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</si>
  <si>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</si>
  <si>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</si>
  <si>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</si>
  <si>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</si>
  <si>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</si>
  <si>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</si>
  <si>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</si>
  <si>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</si>
  <si>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</si>
  <si>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</si>
  <si>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</si>
  <si>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</si>
  <si>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</si>
  <si>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</si>
  <si>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</si>
  <si>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</si>
  <si>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</si>
  <si>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</si>
  <si>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</si>
  <si>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</si>
  <si>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</si>
  <si>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</si>
  <si>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</si>
  <si>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</si>
  <si>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</si>
  <si>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</si>
  <si>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</si>
  <si>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</si>
  <si>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</si>
  <si>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</si>
  <si>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</si>
  <si>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</si>
  <si>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</si>
  <si>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</si>
  <si>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</si>
  <si>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</si>
  <si>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</si>
  <si>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</si>
  <si>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</si>
  <si>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</si>
  <si>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</si>
  <si>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</si>
  <si>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</si>
  <si>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</si>
  <si>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</si>
  <si>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</si>
  <si>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</si>
  <si>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</si>
  <si>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</si>
  <si>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</si>
  <si>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</si>
  <si>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</si>
  <si>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</si>
  <si>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</si>
  <si>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</si>
  <si>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</si>
  <si>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</si>
  <si>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</si>
  <si>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</si>
  <si>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</si>
  <si>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</si>
  <si>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</si>
  <si>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</si>
  <si>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</si>
  <si>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</si>
  <si>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</si>
  <si>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</si>
  <si>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</si>
  <si>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</si>
  <si>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</si>
  <si>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</si>
  <si>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</si>
  <si>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</si>
  <si>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</si>
  <si>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</si>
  <si>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</si>
  <si>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</si>
  <si>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</si>
  <si>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</si>
  <si>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</si>
  <si>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</si>
  <si>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</si>
  <si>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</si>
  <si>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</si>
  <si>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</si>
  <si>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</si>
  <si>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</si>
  <si>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</si>
  <si>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</si>
  <si>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</si>
  <si>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</si>
  <si>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</si>
  <si>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</si>
  <si>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</si>
  <si>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</si>
  <si>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</si>
  <si>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</si>
  <si>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</si>
  <si>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</si>
  <si>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</si>
  <si>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</si>
  <si>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</si>
  <si>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</si>
  <si>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</si>
  <si>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</si>
  <si>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</si>
  <si>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</si>
  <si>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</si>
  <si>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</si>
  <si>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</si>
  <si>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</si>
  <si>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</si>
  <si>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</si>
  <si>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</si>
  <si>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</si>
  <si>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</si>
  <si>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</si>
  <si>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</si>
  <si>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</si>
  <si>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</si>
  <si>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</si>
  <si>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</si>
  <si>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</si>
  <si>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</si>
  <si>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</si>
  <si>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</si>
  <si>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</si>
  <si>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</si>
  <si>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</si>
  <si>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</si>
  <si>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</si>
  <si>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</si>
  <si>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</si>
  <si>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</si>
  <si>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</si>
  <si>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</si>
  <si>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</si>
  <si>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</si>
  <si>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</si>
  <si>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</si>
  <si>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</si>
  <si>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</si>
  <si>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</si>
  <si>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</si>
  <si>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</si>
  <si>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</si>
  <si>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</si>
  <si>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</si>
  <si>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</si>
  <si>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</si>
  <si>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</si>
  <si>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</si>
  <si>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</si>
  <si>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</si>
  <si>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</si>
  <si>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</si>
  <si>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</si>
  <si>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</si>
  <si>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</si>
  <si>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</si>
  <si>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</si>
  <si>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</si>
  <si>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</si>
  <si>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</si>
  <si>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</si>
  <si>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</si>
  <si>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</si>
  <si>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</si>
  <si>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</si>
  <si>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</si>
  <si>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</si>
  <si>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</si>
  <si>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</si>
  <si>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</si>
  <si>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</si>
  <si>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</si>
  <si>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</si>
  <si>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</si>
  <si>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</si>
  <si>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</si>
  <si>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</si>
  <si>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</si>
  <si>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</si>
  <si>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</si>
  <si>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</si>
  <si>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</si>
  <si>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</si>
  <si>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</si>
  <si>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</si>
  <si>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</si>
  <si>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</si>
  <si>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</si>
  <si>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</si>
  <si>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</si>
  <si>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</si>
  <si>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</si>
  <si>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</si>
  <si>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</si>
  <si>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</si>
  <si>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</si>
  <si>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</si>
  <si>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</si>
  <si>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</si>
  <si>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</si>
  <si>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</si>
  <si>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</si>
  <si>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</si>
  <si>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</si>
  <si>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</si>
  <si>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</si>
  <si>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</si>
  <si>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</si>
  <si>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</si>
  <si>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</si>
  <si>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</si>
  <si>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</si>
  <si>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</si>
  <si>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</si>
  <si>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</si>
  <si>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</si>
  <si>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</si>
  <si>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</si>
  <si>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</si>
  <si>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</si>
  <si>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</si>
  <si>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</si>
  <si>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</si>
  <si>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</si>
  <si>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</si>
  <si>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</si>
  <si>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</si>
  <si>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</si>
  <si>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</si>
  <si>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</si>
  <si>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</si>
  <si>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</si>
  <si>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</si>
  <si>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</si>
  <si>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</si>
  <si>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</si>
  <si>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</si>
  <si>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</si>
  <si>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</si>
  <si>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</si>
  <si>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</si>
  <si>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</si>
  <si>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</si>
  <si>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</si>
  <si>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</si>
  <si>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</si>
  <si>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</si>
  <si>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</si>
  <si>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</si>
  <si>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</si>
  <si>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</si>
  <si>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</si>
  <si>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</si>
  <si>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</si>
  <si>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</si>
  <si>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</si>
  <si>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</si>
  <si>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</si>
  <si>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</si>
  <si>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</si>
  <si>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</si>
  <si>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</si>
  <si>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</si>
  <si>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</si>
  <si>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</si>
  <si>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</si>
  <si>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</si>
  <si>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</si>
  <si>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</si>
  <si>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</si>
  <si>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</si>
  <si>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</si>
  <si>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</si>
  <si>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</si>
  <si>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</si>
  <si>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</si>
  <si>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</si>
  <si>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</si>
  <si>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</si>
  <si>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</si>
  <si>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</si>
  <si>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</si>
  <si>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</si>
  <si>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</si>
  <si>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</si>
  <si>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</si>
  <si>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</si>
  <si>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</si>
  <si>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</si>
  <si>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</si>
  <si>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</si>
  <si>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</si>
  <si>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</si>
  <si>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</si>
  <si>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</si>
  <si>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</si>
  <si>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</si>
  <si>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</si>
  <si>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</si>
  <si>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</si>
  <si>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</si>
  <si>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</si>
  <si>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</si>
  <si>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</si>
  <si>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</si>
  <si>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</si>
  <si>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</si>
  <si>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</si>
  <si>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</si>
  <si>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</si>
  <si>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</si>
  <si>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</si>
  <si>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</si>
  <si>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</si>
  <si>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</si>
  <si>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</si>
  <si>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</si>
  <si>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</si>
  <si>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</si>
  <si>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</si>
  <si>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</si>
  <si>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</si>
  <si>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</si>
  <si>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</si>
  <si>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</si>
  <si>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</si>
  <si>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</si>
  <si>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</si>
  <si>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</si>
  <si>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</si>
  <si>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</si>
  <si>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</si>
  <si>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</si>
  <si>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</si>
  <si>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</si>
  <si>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</si>
  <si>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</si>
  <si>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</si>
  <si>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</si>
  <si>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</si>
  <si>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</si>
  <si>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</si>
  <si>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</si>
  <si>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</si>
  <si>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</si>
  <si>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</si>
  <si>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</si>
  <si>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</si>
  <si>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</si>
  <si>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</si>
  <si>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</si>
  <si>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</si>
  <si>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</si>
  <si>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</si>
  <si>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</si>
  <si>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</si>
  <si>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</si>
  <si>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</si>
  <si>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</si>
  <si>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</si>
  <si>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</si>
  <si>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</si>
  <si>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</si>
  <si>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</si>
  <si>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</si>
  <si>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</si>
  <si>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</si>
  <si>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</si>
  <si>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</si>
  <si>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</si>
  <si>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</si>
  <si>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</si>
  <si>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</si>
  <si>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</si>
  <si>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</si>
  <si>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</si>
  <si>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</si>
  <si>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</si>
  <si>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</si>
  <si>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</si>
  <si>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</si>
  <si>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</si>
  <si>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</si>
  <si>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</si>
  <si>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</si>
  <si>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</si>
  <si>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</si>
  <si>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</si>
  <si>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</si>
  <si>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</si>
  <si>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</si>
  <si>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</si>
  <si>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</si>
  <si>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</si>
  <si>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</si>
  <si>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</si>
  <si>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</si>
  <si>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</si>
  <si>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</si>
  <si>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</si>
  <si>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</si>
  <si>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</si>
  <si>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</si>
  <si>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</si>
  <si>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</si>
  <si>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</si>
  <si>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</si>
  <si>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</si>
  <si>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</si>
  <si>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</si>
  <si>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</si>
  <si>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</si>
  <si>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</si>
  <si>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</si>
  <si>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</si>
  <si>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</si>
  <si>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</si>
  <si>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</si>
  <si>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</si>
  <si>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</si>
  <si>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</si>
  <si>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</si>
  <si>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</si>
  <si>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</si>
  <si>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</si>
  <si>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</si>
  <si>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</si>
  <si>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</si>
  <si>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</si>
  <si>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</si>
  <si>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</si>
  <si>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</si>
  <si>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</si>
  <si>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</si>
  <si>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</si>
  <si>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</si>
  <si>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</si>
  <si>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</si>
  <si>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</si>
  <si>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</si>
  <si>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</si>
  <si>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</si>
  <si>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</si>
  <si>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</si>
  <si>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</si>
  <si>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</si>
  <si>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</si>
  <si>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</si>
  <si>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</si>
  <si>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</si>
  <si>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</si>
  <si>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</si>
  <si>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</si>
  <si>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</si>
  <si>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</si>
  <si>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</si>
  <si>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</si>
  <si>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</si>
  <si>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</si>
  <si>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</si>
  <si>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</si>
  <si>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</si>
  <si>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</si>
  <si>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</si>
  <si>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</si>
  <si>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</si>
  <si>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</si>
  <si>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</si>
  <si>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</si>
  <si>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</si>
  <si>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</si>
  <si>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</si>
  <si>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</si>
  <si>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</si>
  <si>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</si>
  <si>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</si>
  <si>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</si>
  <si>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</si>
  <si>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</si>
  <si>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</si>
  <si>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</si>
  <si>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</si>
  <si>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</si>
  <si>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</si>
  <si>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</si>
  <si>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</si>
  <si>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</si>
  <si>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</si>
  <si>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</si>
  <si>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</si>
  <si>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</si>
  <si>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</si>
  <si>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</si>
  <si>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</si>
  <si>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</si>
  <si>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</si>
  <si>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</si>
  <si>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</si>
  <si>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</si>
  <si>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</si>
  <si>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</si>
  <si>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</si>
  <si>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</si>
  <si>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</si>
  <si>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</si>
  <si>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</si>
  <si>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</si>
  <si>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</si>
  <si>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</si>
  <si>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</si>
  <si>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</si>
  <si>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</si>
  <si>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</si>
  <si>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</si>
  <si>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</si>
  <si>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</si>
  <si>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</si>
  <si>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</si>
  <si>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</si>
  <si>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</si>
  <si>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</si>
  <si>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</si>
  <si>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</si>
  <si>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</si>
  <si>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</si>
  <si>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</si>
  <si>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</si>
  <si>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</si>
  <si>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</si>
  <si>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</si>
  <si>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</si>
  <si>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</si>
  <si>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</si>
  <si>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</si>
  <si>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</si>
  <si>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</si>
  <si>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</si>
  <si>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</si>
  <si>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</si>
  <si>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</si>
  <si>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</si>
  <si>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</si>
  <si>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</si>
  <si>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</si>
  <si>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</si>
  <si>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</si>
  <si>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</si>
  <si>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</si>
  <si>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</si>
  <si>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</si>
  <si>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</si>
  <si>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</si>
  <si>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</si>
  <si>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</si>
  <si>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</si>
  <si>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</si>
  <si>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</si>
  <si>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</si>
  <si>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</si>
  <si>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</si>
  <si>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</si>
  <si>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</si>
  <si>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</si>
  <si>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</si>
  <si>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</si>
  <si>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</si>
  <si>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</si>
  <si>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</si>
  <si>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</si>
  <si>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</si>
  <si>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</si>
  <si>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</si>
  <si>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</si>
  <si>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</si>
  <si>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</si>
  <si>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</si>
  <si>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</si>
  <si>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</si>
  <si>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</si>
  <si>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</si>
  <si>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</si>
  <si>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</si>
  <si>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</si>
  <si>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</si>
  <si>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</si>
  <si>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</si>
  <si>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</si>
  <si>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</si>
  <si>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</si>
  <si>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</si>
  <si>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</si>
  <si>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</si>
  <si>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</si>
  <si>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</si>
  <si>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</si>
  <si>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</si>
  <si>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</si>
  <si>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</si>
  <si>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</si>
  <si>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</si>
  <si>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</si>
  <si>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</si>
  <si>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</si>
  <si>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</si>
  <si>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</si>
  <si>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</si>
  <si>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</si>
  <si>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</si>
  <si>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</si>
  <si>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</si>
  <si>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</si>
  <si>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</si>
  <si>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</si>
  <si>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</si>
  <si>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</si>
  <si>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</si>
  <si>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</si>
  <si>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</si>
  <si>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</si>
  <si>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</si>
  <si>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</si>
  <si>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</si>
  <si>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</si>
  <si>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</si>
  <si>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</si>
  <si>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</si>
  <si>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</si>
  <si>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</si>
  <si>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</si>
  <si>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</si>
  <si>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</si>
  <si>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</si>
  <si>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</si>
  <si>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</si>
  <si>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</si>
  <si>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</si>
  <si>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</si>
  <si>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</si>
  <si>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</si>
  <si>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</si>
  <si>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</si>
  <si>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</si>
  <si>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</si>
  <si>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</si>
  <si>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</si>
  <si>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</si>
  <si>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</si>
  <si>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</si>
  <si>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</si>
  <si>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</si>
  <si>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</si>
  <si>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</si>
  <si>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</si>
  <si>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</si>
  <si>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</si>
  <si>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</si>
  <si>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</si>
  <si>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</si>
  <si>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</si>
  <si>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</si>
  <si>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</si>
  <si>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</si>
  <si>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</si>
  <si>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</si>
  <si>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</si>
  <si>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</si>
  <si>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</si>
  <si>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</si>
  <si>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</si>
  <si>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</si>
  <si>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</si>
  <si>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</si>
  <si>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</si>
  <si>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</si>
  <si>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</si>
  <si>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</si>
  <si>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</si>
  <si>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</si>
  <si>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</si>
  <si>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</si>
  <si>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</si>
  <si>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</si>
  <si>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</si>
  <si>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</si>
  <si>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</si>
  <si>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</si>
  <si>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</si>
  <si>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</si>
  <si>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</si>
  <si>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</si>
  <si>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</si>
  <si>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</si>
  <si>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</si>
  <si>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</si>
  <si>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</si>
  <si>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</si>
  <si>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</si>
  <si>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</si>
  <si>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</si>
  <si>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</si>
  <si>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</si>
  <si>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</si>
  <si>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</si>
  <si>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</si>
  <si>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</si>
  <si>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</si>
  <si>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</si>
  <si>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</si>
  <si>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</si>
  <si>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</si>
  <si>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</si>
  <si>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</si>
  <si>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</si>
  <si>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</si>
  <si>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</si>
  <si>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</si>
  <si>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</si>
  <si>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</si>
  <si>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</si>
  <si>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</si>
  <si>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</si>
  <si>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</si>
  <si>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</si>
  <si>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</si>
  <si>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</si>
  <si>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</si>
  <si>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</si>
  <si>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</si>
  <si>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</si>
  <si>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</si>
  <si>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</si>
  <si>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</si>
  <si>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</si>
  <si>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</si>
  <si>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</si>
  <si>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</si>
  <si>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</si>
  <si>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</si>
  <si>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</si>
  <si>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</si>
  <si>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</si>
  <si>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</si>
  <si>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</si>
  <si>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</si>
  <si>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</si>
  <si>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</si>
  <si>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</si>
  <si>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</si>
  <si>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</si>
  <si>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</si>
  <si>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</si>
  <si>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</si>
  <si>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</si>
  <si>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</si>
  <si>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</si>
  <si>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</si>
  <si>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</si>
  <si>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</si>
  <si>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</si>
  <si>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</si>
  <si>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</si>
  <si>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</si>
  <si>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</si>
  <si>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</si>
  <si>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</si>
  <si>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</si>
  <si>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</si>
  <si>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</si>
  <si>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</si>
  <si>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</si>
  <si>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</si>
  <si>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</si>
  <si>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</si>
  <si>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</si>
  <si>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</si>
  <si>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</si>
  <si>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</si>
  <si>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</si>
  <si>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</si>
  <si>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</si>
  <si>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</si>
  <si>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</si>
  <si>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</si>
  <si>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</si>
  <si>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</si>
  <si>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</si>
  <si>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</si>
  <si>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</si>
  <si>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</si>
  <si>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</si>
  <si>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</si>
  <si>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</si>
  <si>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</si>
  <si>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</si>
  <si>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</si>
  <si>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</si>
  <si>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</si>
  <si>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</si>
  <si>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</si>
  <si>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</si>
  <si>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</si>
  <si>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</si>
  <si>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</si>
  <si>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</si>
  <si>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</si>
  <si>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</si>
  <si>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</si>
  <si>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</si>
  <si>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</si>
  <si>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</si>
  <si>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</si>
  <si>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</si>
  <si>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</si>
  <si>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</si>
  <si>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</si>
  <si>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</si>
  <si>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</si>
  <si>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</si>
  <si>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</si>
  <si>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</si>
  <si>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</si>
  <si>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</si>
  <si>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</si>
  <si>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</si>
  <si>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</si>
  <si>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</si>
  <si>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</si>
  <si>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</si>
  <si>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</si>
  <si>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</si>
  <si>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</si>
  <si>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</si>
  <si>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</si>
  <si>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</si>
  <si>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</si>
  <si>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</si>
  <si>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</si>
  <si>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</si>
  <si>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</si>
  <si>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</si>
  <si>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</si>
  <si>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</si>
  <si>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</si>
  <si>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</si>
  <si>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</si>
  <si>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</si>
  <si>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</si>
  <si>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</si>
  <si>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</si>
  <si>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</si>
  <si>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</si>
  <si>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</si>
  <si>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</si>
  <si>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</si>
  <si>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</si>
  <si>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</si>
  <si>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</si>
  <si>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</si>
  <si>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</si>
  <si>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</si>
  <si>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</si>
  <si>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</si>
  <si>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</si>
  <si>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</si>
  <si>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</si>
  <si>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</si>
  <si>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</si>
  <si>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</si>
  <si>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</si>
  <si>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</si>
  <si>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</si>
  <si>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</si>
  <si>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</si>
  <si>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</si>
  <si>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</si>
  <si>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</si>
  <si>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</si>
  <si>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</si>
  <si>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</si>
  <si>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</si>
  <si>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</si>
  <si>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</si>
  <si>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</si>
  <si>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</si>
  <si>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</si>
  <si>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</si>
  <si>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</si>
  <si>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</si>
  <si>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</si>
  <si>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</si>
  <si>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</si>
  <si>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</si>
  <si>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</si>
  <si>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</si>
  <si>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</si>
  <si>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</si>
  <si>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</si>
  <si>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</si>
  <si>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</si>
  <si>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</si>
  <si>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</si>
  <si>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</si>
  <si>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</si>
  <si>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</si>
  <si>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</si>
  <si>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</si>
  <si>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</si>
  <si>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</si>
  <si>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</si>
  <si>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</si>
  <si>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</si>
  <si>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</si>
  <si>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</si>
  <si>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</si>
  <si>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</si>
  <si>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</si>
  <si>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</si>
  <si>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</si>
  <si>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</si>
  <si>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</si>
  <si>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</si>
  <si>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</si>
  <si>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</si>
  <si>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</si>
  <si>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</si>
  <si>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</si>
  <si>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</si>
  <si>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</si>
  <si>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</si>
  <si>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</si>
  <si>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</si>
  <si>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</si>
  <si>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</si>
  <si>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</si>
  <si>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</si>
  <si>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</si>
  <si>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</si>
  <si>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</si>
  <si>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</si>
  <si>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</si>
  <si>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</si>
  <si>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</si>
  <si>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</si>
  <si>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</si>
  <si>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</si>
  <si>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</si>
  <si>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</si>
  <si>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</si>
  <si>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</si>
  <si>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</si>
  <si>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</si>
  <si>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</si>
  <si>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</si>
  <si>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</si>
  <si>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</si>
  <si>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</si>
  <si>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</si>
  <si>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</si>
  <si>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</si>
  <si>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</si>
  <si>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</si>
  <si>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</si>
  <si>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</si>
  <si>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</si>
  <si>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</si>
  <si>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</si>
  <si>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</si>
  <si>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</si>
  <si>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</si>
  <si>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</si>
  <si>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</si>
  <si>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</si>
  <si>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</si>
  <si>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</si>
  <si>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</si>
  <si>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</si>
  <si>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</si>
  <si>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</si>
  <si>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</si>
  <si>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</si>
  <si>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</si>
  <si>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</si>
  <si>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</si>
  <si>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</si>
  <si>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</si>
  <si>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</si>
  <si>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</si>
  <si>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</si>
  <si>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</si>
  <si>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</si>
  <si>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</si>
  <si>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</si>
  <si>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</si>
  <si>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</si>
  <si>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</si>
  <si>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</si>
  <si>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</si>
  <si>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</si>
  <si>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</si>
  <si>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</si>
  <si>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</si>
  <si>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</si>
  <si>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</si>
  <si>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</si>
  <si>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</si>
  <si>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</si>
  <si>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</si>
  <si>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</si>
  <si>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</si>
  <si>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</si>
  <si>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</si>
  <si>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</si>
  <si>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</si>
  <si>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</si>
  <si>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</si>
  <si>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</si>
  <si>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</si>
  <si>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</si>
  <si>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</si>
  <si>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</si>
  <si>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</si>
  <si>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</si>
  <si>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</si>
  <si>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</si>
  <si>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</si>
  <si>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</si>
  <si>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</si>
  <si>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</si>
  <si>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</si>
  <si>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</si>
  <si>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</si>
  <si>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</si>
  <si>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</si>
  <si>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</si>
  <si>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</si>
  <si>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</si>
  <si>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</si>
  <si>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</si>
  <si>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</si>
  <si>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</si>
  <si>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</si>
  <si>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</si>
  <si>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</si>
  <si>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</si>
  <si>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</si>
  <si>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</si>
  <si>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</si>
  <si>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</si>
  <si>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</si>
  <si>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</si>
  <si>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</si>
  <si>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</si>
  <si>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</si>
  <si>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</si>
  <si>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</si>
  <si>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</si>
  <si>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</si>
  <si>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</si>
  <si>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</si>
  <si>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</si>
  <si>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</si>
  <si>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</si>
  <si>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</si>
  <si>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</si>
  <si>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</si>
  <si>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</si>
  <si>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</si>
  <si>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</si>
  <si>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</si>
  <si>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</si>
  <si>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</si>
  <si>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</si>
  <si>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</si>
  <si>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</si>
  <si>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</si>
  <si>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</si>
  <si>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</si>
  <si>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</si>
  <si>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</si>
  <si>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</si>
  <si>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</si>
  <si>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</si>
  <si>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</si>
  <si>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</si>
  <si>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</si>
  <si>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</si>
  <si>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</si>
  <si>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</si>
  <si>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</si>
  <si>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</si>
  <si>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</si>
  <si>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</si>
  <si>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</si>
  <si>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</si>
  <si>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</si>
  <si>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</si>
  <si>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</si>
  <si>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</si>
  <si>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</si>
  <si>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</si>
  <si>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</si>
  <si>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</si>
  <si>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</si>
  <si>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</si>
  <si>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</si>
  <si>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</si>
  <si>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</si>
  <si>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</si>
  <si>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</si>
  <si>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</si>
  <si>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</si>
  <si>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</si>
  <si>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</si>
  <si>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</si>
  <si>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</si>
  <si>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</si>
  <si>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</si>
  <si>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</si>
  <si>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</si>
  <si>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</si>
  <si>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</si>
  <si>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</si>
  <si>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</si>
  <si>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</si>
  <si>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</si>
  <si>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</si>
  <si>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</si>
  <si>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</si>
  <si>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</si>
  <si>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</si>
  <si>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</si>
  <si>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</si>
  <si>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</si>
  <si>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</si>
  <si>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</si>
  <si>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</si>
  <si>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</si>
  <si>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</si>
  <si>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</si>
  <si>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</si>
  <si>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</si>
  <si>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</si>
  <si>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</si>
  <si>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</si>
  <si>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</si>
  <si>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</si>
  <si>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</si>
  <si>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</si>
  <si>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</si>
  <si>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</si>
  <si>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</si>
  <si>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</si>
  <si>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</si>
  <si>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</si>
  <si>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</si>
  <si>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</si>
  <si>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</si>
  <si>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</si>
  <si>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</si>
  <si>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</si>
  <si>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</si>
  <si>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</si>
  <si>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</si>
  <si>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</si>
  <si>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</si>
  <si>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</si>
  <si>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</si>
  <si>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</si>
  <si>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</si>
  <si>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</si>
  <si>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</si>
  <si>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</si>
  <si>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</si>
  <si>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</si>
  <si>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</si>
  <si>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</si>
  <si>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</si>
  <si>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</si>
  <si>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</si>
  <si>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</si>
  <si>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</si>
  <si>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</si>
  <si>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</si>
  <si>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</si>
  <si>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</si>
  <si>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</si>
  <si>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</si>
  <si>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</si>
  <si>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</si>
  <si>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</si>
  <si>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</si>
  <si>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</si>
  <si>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</si>
  <si>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</si>
  <si>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</si>
  <si>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</si>
  <si>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</si>
  <si>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</si>
  <si>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</si>
  <si>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</si>
  <si>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</si>
  <si>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</si>
  <si>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</si>
  <si>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</si>
  <si>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</si>
  <si>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</si>
  <si>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</si>
  <si>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</si>
  <si>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</si>
  <si>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</si>
  <si>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</si>
  <si>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</si>
  <si>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</si>
  <si>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</si>
  <si>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</si>
  <si>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</si>
  <si>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</si>
  <si>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</si>
  <si>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</si>
  <si>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</si>
  <si>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</si>
  <si>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</si>
  <si>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</si>
  <si>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</si>
  <si>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</si>
  <si>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</si>
  <si>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</si>
  <si>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</si>
  <si>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</si>
  <si>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</si>
  <si>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</si>
  <si>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</si>
  <si>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</si>
  <si>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</si>
  <si>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</si>
  <si>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</si>
  <si>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</si>
  <si>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</si>
  <si>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</si>
  <si>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</si>
  <si>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</si>
  <si>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</si>
  <si>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</si>
  <si>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</si>
  <si>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</si>
  <si>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</si>
  <si>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</si>
  <si>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</si>
  <si>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</si>
  <si>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</si>
  <si>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</si>
  <si>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</si>
  <si>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</si>
  <si>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</si>
  <si>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</si>
  <si>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</si>
  <si>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</si>
  <si>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</si>
  <si>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</si>
  <si>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</si>
  <si>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</si>
  <si>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</si>
  <si>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</si>
  <si>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</si>
  <si>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</si>
  <si>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</si>
  <si>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</si>
  <si>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</si>
  <si>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</si>
  <si>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</si>
  <si>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</si>
  <si>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</si>
  <si>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</si>
  <si>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</si>
  <si>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</si>
  <si>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</si>
  <si>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</si>
  <si>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</si>
  <si>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</si>
  <si>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</si>
  <si>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</si>
  <si>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</si>
  <si>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</si>
  <si>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</si>
  <si>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</si>
  <si>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</si>
  <si>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</si>
  <si>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</si>
  <si>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</si>
  <si>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</si>
  <si>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</si>
  <si>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</si>
  <si>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</si>
  <si>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</si>
  <si>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</si>
  <si>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</si>
  <si>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</si>
  <si>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</si>
  <si>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</si>
  <si>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</si>
  <si>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</si>
  <si>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</si>
  <si>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</si>
  <si>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</si>
  <si>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</si>
  <si>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</si>
  <si>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</si>
  <si>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</si>
  <si>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</si>
  <si>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</si>
  <si>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</si>
  <si>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</si>
  <si>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</si>
  <si>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</si>
  <si>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</si>
  <si>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</si>
  <si>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</si>
  <si>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</si>
  <si>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</si>
  <si>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</si>
  <si>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</si>
  <si>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</si>
  <si>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</si>
  <si>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</si>
  <si>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</si>
  <si>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</si>
  <si>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</si>
  <si>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</si>
  <si>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</si>
  <si>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</si>
  <si>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</si>
  <si>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</si>
  <si>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</si>
  <si>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</si>
  <si>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</si>
  <si>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</si>
  <si>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</si>
  <si>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</si>
  <si>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</si>
  <si>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</si>
  <si>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</si>
  <si>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</si>
  <si>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</si>
  <si>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</si>
  <si>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</si>
  <si>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</si>
  <si>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</si>
  <si>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</si>
  <si>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</si>
  <si>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</si>
  <si>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</si>
  <si>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</si>
  <si>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</si>
  <si>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</si>
  <si>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</si>
  <si>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</si>
  <si>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</si>
  <si>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</si>
  <si>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</si>
  <si>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</si>
  <si>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</si>
  <si>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</si>
  <si>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</si>
  <si>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</si>
  <si>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</si>
  <si>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</si>
  <si>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</si>
  <si>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</si>
  <si>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</si>
  <si>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</si>
  <si>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</si>
  <si>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</si>
  <si>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</si>
  <si>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</si>
  <si>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</si>
  <si>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</si>
  <si>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</si>
  <si>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</si>
  <si>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</si>
  <si>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</si>
  <si>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</si>
  <si>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</si>
  <si>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</si>
  <si>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</si>
  <si>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</si>
  <si>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</si>
  <si>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</si>
  <si>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</si>
  <si>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</si>
  <si>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</si>
  <si>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</si>
  <si>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</si>
  <si>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</si>
  <si>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</si>
  <si>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</si>
  <si>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</si>
  <si>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</si>
  <si>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</si>
  <si>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</si>
  <si>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</si>
  <si>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</si>
  <si>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</si>
  <si>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</si>
  <si>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</si>
  <si>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</si>
  <si>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</si>
  <si>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</si>
  <si>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</si>
  <si>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</si>
  <si>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</si>
  <si>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</si>
  <si>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</si>
  <si>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</si>
  <si>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</si>
  <si>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</si>
  <si>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</si>
  <si>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</si>
  <si>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</si>
  <si>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</si>
  <si>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</si>
  <si>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</si>
  <si>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</si>
  <si>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</si>
  <si>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</si>
  <si>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</si>
  <si>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</si>
  <si>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</si>
  <si>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</si>
  <si>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</si>
  <si>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</si>
  <si>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</si>
  <si>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</si>
  <si>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</si>
  <si>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</si>
  <si>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</si>
  <si>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</si>
  <si>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</si>
  <si>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</si>
  <si>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</si>
  <si>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</si>
  <si>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</si>
  <si>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</si>
  <si>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</si>
  <si>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</si>
  <si>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</si>
  <si>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</si>
  <si>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</si>
  <si>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</si>
  <si>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</si>
  <si>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</si>
  <si>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</si>
  <si>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</si>
  <si>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</si>
  <si>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</si>
  <si>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</si>
  <si>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</si>
  <si>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</si>
  <si>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</si>
  <si>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</si>
  <si>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</si>
  <si>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</si>
  <si>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</si>
  <si>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</si>
  <si>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</si>
  <si>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</si>
  <si>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</si>
  <si>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</si>
  <si>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</si>
  <si>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</si>
  <si>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</si>
  <si>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</si>
  <si>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</si>
  <si>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</si>
  <si>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</si>
  <si>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</si>
  <si>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</si>
  <si>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</si>
  <si>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</si>
  <si>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</si>
  <si>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</si>
  <si>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</si>
  <si>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</si>
  <si>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</si>
  <si>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</si>
  <si>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</si>
  <si>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</si>
  <si>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</si>
  <si>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</si>
  <si>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</si>
  <si>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</si>
  <si>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</si>
  <si>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</si>
  <si>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</si>
  <si>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</si>
  <si>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</si>
  <si>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</si>
  <si>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</si>
  <si>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</si>
  <si>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</si>
  <si>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</si>
  <si>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</si>
  <si>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</si>
  <si>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</si>
  <si>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</si>
  <si>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</si>
  <si>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</si>
  <si>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</si>
  <si>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</si>
  <si>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</si>
  <si>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</si>
  <si>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</si>
  <si>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</si>
  <si>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</si>
  <si>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</si>
  <si>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</si>
  <si>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</si>
  <si>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</si>
  <si>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</si>
  <si>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</si>
  <si>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</si>
  <si>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</si>
  <si>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</si>
  <si>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</si>
  <si>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</si>
  <si>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</si>
  <si>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</si>
  <si>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</si>
  <si>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</si>
  <si>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</si>
  <si>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</si>
  <si>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</si>
  <si>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</si>
  <si>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</si>
  <si>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</si>
  <si>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</si>
  <si>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</si>
  <si>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</si>
  <si>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</si>
  <si>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</si>
  <si>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</si>
  <si>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</si>
  <si>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</si>
  <si>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</si>
  <si>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</si>
  <si>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</si>
  <si>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</si>
  <si>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</si>
  <si>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</si>
  <si>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</si>
  <si>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</si>
  <si>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</si>
  <si>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</si>
  <si>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</si>
  <si>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</si>
  <si>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</si>
  <si>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</si>
  <si>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</si>
  <si>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</si>
  <si>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</si>
  <si>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</si>
  <si>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</si>
  <si>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</si>
  <si>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</si>
  <si>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</si>
  <si>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</si>
  <si>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</si>
  <si>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</si>
  <si>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</si>
  <si>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</si>
  <si>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</si>
  <si>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</si>
  <si>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</si>
  <si>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</si>
  <si>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</si>
  <si>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</si>
  <si>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</si>
  <si>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</si>
  <si>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</si>
  <si>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</si>
  <si>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</si>
  <si>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</si>
  <si>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</si>
  <si>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</si>
  <si>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</si>
  <si>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</si>
  <si>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</si>
  <si>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</si>
  <si>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</si>
  <si>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</si>
  <si>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</si>
  <si>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</si>
  <si>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</si>
  <si>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</si>
  <si>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</si>
  <si>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</si>
  <si>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</si>
  <si>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</si>
  <si>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</si>
  <si>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</si>
  <si>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</si>
  <si>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</si>
  <si>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</si>
  <si>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</si>
  <si>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</si>
  <si>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</si>
  <si>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</si>
  <si>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</si>
  <si>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</si>
  <si>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</si>
  <si>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</si>
  <si>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</si>
  <si>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</si>
  <si>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</si>
  <si>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</si>
  <si>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</si>
  <si>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</si>
  <si>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</si>
  <si>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</si>
  <si>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</si>
  <si>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</si>
  <si>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</si>
  <si>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</si>
  <si>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</si>
  <si>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</si>
  <si>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</si>
  <si>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</si>
  <si>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</si>
  <si>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</si>
  <si>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</si>
  <si>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</si>
  <si>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</si>
  <si>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</si>
  <si>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</si>
  <si>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</si>
  <si>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</si>
  <si>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</si>
  <si>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</si>
  <si>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</si>
  <si>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</si>
  <si>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</si>
  <si>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</si>
  <si>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</si>
  <si>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</si>
  <si>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</si>
  <si>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</si>
  <si>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</si>
  <si>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</si>
  <si>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</si>
  <si>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</si>
  <si>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</si>
  <si>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</si>
  <si>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</si>
  <si>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</si>
  <si>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</si>
  <si>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</si>
  <si>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</si>
  <si>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</si>
  <si>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</si>
  <si>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</si>
  <si>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</si>
  <si>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</si>
  <si>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</si>
  <si>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</si>
  <si>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</si>
  <si>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</si>
  <si>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</si>
  <si>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</si>
  <si>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</si>
  <si>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</si>
  <si>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</si>
  <si>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</si>
  <si>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</si>
  <si>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</si>
  <si>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</si>
  <si>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</si>
  <si>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</si>
  <si>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</si>
  <si>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</si>
  <si>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</si>
  <si>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</si>
  <si>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</si>
  <si>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</si>
  <si>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</si>
  <si>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</si>
  <si>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</si>
  <si>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</si>
  <si>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</si>
  <si>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</si>
  <si>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</si>
  <si>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</si>
  <si>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</si>
  <si>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</si>
  <si>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</si>
  <si>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</si>
  <si>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</si>
  <si>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</si>
  <si>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</si>
  <si>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</si>
  <si>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</si>
  <si>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</si>
  <si>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</si>
  <si>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</si>
  <si>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</si>
  <si>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</si>
  <si>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</si>
  <si>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</si>
  <si>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</si>
  <si>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</si>
  <si>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</si>
  <si>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</si>
  <si>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</si>
  <si>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</si>
  <si>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</si>
  <si>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</si>
  <si>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</si>
  <si>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</si>
  <si>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</si>
  <si>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</si>
  <si>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</si>
  <si>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</si>
  <si>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</si>
  <si>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</si>
  <si>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</si>
  <si>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</si>
  <si>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</si>
  <si>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</si>
  <si>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</si>
  <si>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</si>
  <si>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</si>
  <si>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</si>
  <si>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</si>
  <si>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</si>
  <si>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</si>
  <si>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</si>
  <si>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</si>
  <si>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</si>
  <si>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</si>
  <si>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</si>
  <si>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</si>
  <si>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</si>
  <si>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</si>
  <si>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</si>
  <si>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</si>
  <si>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</si>
  <si>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</si>
  <si>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</si>
  <si>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</si>
  <si>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</si>
  <si>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</si>
  <si>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</si>
  <si>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</si>
  <si>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</si>
  <si>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</si>
  <si>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</si>
  <si>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</si>
  <si>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</si>
  <si>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</si>
  <si>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</si>
  <si>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</si>
  <si>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</si>
  <si>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</si>
  <si>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</si>
  <si>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</si>
  <si>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</si>
  <si>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</si>
  <si>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</si>
  <si>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</si>
  <si>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</si>
  <si>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</si>
  <si>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</si>
  <si>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</si>
  <si>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</si>
  <si>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</si>
  <si>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</si>
  <si>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</si>
  <si>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</si>
  <si>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</si>
  <si>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</si>
  <si>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</si>
  <si>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</si>
  <si>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</si>
  <si>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</si>
  <si>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</si>
  <si>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</si>
  <si>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</si>
  <si>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</si>
  <si>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</si>
  <si>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</si>
  <si>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</si>
  <si>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</si>
  <si>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</si>
  <si>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</si>
  <si>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</si>
  <si>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</si>
  <si>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</si>
  <si>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</si>
  <si>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</si>
  <si>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</si>
  <si>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</si>
  <si>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</si>
  <si>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</si>
  <si>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</si>
  <si>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</si>
  <si>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</si>
  <si>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</si>
  <si>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</si>
  <si>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</si>
  <si>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</si>
  <si>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</si>
  <si>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</si>
  <si>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</si>
  <si>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</si>
  <si>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</si>
  <si>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</si>
  <si>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</si>
  <si>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</si>
  <si>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</si>
  <si>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</si>
  <si>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</si>
  <si>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</si>
  <si>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</si>
  <si>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</si>
  <si>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</si>
  <si>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</si>
  <si>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</si>
  <si>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</si>
  <si>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</si>
  <si>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</si>
  <si>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</si>
  <si>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</si>
  <si>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</si>
  <si>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</si>
  <si>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</si>
  <si>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</si>
  <si>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</si>
  <si>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</si>
  <si>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</si>
  <si>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</si>
  <si>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</si>
  <si>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</si>
  <si>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</si>
  <si>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</si>
  <si>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</si>
  <si>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</si>
  <si>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</si>
  <si>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</si>
  <si>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</si>
  <si>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</si>
  <si>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</si>
  <si>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</si>
  <si>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</si>
  <si>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</si>
  <si>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</si>
  <si>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</si>
  <si>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</si>
  <si>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</si>
  <si>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</si>
  <si>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</si>
  <si>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</si>
  <si>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</si>
  <si>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</si>
  <si>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</si>
  <si>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</si>
  <si>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</si>
  <si>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</si>
  <si>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</si>
  <si>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</si>
  <si>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</si>
  <si>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</si>
  <si>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</si>
  <si>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</si>
  <si>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</si>
  <si>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</si>
  <si>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</si>
  <si>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</si>
  <si>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</si>
  <si>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</si>
  <si>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</si>
  <si>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</si>
  <si>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</si>
  <si>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</si>
  <si>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</si>
  <si>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</si>
  <si>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</si>
  <si>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</si>
  <si>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</si>
  <si>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</si>
  <si>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</si>
  <si>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</si>
  <si>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</si>
  <si>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</si>
  <si>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</si>
  <si>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</si>
  <si>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</si>
  <si>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</si>
  <si>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</si>
  <si>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</si>
  <si>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</si>
  <si>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</si>
  <si>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</si>
  <si>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</si>
  <si>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</si>
  <si>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</si>
  <si>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</si>
  <si>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</si>
  <si>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</si>
  <si>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</si>
  <si>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</si>
  <si>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</si>
  <si>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</si>
  <si>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</si>
  <si>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</si>
  <si>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</si>
  <si>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</si>
  <si>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</si>
  <si>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</si>
  <si>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</si>
  <si>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</si>
  <si>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</si>
  <si>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</si>
  <si>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</si>
  <si>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</si>
  <si>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</si>
  <si>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</si>
  <si>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</si>
  <si>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</si>
  <si>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</si>
  <si>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</si>
  <si>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</si>
  <si>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</si>
  <si>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</si>
  <si>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</si>
  <si>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</si>
  <si>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</si>
  <si>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</si>
  <si>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</si>
  <si>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</si>
  <si>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</si>
  <si>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</si>
  <si>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</si>
  <si>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</si>
  <si>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</si>
  <si>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</si>
  <si>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</si>
  <si>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</si>
  <si>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</si>
  <si>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</si>
  <si>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</si>
  <si>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</si>
  <si>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</si>
  <si>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</si>
  <si>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</si>
  <si>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</si>
  <si>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</si>
  <si>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</si>
  <si>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</si>
  <si>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</si>
  <si>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</si>
  <si>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</si>
  <si>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</si>
  <si>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</si>
  <si>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</si>
  <si>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</si>
  <si>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</si>
  <si>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</si>
  <si>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</si>
  <si>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</si>
  <si>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</si>
  <si>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</si>
  <si>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</si>
  <si>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</si>
  <si>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</si>
  <si>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</si>
  <si>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</si>
  <si>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</si>
  <si>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</si>
  <si>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</si>
  <si>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</si>
  <si>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</si>
  <si>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</si>
  <si>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</si>
  <si>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</si>
  <si>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</si>
  <si>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</si>
  <si>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</si>
  <si>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</si>
  <si>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</si>
  <si>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</si>
  <si>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</si>
  <si>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</si>
  <si>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</si>
  <si>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</si>
  <si>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</si>
  <si>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</si>
  <si>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</si>
  <si>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</si>
  <si>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</si>
  <si>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</si>
  <si>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</si>
  <si>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</si>
  <si>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</si>
  <si>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</si>
  <si>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</si>
  <si>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</si>
  <si>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</si>
  <si>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</si>
  <si>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</si>
  <si>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</si>
  <si>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</si>
  <si>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</si>
  <si>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</si>
  <si>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</si>
  <si>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</si>
  <si>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</si>
  <si>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</si>
  <si>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</si>
  <si>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</si>
  <si>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</si>
  <si>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</si>
  <si>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</si>
  <si>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</si>
  <si>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</si>
  <si>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</si>
  <si>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</si>
  <si>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</si>
  <si>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</si>
  <si>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</si>
  <si>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</si>
  <si>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</si>
  <si>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</si>
  <si>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</si>
  <si>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</si>
  <si>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</si>
  <si>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</si>
  <si>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</si>
  <si>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</si>
  <si>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</si>
  <si>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</si>
  <si>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</si>
  <si>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</si>
  <si>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</si>
  <si>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</si>
  <si>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</si>
  <si>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</si>
  <si>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</si>
  <si>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</si>
  <si>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</si>
  <si>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</si>
  <si>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</si>
  <si>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</si>
  <si>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</si>
  <si>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</si>
  <si>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</si>
  <si>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</si>
  <si>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</si>
  <si>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</si>
  <si>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</si>
  <si>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</si>
  <si>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</si>
  <si>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</si>
  <si>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</si>
  <si>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</si>
  <si>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</si>
  <si>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</si>
  <si>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</si>
  <si>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</si>
  <si>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</si>
  <si>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</si>
  <si>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</si>
  <si>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</si>
  <si>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</si>
  <si>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</si>
  <si>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</si>
  <si>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</si>
  <si>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</si>
  <si>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</si>
  <si>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</si>
  <si>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</si>
  <si>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</si>
  <si>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</si>
  <si>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</si>
  <si>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</si>
  <si>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</si>
  <si>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</si>
  <si>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</si>
  <si>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</si>
  <si>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</si>
  <si>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</si>
  <si>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</si>
  <si>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</si>
  <si>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</si>
  <si>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</si>
  <si>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</si>
  <si>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</si>
  <si>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</si>
  <si>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</si>
  <si>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</si>
  <si>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</si>
  <si>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</si>
  <si>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</si>
  <si>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</si>
  <si>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</si>
  <si>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</si>
  <si>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</si>
  <si>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</si>
  <si>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</si>
  <si>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</si>
  <si>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</si>
  <si>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</si>
  <si>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</si>
  <si>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</si>
  <si>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</si>
  <si>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</si>
  <si>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</si>
  <si>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</si>
  <si>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</si>
  <si>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</si>
  <si>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</si>
  <si>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</si>
  <si>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</si>
  <si>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</si>
  <si>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</si>
  <si>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</si>
  <si>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</si>
  <si>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</si>
  <si>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</si>
  <si>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</si>
  <si>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</si>
  <si>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</si>
  <si>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</si>
  <si>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</si>
  <si>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</si>
  <si>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</si>
  <si>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</si>
  <si>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</si>
  <si>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</si>
  <si>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</si>
  <si>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</si>
  <si>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</si>
  <si>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</si>
  <si>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</si>
  <si>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</si>
  <si>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</si>
  <si>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</si>
  <si>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</si>
  <si>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</si>
  <si>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</si>
  <si>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</si>
  <si>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</si>
  <si>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</si>
  <si>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</si>
  <si>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</si>
  <si>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</si>
  <si>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</si>
  <si>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</si>
  <si>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</si>
  <si>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</si>
  <si>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</si>
  <si>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</si>
  <si>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</si>
  <si>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</si>
  <si>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</si>
  <si>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</si>
  <si>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</si>
  <si>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</si>
  <si>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</si>
  <si>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</si>
  <si>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</si>
  <si>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</si>
  <si>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</si>
  <si>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</si>
  <si>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</si>
  <si>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</si>
  <si>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</si>
  <si>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</si>
  <si>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</si>
  <si>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</si>
  <si>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</si>
  <si>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</si>
  <si>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</si>
  <si>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</si>
  <si>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</si>
  <si>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</si>
  <si>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</si>
  <si>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</si>
  <si>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</si>
  <si>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</si>
  <si>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</si>
  <si>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</si>
  <si>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</si>
  <si>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</si>
  <si>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</si>
  <si>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</si>
  <si>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</si>
  <si>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</si>
  <si>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</si>
  <si>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</si>
  <si>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</si>
  <si>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</si>
  <si>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</si>
  <si>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</si>
  <si>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</si>
  <si>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</si>
  <si>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</si>
  <si>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</si>
  <si>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</si>
  <si>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</si>
  <si>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</si>
  <si>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</si>
  <si>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</si>
  <si>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</si>
  <si>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</si>
  <si>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</si>
  <si>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</si>
  <si>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</si>
  <si>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</si>
  <si>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</si>
  <si>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</si>
  <si>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</si>
  <si>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</si>
  <si>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</si>
  <si>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</si>
  <si>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</si>
  <si>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</si>
  <si>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</si>
  <si>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</si>
  <si>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</si>
  <si>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</si>
  <si>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</si>
  <si>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</si>
  <si>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</si>
  <si>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</si>
  <si>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</si>
  <si>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</si>
  <si>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</si>
  <si>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</si>
  <si>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</si>
  <si>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</si>
  <si>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</si>
  <si>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</si>
  <si>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</si>
  <si>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</si>
  <si>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</si>
  <si>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</si>
  <si>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</si>
  <si>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</si>
  <si>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</si>
  <si>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</si>
  <si>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</si>
  <si>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</si>
  <si>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</si>
  <si>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</si>
  <si>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</si>
  <si>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</si>
  <si>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</si>
  <si>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</si>
  <si>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</si>
  <si>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</si>
  <si>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</si>
  <si>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</si>
  <si>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</si>
  <si>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</si>
  <si>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</si>
  <si>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</si>
  <si>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</si>
  <si>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</si>
  <si>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</si>
  <si>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</si>
  <si>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</si>
  <si>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</si>
  <si>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</si>
  <si>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</si>
  <si>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</si>
  <si>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</si>
  <si>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</si>
  <si>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</si>
  <si>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</si>
  <si>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</si>
  <si>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</si>
  <si>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</si>
  <si>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北京国瑞兴业房地产控股有限公司</t>
  </si>
  <si>
    <t>民生信托</t>
    <phoneticPr fontId="6" type="noConversion"/>
  </si>
  <si>
    <t>抵押价格</t>
  </si>
  <si>
    <t>其他：</t>
  </si>
  <si>
    <t>企业</t>
  </si>
  <si>
    <t>一致</t>
  </si>
  <si>
    <t>符合</t>
  </si>
  <si>
    <t>居住项目</t>
  </si>
  <si>
    <t>场地平整</t>
  </si>
  <si>
    <t>否</t>
  </si>
  <si>
    <t>地上</t>
  </si>
  <si>
    <t>地下</t>
  </si>
  <si>
    <t>车库</t>
  </si>
  <si>
    <t>幼儿园</t>
  </si>
  <si>
    <t>1#</t>
  </si>
  <si>
    <t>联排别墅</t>
  </si>
  <si>
    <t>6#</t>
  </si>
  <si>
    <t>7#</t>
  </si>
  <si>
    <t>13#</t>
  </si>
  <si>
    <t>14#</t>
  </si>
  <si>
    <t>19#</t>
  </si>
  <si>
    <t>20#</t>
  </si>
  <si>
    <t>25#</t>
  </si>
  <si>
    <t>26#</t>
  </si>
  <si>
    <t>34#</t>
  </si>
  <si>
    <t>35#</t>
  </si>
  <si>
    <t>46#地库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</si>
  <si>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</si>
  <si>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</si>
  <si>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</si>
  <si>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</si>
  <si>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</si>
  <si>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</si>
  <si>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</si>
  <si>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</si>
  <si>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</si>
  <si>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</si>
  <si>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</si>
  <si>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</si>
  <si>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</si>
  <si>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</si>
  <si>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吴中区木渎镇珠江路西侧、东门町南侧</t>
  </si>
  <si>
    <t>苏州市</t>
  </si>
  <si>
    <t>综合用地(含住宅)</t>
  </si>
  <si>
    <t>＞1.3且≤2.0</t>
  </si>
  <si>
    <t>挂牌</t>
  </si>
  <si>
    <t>2019-09-27</t>
  </si>
  <si>
    <t>常州星河协通房地产开发有限公司</t>
  </si>
  <si>
    <t>4星</t>
  </si>
  <si>
    <t>吴中区甪直镇甫澄中路东侧、迎新一路南侧</t>
  </si>
  <si>
    <t>住宅用地</t>
  </si>
  <si>
    <t>＞1.3且≤1.5</t>
  </si>
  <si>
    <t>苏州湖昱置业有限公司(江苏吴中集团)</t>
  </si>
  <si>
    <t>3星</t>
  </si>
  <si>
    <t>吴中区胥口镇胥进路东侧、胥欣路南侧</t>
  </si>
  <si>
    <t>＞1.3且≤2.4</t>
  </si>
  <si>
    <t>2019-09-18</t>
  </si>
  <si>
    <t>苏州兆坤房地产开发有限公司</t>
  </si>
  <si>
    <t>吴中区开发区花泾港路西侧、尹南路北侧</t>
  </si>
  <si>
    <t>≥1.3且≤1.5</t>
  </si>
  <si>
    <t>2019-07-11</t>
  </si>
  <si>
    <t>江苏象屿房地产开发有限公司</t>
  </si>
  <si>
    <t>吴中区度假区孙武路北侧、姚舍路东侧</t>
  </si>
  <si>
    <t>＞1.3且≤1.6</t>
  </si>
  <si>
    <t>苏州盈悦企业管理咨询有限公司(碧桂园)</t>
  </si>
  <si>
    <t>2星</t>
  </si>
  <si>
    <t>吴中区临湖镇环镇路东侧、南城头路北侧</t>
  </si>
  <si>
    <t>＞1.3且≤1.35</t>
  </si>
  <si>
    <t>苏州融璟宸置业有限公司(融信)</t>
  </si>
  <si>
    <t>1星</t>
  </si>
  <si>
    <t>吴中区开发区尹苑路南侧、花泾港路东侧</t>
  </si>
  <si>
    <t>住宅≥1.3且≤1.8,教育≤0.7</t>
  </si>
  <si>
    <t>昆山象嘉企业咨询管理有限公司</t>
  </si>
  <si>
    <t>吴中区太湖新城东太湖路南侧、龙翔路东侧</t>
  </si>
  <si>
    <t>＞1.3且≤2.2</t>
  </si>
  <si>
    <t>金融街上海投资有限公司</t>
  </si>
  <si>
    <t>吴中区木渎镇苏福路南侧、中海苏胥湾东侧</t>
  </si>
  <si>
    <t>＞1并且≤2.2</t>
  </si>
  <si>
    <t>2019-05-08</t>
  </si>
  <si>
    <t>苏州隽翔房地产开发有限公司(路劲)</t>
  </si>
  <si>
    <t>吴中区甪直镇甪直大道北侧、映月二路东侧</t>
  </si>
  <si>
    <t>＞1并且≤1.8</t>
  </si>
  <si>
    <t>常州荣盛上元房地产开发有限公司</t>
  </si>
  <si>
    <t>吴中区太湖新城龙翔路西侧、天鹅荡路南侧</t>
  </si>
  <si>
    <t>＞1并且≤2</t>
  </si>
  <si>
    <t>2019-04-24</t>
  </si>
  <si>
    <t>苏州新城创佳置业有限公司、招商局地产(苏州)有限公司</t>
  </si>
  <si>
    <t>吴中区开发区郭巷街道赶湖路南侧、花泾港路西侧</t>
  </si>
  <si>
    <t>苏州迅景企业管理咨询有限公司</t>
  </si>
  <si>
    <t>吴中区木渎镇新华路西侧、向阳河路南侧</t>
  </si>
  <si>
    <t>＞1.0且≤1.5</t>
  </si>
  <si>
    <t>2019-02-22</t>
  </si>
  <si>
    <t>苏州市佳源华府房地产开发有限公司(佳兆业)</t>
  </si>
  <si>
    <t>5星</t>
  </si>
  <si>
    <t>吴中区甪直镇汇凯路南侧、经三路东侧</t>
  </si>
  <si>
    <t>＞1.0且≤2.2</t>
  </si>
  <si>
    <t>2019-01-11</t>
  </si>
  <si>
    <t>旭辉地产(香港)有限公司</t>
  </si>
  <si>
    <t>吴中区开发区通达路东侧、东方大道南侧</t>
  </si>
  <si>
    <t>苏州茂久隆房地产咨询有限公司,北京首都开发股份有限公司</t>
  </si>
  <si>
    <t>吴中区木渎镇金猫路西侧、苏福路南侧</t>
  </si>
  <si>
    <t>旭能(香港)有限公司</t>
  </si>
  <si>
    <t>吴中区胥口镇孙武路东侧、子胥路北侧</t>
  </si>
  <si>
    <t>＞1并且≤1.7</t>
  </si>
  <si>
    <t>2019-01-04</t>
  </si>
  <si>
    <t>吴中区太湖度假区丽波路北侧、天镜路东侧</t>
  </si>
  <si>
    <t>地块一二＞1并且≤1.5地块三≤1</t>
  </si>
  <si>
    <t>苏州力创香谷置业发展有限公司(新力)</t>
  </si>
  <si>
    <t>吴中区石湖西路南侧、长蠡路西侧</t>
  </si>
  <si>
    <t>＞1并且≤2.5</t>
  </si>
  <si>
    <t>苏南阳光城置业(苏州)有限公司</t>
  </si>
  <si>
    <t>吴中区太湖新城东太湖路南侧、天鹅港大街西侧</t>
  </si>
  <si>
    <t>一号二号地块≥7.2且≤8,三号地块≥3.15且≤3.4,四号五号地块≥1.8且≤2</t>
  </si>
  <si>
    <t>2018-11-06</t>
  </si>
  <si>
    <t>广州富力兴盛置业发展有限公司</t>
  </si>
  <si>
    <t>吴中区甪直镇甪直大道南侧、甫澄北路东侧</t>
  </si>
  <si>
    <t>≥1.8且≤2.2</t>
  </si>
  <si>
    <t>2018-07-23</t>
  </si>
  <si>
    <t>苏州隽润房地产开发有限公司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</si>
  <si>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</si>
  <si>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</si>
  <si>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</si>
  <si>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</si>
  <si>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</si>
  <si>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</si>
  <si>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</si>
  <si>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</si>
  <si>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</si>
  <si>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</si>
  <si>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</si>
  <si>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</si>
  <si>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</si>
  <si>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</si>
  <si>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</si>
  <si>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</si>
  <si>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</si>
  <si>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</si>
  <si>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</si>
  <si>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</si>
  <si>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</si>
  <si>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</si>
  <si>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</si>
  <si>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</si>
  <si>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吴中区太湖度假区蒯祥大道北侧、香山北路东侧</t>
  </si>
  <si>
    <t>＞1且≤2</t>
  </si>
  <si>
    <t>苏州隽合房地产开发有限公司(路劲)</t>
  </si>
  <si>
    <t>吴中区甪直镇甪直大道北侧、北港江西侧</t>
  </si>
  <si>
    <t>1＜且≤1.50</t>
  </si>
  <si>
    <t>2017-06-12</t>
  </si>
  <si>
    <t>江苏辉哲商务咨询有限公司</t>
  </si>
  <si>
    <t>吴中区木渎镇金长路北侧、金枫路东侧</t>
  </si>
  <si>
    <t>1＜且≤2.20</t>
  </si>
  <si>
    <t>上海上实城市发展投资有限公司</t>
  </si>
  <si>
    <t>太湖新城溪霞街以东,雷山路以西,东太湖路以南,济之街以北</t>
  </si>
  <si>
    <t>地块一:≤5.5,地块二、地块三:＞1.0≤2.3</t>
  </si>
  <si>
    <t>2017-02-16</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</si>
  <si>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</si>
  <si>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</si>
  <si>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</si>
  <si>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</si>
  <si>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</si>
  <si>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</si>
  <si>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</si>
  <si>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</si>
  <si>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</si>
  <si>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吴中区度假区伍相路南侧、姚舍路东侧</t>
  </si>
  <si>
    <t>＞1.0≤1.5</t>
  </si>
  <si>
    <t>2016-12-20</t>
  </si>
  <si>
    <t>苏州北辰置业有限公司</t>
  </si>
  <si>
    <t>吴中区度假区伍相路北侧、天境南路东侧</t>
  </si>
  <si>
    <t>＞1.0且≤1.8</t>
  </si>
  <si>
    <t>2016-09-22</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</si>
  <si>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</si>
  <si>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</si>
  <si>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</si>
  <si>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</si>
  <si>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</si>
  <si>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</si>
  <si>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</si>
  <si>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吴中区木渎镇金枫路西侧、花苑路南侧</t>
  </si>
  <si>
    <t>吴中区木渎镇苏福路北侧、塔园路西侧</t>
  </si>
  <si>
    <t>上海上坤欣鼎置业有限公司</t>
  </si>
  <si>
    <t>吴中区甪直镇甫龙路北侧、晓南路西侧</t>
  </si>
  <si>
    <t>＞1.0≤1.2</t>
  </si>
  <si>
    <t>2016-05-24</t>
  </si>
  <si>
    <t>苏州工业园区亿象置业开发有限公司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</si>
  <si>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</si>
  <si>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</si>
  <si>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</si>
  <si>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</si>
  <si>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</si>
  <si>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</si>
  <si>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</si>
  <si>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</si>
  <si>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</si>
  <si>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吴中区甪直镇甪直大道北侧、甫澄北路东侧</t>
  </si>
  <si>
    <t>1＜容≤1.80</t>
  </si>
  <si>
    <t>常熟弘阳房地产开发有限公司</t>
  </si>
  <si>
    <t>吴中区木渎镇金枫路东侧、花苑东路北侧</t>
  </si>
  <si>
    <t>≤2.0</t>
  </si>
  <si>
    <t>2015-11-24</t>
  </si>
  <si>
    <t>四川蓝光和骏实业有限公司</t>
  </si>
  <si>
    <t>吴中区城区太湖西路北侧、龙西路西侧</t>
  </si>
  <si>
    <t>1＜且≤1.90</t>
  </si>
  <si>
    <t>苏州首开永泰置业有限公司</t>
  </si>
  <si>
    <t>成交地面价(元/㎡)</t>
    <phoneticPr fontId="228" type="noConversion"/>
  </si>
  <si>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</si>
  <si>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</si>
  <si>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</si>
  <si>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</si>
  <si>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</si>
  <si>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</si>
  <si>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</si>
  <si>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</si>
  <si>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</si>
  <si>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</si>
  <si>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</si>
  <si>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</si>
  <si>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</si>
  <si>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</si>
  <si>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估价对象周边居住用地比例较大、居住小区规模较大，社区发展较完善，综合评价居住社区成熟度较好</t>
  </si>
  <si>
    <t>估价对象周边有悠方商业综合体，天虹百货等，商业氛围较成熟，人流量较大，商业繁华度较好</t>
  </si>
  <si>
    <t>估价对象周边道路通达、公共交通便捷、停车便捷，临近1号线金枫路站，综合评价交通便捷度较好</t>
  </si>
  <si>
    <t>估价对象所在区域公共配套设施较齐备</t>
  </si>
  <si>
    <t>估价对象所在区域基础设施水平达六通</t>
  </si>
  <si>
    <t>区域自然环境较好；人文环境较好；综合评价环境状况较好</t>
  </si>
  <si>
    <t>主干道——中环西线</t>
  </si>
  <si>
    <t>较一致</t>
    <phoneticPr fontId="21" type="noConversion"/>
  </si>
  <si>
    <t>双面临街</t>
  </si>
  <si>
    <t>较好</t>
  </si>
  <si>
    <t>一般</t>
  </si>
  <si>
    <t>城市主干道</t>
  </si>
  <si>
    <t>六通</t>
  </si>
  <si>
    <t>楼面地价</t>
  </si>
  <si>
    <t>城市次干道</t>
  </si>
  <si>
    <t>城市支路</t>
  </si>
  <si>
    <t>观湖路</t>
    <phoneticPr fontId="26" type="noConversion"/>
  </si>
  <si>
    <t>支路——金长路</t>
    <phoneticPr fontId="3" type="noConversion"/>
  </si>
  <si>
    <t>次干道—迎春路</t>
    <phoneticPr fontId="3" type="noConversion"/>
  </si>
  <si>
    <t>主干道——中环西线</t>
    <phoneticPr fontId="3" type="noConversion"/>
  </si>
  <si>
    <t>较规则</t>
  </si>
  <si>
    <t>较适宜</t>
  </si>
  <si>
    <t>好</t>
  </si>
  <si>
    <r>
      <rPr>
        <sz val="11"/>
        <color indexed="8"/>
        <rFont val="仿宋_GB2312"/>
        <family val="3"/>
        <charset val="134"/>
      </rPr>
      <t>正常</t>
    </r>
    <phoneticPr fontId="3" type="noConversion"/>
  </si>
  <si>
    <t>住宅</t>
    <phoneticPr fontId="3" type="noConversion"/>
  </si>
  <si>
    <t>60-70（含）</t>
  </si>
  <si>
    <t>联排</t>
  </si>
  <si>
    <t>叠拼</t>
  </si>
  <si>
    <t>钢混</t>
  </si>
  <si>
    <t>高档</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</si>
  <si>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</si>
  <si>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</si>
  <si>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</si>
  <si>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</si>
  <si>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</si>
  <si>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</si>
  <si>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</si>
  <si>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</si>
  <si>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</si>
  <si>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</si>
  <si>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</si>
  <si>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</si>
  <si>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</si>
  <si>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</si>
  <si>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</si>
  <si>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</si>
  <si>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</si>
  <si>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</si>
  <si>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</si>
  <si>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</si>
  <si>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</si>
  <si>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水岸秀墅</t>
    <phoneticPr fontId="3" type="noConversion"/>
  </si>
  <si>
    <t>钢混</t>
    <phoneticPr fontId="3" type="noConversion"/>
  </si>
  <si>
    <t>层高</t>
    <phoneticPr fontId="21" type="noConversion"/>
  </si>
  <si>
    <t>标准</t>
    <phoneticPr fontId="228" type="noConversion"/>
  </si>
  <si>
    <t>普通住宅</t>
  </si>
  <si>
    <t>独栋</t>
  </si>
  <si>
    <t>独栋</t>
    <phoneticPr fontId="21" type="noConversion"/>
  </si>
  <si>
    <t>叠拼</t>
    <phoneticPr fontId="21" type="noConversion"/>
  </si>
  <si>
    <t>联排</t>
    <phoneticPr fontId="21" type="noConversion"/>
  </si>
  <si>
    <t>普通住宅</t>
    <phoneticPr fontId="21" type="noConversion"/>
  </si>
  <si>
    <t>已全部缴纳</t>
  </si>
  <si>
    <t>上坤狮山四季</t>
    <phoneticPr fontId="3" type="noConversion"/>
  </si>
  <si>
    <t>双拼</t>
    <phoneticPr fontId="228" type="noConversion"/>
  </si>
  <si>
    <t>独栋</t>
    <phoneticPr fontId="228" type="noConversion"/>
  </si>
  <si>
    <t>叠拼上叠</t>
    <phoneticPr fontId="228" type="noConversion"/>
  </si>
  <si>
    <t>叠拼下叠</t>
    <phoneticPr fontId="228" type="noConversion"/>
  </si>
  <si>
    <t>平层</t>
    <phoneticPr fontId="228" type="noConversion"/>
  </si>
  <si>
    <t>诺德姑苏上府</t>
    <phoneticPr fontId="3" type="noConversion"/>
  </si>
  <si>
    <t>售价</t>
  </si>
  <si>
    <t>地上住宅</t>
  </si>
  <si>
    <t>地上住宅</t>
    <phoneticPr fontId="7" type="noConversion"/>
  </si>
  <si>
    <t>地下住宅</t>
  </si>
  <si>
    <t>地下住宅</t>
    <phoneticPr fontId="7" type="noConversion"/>
  </si>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</sst>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0" fillId="6" borderId="0" xfId="0"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71" fillId="18" borderId="11" xfId="0" applyFont="1" applyFill="1" applyBorder="1" applyAlignment="1" applyProtection="1">
      <alignment vertical="center"/>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1" fontId="85" fillId="18" borderId="25" xfId="0" applyNumberFormat="1" applyFont="1" applyFill="1" applyBorder="1" applyAlignment="1" applyProtection="1">
      <alignment horizontal="center" vertical="center"/>
      <protection locked="0"/>
    </xf>
    <xf numFmtId="181" fontId="152" fillId="18" borderId="2"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181" fontId="152" fillId="9" borderId="2" xfId="0" applyNumberFormat="1" applyFont="1" applyFill="1" applyBorder="1" applyAlignment="1" applyProtection="1">
      <alignment horizontal="center" vertical="center"/>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71" fillId="18" borderId="29"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12</xdr:col>
      <xdr:colOff>93994</xdr:colOff>
      <xdr:row>88</xdr:row>
      <xdr:rowOff>94489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10057144" cy="6095239"/>
        </a:xfrm>
        <a:prstGeom prst="rect">
          <a:avLst/>
        </a:prstGeom>
      </xdr:spPr>
    </xdr:pic>
    <xdr:clientData/>
  </xdr:twoCellAnchor>
  <xdr:twoCellAnchor editAs="oneCell">
    <xdr:from>
      <xdr:col>0</xdr:col>
      <xdr:colOff>0</xdr:colOff>
      <xdr:row>89</xdr:row>
      <xdr:rowOff>0</xdr:rowOff>
    </xdr:from>
    <xdr:to>
      <xdr:col>7</xdr:col>
      <xdr:colOff>141999</xdr:colOff>
      <xdr:row>106</xdr:row>
      <xdr:rowOff>104398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259050"/>
          <a:ext cx="7009524" cy="3019048"/>
        </a:xfrm>
        <a:prstGeom prst="rect">
          <a:avLst/>
        </a:prstGeom>
      </xdr:spPr>
    </xdr:pic>
    <xdr:clientData/>
  </xdr:twoCellAnchor>
  <xdr:twoCellAnchor editAs="oneCell">
    <xdr:from>
      <xdr:col>0</xdr:col>
      <xdr:colOff>0</xdr:colOff>
      <xdr:row>107</xdr:row>
      <xdr:rowOff>0</xdr:rowOff>
    </xdr:from>
    <xdr:to>
      <xdr:col>13</xdr:col>
      <xdr:colOff>770125</xdr:colOff>
      <xdr:row>139</xdr:row>
      <xdr:rowOff>132648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345150"/>
          <a:ext cx="11209525" cy="5619048"/>
        </a:xfrm>
        <a:prstGeom prst="rect">
          <a:avLst/>
        </a:prstGeom>
      </xdr:spPr>
    </xdr:pic>
    <xdr:clientData/>
  </xdr:twoCellAnchor>
  <xdr:twoCellAnchor editAs="oneCell">
    <xdr:from>
      <xdr:col>12</xdr:col>
      <xdr:colOff>304800</xdr:colOff>
      <xdr:row>53</xdr:row>
      <xdr:rowOff>57150</xdr:rowOff>
    </xdr:from>
    <xdr:to>
      <xdr:col>18</xdr:col>
      <xdr:colOff>284835</xdr:colOff>
      <xdr:row>64</xdr:row>
      <xdr:rowOff>47391</xdr:rowOff>
    </xdr:to>
    <xdr:pic>
      <xdr:nvPicPr>
        <xdr:cNvPr id="5" name="图片 4"/>
        <xdr:cNvPicPr>
          <a:picLocks noChangeAspect="1"/>
        </xdr:cNvPicPr>
      </xdr:nvPicPr>
      <xdr:blipFill>
        <a:blip xmlns:r="http://schemas.openxmlformats.org/officeDocument/2006/relationships" r:embed="rId4"/>
        <a:stretch>
          <a:fillRect/>
        </a:stretch>
      </xdr:blipFill>
      <xdr:spPr>
        <a:xfrm>
          <a:off x="10267950" y="9144000"/>
          <a:ext cx="7323810" cy="1876191"/>
        </a:xfrm>
        <a:prstGeom prst="rect">
          <a:avLst/>
        </a:prstGeom>
      </xdr:spPr>
    </xdr:pic>
    <xdr:clientData/>
  </xdr:twoCellAnchor>
  <xdr:twoCellAnchor editAs="oneCell">
    <xdr:from>
      <xdr:col>13</xdr:col>
      <xdr:colOff>0</xdr:colOff>
      <xdr:row>72</xdr:row>
      <xdr:rowOff>0</xdr:rowOff>
    </xdr:from>
    <xdr:to>
      <xdr:col>20</xdr:col>
      <xdr:colOff>208495</xdr:colOff>
      <xdr:row>116</xdr:row>
      <xdr:rowOff>103820</xdr:rowOff>
    </xdr:to>
    <xdr:pic>
      <xdr:nvPicPr>
        <xdr:cNvPr id="6" name="图片 5"/>
        <xdr:cNvPicPr>
          <a:picLocks noChangeAspect="1"/>
        </xdr:cNvPicPr>
      </xdr:nvPicPr>
      <xdr:blipFill>
        <a:blip xmlns:r="http://schemas.openxmlformats.org/officeDocument/2006/relationships" r:embed="rId5"/>
        <a:stretch>
          <a:fillRect/>
        </a:stretch>
      </xdr:blipFill>
      <xdr:spPr>
        <a:xfrm>
          <a:off x="10439400" y="12344400"/>
          <a:ext cx="8447620" cy="7647620"/>
        </a:xfrm>
        <a:prstGeom prst="rect">
          <a:avLst/>
        </a:prstGeom>
      </xdr:spPr>
    </xdr:pic>
    <xdr:clientData/>
  </xdr:twoCellAnchor>
  <xdr:twoCellAnchor editAs="oneCell">
    <xdr:from>
      <xdr:col>13</xdr:col>
      <xdr:colOff>0</xdr:colOff>
      <xdr:row>117</xdr:row>
      <xdr:rowOff>0</xdr:rowOff>
    </xdr:from>
    <xdr:to>
      <xdr:col>20</xdr:col>
      <xdr:colOff>75161</xdr:colOff>
      <xdr:row>145</xdr:row>
      <xdr:rowOff>94638</xdr:rowOff>
    </xdr:to>
    <xdr:pic>
      <xdr:nvPicPr>
        <xdr:cNvPr id="7" name="图片 6"/>
        <xdr:cNvPicPr>
          <a:picLocks noChangeAspect="1"/>
        </xdr:cNvPicPr>
      </xdr:nvPicPr>
      <xdr:blipFill>
        <a:blip xmlns:r="http://schemas.openxmlformats.org/officeDocument/2006/relationships" r:embed="rId6"/>
        <a:stretch>
          <a:fillRect/>
        </a:stretch>
      </xdr:blipFill>
      <xdr:spPr>
        <a:xfrm>
          <a:off x="10439400" y="20059650"/>
          <a:ext cx="8314286" cy="4895238"/>
        </a:xfrm>
        <a:prstGeom prst="rect">
          <a:avLst/>
        </a:prstGeom>
      </xdr:spPr>
    </xdr:pic>
    <xdr:clientData/>
  </xdr:twoCellAnchor>
  <xdr:twoCellAnchor editAs="oneCell">
    <xdr:from>
      <xdr:col>13</xdr:col>
      <xdr:colOff>0</xdr:colOff>
      <xdr:row>146</xdr:row>
      <xdr:rowOff>0</xdr:rowOff>
    </xdr:from>
    <xdr:to>
      <xdr:col>18</xdr:col>
      <xdr:colOff>351523</xdr:colOff>
      <xdr:row>169</xdr:row>
      <xdr:rowOff>132841</xdr:rowOff>
    </xdr:to>
    <xdr:pic>
      <xdr:nvPicPr>
        <xdr:cNvPr id="8" name="图片 7"/>
        <xdr:cNvPicPr>
          <a:picLocks noChangeAspect="1"/>
        </xdr:cNvPicPr>
      </xdr:nvPicPr>
      <xdr:blipFill>
        <a:blip xmlns:r="http://schemas.openxmlformats.org/officeDocument/2006/relationships" r:embed="rId7"/>
        <a:stretch>
          <a:fillRect/>
        </a:stretch>
      </xdr:blipFill>
      <xdr:spPr>
        <a:xfrm>
          <a:off x="10439400" y="25031700"/>
          <a:ext cx="7219048" cy="4076191"/>
        </a:xfrm>
        <a:prstGeom prst="rect">
          <a:avLst/>
        </a:prstGeom>
      </xdr:spPr>
    </xdr:pic>
    <xdr:clientData/>
  </xdr:twoCellAnchor>
  <xdr:twoCellAnchor editAs="oneCell">
    <xdr:from>
      <xdr:col>0</xdr:col>
      <xdr:colOff>0</xdr:colOff>
      <xdr:row>140</xdr:row>
      <xdr:rowOff>0</xdr:rowOff>
    </xdr:from>
    <xdr:to>
      <xdr:col>11</xdr:col>
      <xdr:colOff>560769</xdr:colOff>
      <xdr:row>168</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003000"/>
          <a:ext cx="9657144" cy="4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87;&#24030;&#22269;&#29790;&#29081;&#22661;2019/&#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逼近法"/>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不动产比较法-别墅"/>
      <sheetName val="收益还原法"/>
      <sheetName val="地价"/>
      <sheetName val="不动产收益法"/>
      <sheetName val="酒店收入计算"/>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ow r="33">
          <cell r="C33">
            <v>163218.28</v>
          </cell>
        </row>
      </sheetData>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ow r="95">
          <cell r="D95">
            <v>74195.899999999994</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t="str">
        <f>'预评函-封皮'!B40</f>
        <v>北京国瑞兴业房地产控股有限公司</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8596.96平方米。根据《建设工程规划许可证》[]、《出让合同》[]，估价对象规划建筑面积为27186.68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2019年10月16日（评估专业人员勘察现场之日）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根据《国有土地使用证》[]，估价对象（分摊）出让国有建设用地使用权面积为8596.96平方米。根据《建设工程规划许可证》[]、《出让合同》[]，估价对象规划建筑面积为27186.68平方米。</v>
      </c>
    </row>
    <row r="16" spans="1:55" s="2830" customFormat="1">
      <c r="A16" s="2831" t="s">
        <v>2668</v>
      </c>
      <c r="B16" s="2832" t="str">
        <f>'预评函-1'!A22</f>
        <v>本次估价对象为出让国有建设用地使用权，《国有土地使用证》[]证载土地终止日期为住宅2086年9月11日地下车库2066年9月11日。截至估价期日，出让国有建设用地使用权剩余土地使用年限为。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估价期日：2019年10月16日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红线外七通、宗地红线内场地平整</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8596.9599999999991</v>
      </c>
    </row>
    <row r="44" spans="1:2">
      <c r="A44" s="2831" t="s">
        <v>2739</v>
      </c>
      <c r="B44" s="2832" t="str">
        <f>'预评函-2'!O3</f>
        <v>规划建筑面积/㎡</v>
      </c>
    </row>
    <row r="45" spans="1:2">
      <c r="A45" s="2831" t="s">
        <v>2721</v>
      </c>
      <c r="B45" s="2832">
        <f>'预评函-2'!O5</f>
        <v>27186.68</v>
      </c>
    </row>
    <row r="46" spans="1:2">
      <c r="A46" s="2831" t="s">
        <v>2722</v>
      </c>
      <c r="B46" s="2832">
        <f ca="1">'预评函-2'!P5</f>
        <v>41395</v>
      </c>
    </row>
    <row r="47" spans="1:2">
      <c r="A47" s="2831" t="s">
        <v>2723</v>
      </c>
      <c r="B47" s="2832">
        <f ca="1">'预评函-2'!Q5</f>
        <v>13090</v>
      </c>
    </row>
    <row r="48" spans="1:2">
      <c r="A48" s="2831" t="s">
        <v>2724</v>
      </c>
      <c r="B48" s="2832">
        <f ca="1">'预评函-2'!R5</f>
        <v>35587</v>
      </c>
    </row>
    <row r="49" spans="1:2">
      <c r="A49" s="2831" t="s">
        <v>2740</v>
      </c>
      <c r="B49" s="2832" t="str">
        <f>'预评函-2'!A6</f>
        <v>抵押价格</v>
      </c>
    </row>
    <row r="50" spans="1:2">
      <c r="A50" s="2831" t="s">
        <v>2725</v>
      </c>
      <c r="B50" s="2832">
        <f ca="1">'预评函-2'!R6</f>
        <v>35587</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2.基础设施条件：估价对象实际开发程度为红线外七通、宗地红线内场地平整；本次评估设定开发程度为红线外七通、宗地红线内场地。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3.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51" t="str">
        <f>IF(B10="北京市","北京市",C10)&amp;F10&amp;B16&amp;"国有建设用地使用权"&amp;B9&amp;"预评估"</f>
        <v>出让国有建设用地使用权抵押价格预评估</v>
      </c>
      <c r="C1" s="3252"/>
      <c r="D1" s="3252"/>
      <c r="E1" s="3252"/>
      <c r="F1" s="3252"/>
      <c r="G1" s="3252"/>
      <c r="H1" s="3252"/>
      <c r="I1" s="3253"/>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43754</v>
      </c>
      <c r="C3" s="1646" t="s">
        <v>1995</v>
      </c>
      <c r="D3" s="1645">
        <f>B3</f>
        <v>43754</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t="s">
        <v>2996</v>
      </c>
      <c r="C6" s="1744"/>
      <c r="D6" s="1651"/>
      <c r="E6" s="1677"/>
      <c r="F6" s="1677"/>
      <c r="G6" s="1677"/>
      <c r="H6" s="1643"/>
      <c r="I6" s="1678"/>
      <c r="J6" s="1677"/>
      <c r="K6" s="3004" t="str">
        <f>IF(COUNTIF(B6,"*上海银行*"),"上海银行","")</f>
        <v/>
      </c>
      <c r="L6" s="1706"/>
      <c r="M6" s="1706"/>
      <c r="N6" s="1677"/>
      <c r="O6" s="1678"/>
      <c r="P6" s="1677"/>
      <c r="Q6" s="1677"/>
      <c r="R6" s="1677"/>
      <c r="S6" s="1677"/>
      <c r="T6" s="1677"/>
      <c r="U6" s="1677"/>
    </row>
    <row r="7" spans="1:21">
      <c r="A7" s="1652" t="s">
        <v>2706</v>
      </c>
      <c r="B7" s="1772" t="str">
        <f>B5</f>
        <v>北京国瑞兴业房地产控股有限公司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2992</v>
      </c>
      <c r="C8" s="1654"/>
      <c r="D8" s="3257" t="s">
        <v>1944</v>
      </c>
      <c r="E8" s="1827" t="s">
        <v>2997</v>
      </c>
      <c r="F8" s="1655"/>
      <c r="G8" s="1643"/>
      <c r="H8" s="1643"/>
      <c r="I8" s="1690"/>
      <c r="J8" s="1677"/>
      <c r="K8" s="1757"/>
      <c r="L8" s="1706"/>
      <c r="M8" s="1706"/>
      <c r="N8" s="1677"/>
      <c r="O8" s="1678"/>
      <c r="P8" s="1677"/>
      <c r="Q8" s="1677"/>
      <c r="R8" s="1677"/>
      <c r="S8" s="1677"/>
      <c r="T8" s="1677"/>
      <c r="U8" s="1677"/>
    </row>
    <row r="9" spans="1:21" ht="15" thickBot="1">
      <c r="A9" s="1656" t="s">
        <v>1943</v>
      </c>
      <c r="B9" s="1657" t="s">
        <v>2997</v>
      </c>
      <c r="C9" s="1658"/>
      <c r="D9" s="3258"/>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2998</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54"/>
      <c r="C12" s="3255"/>
      <c r="D12" s="3256"/>
      <c r="E12" s="1682" t="s">
        <v>2061</v>
      </c>
      <c r="F12" s="3272" t="s">
        <v>2889</v>
      </c>
      <c r="G12" s="3273"/>
      <c r="H12" s="3273"/>
      <c r="I12" s="3274"/>
      <c r="J12" s="1677"/>
      <c r="K12" s="1757"/>
      <c r="L12" s="1706"/>
      <c r="M12" s="1706"/>
      <c r="N12" s="1677"/>
      <c r="O12" s="1678"/>
      <c r="P12" s="1677"/>
      <c r="Q12" s="1677"/>
      <c r="R12" s="1677"/>
      <c r="S12" s="1677"/>
      <c r="T12" s="1677"/>
      <c r="U12" s="1677"/>
    </row>
    <row r="13" spans="1:21">
      <c r="A13" s="1670" t="s">
        <v>2059</v>
      </c>
      <c r="B13" s="3254"/>
      <c r="C13" s="3255"/>
      <c r="D13" s="3256"/>
      <c r="E13" s="1682" t="s">
        <v>2061</v>
      </c>
      <c r="F13" s="3272" t="s">
        <v>2890</v>
      </c>
      <c r="G13" s="3273"/>
      <c r="H13" s="3273"/>
      <c r="I13" s="3274"/>
      <c r="J13" s="1677"/>
      <c r="K13" s="1757"/>
      <c r="L13" s="1706"/>
      <c r="M13" s="1706"/>
      <c r="N13" s="1677"/>
      <c r="O13" s="1678"/>
      <c r="P13" s="1677"/>
      <c r="Q13" s="1677"/>
      <c r="R13" s="1677"/>
      <c r="S13" s="1677"/>
      <c r="T13" s="1677"/>
      <c r="U13" s="1677"/>
    </row>
    <row r="14" spans="1:21">
      <c r="A14" s="1644" t="s">
        <v>2062</v>
      </c>
      <c r="B14" s="1682"/>
      <c r="C14" s="1828" t="s">
        <v>3000</v>
      </c>
      <c r="D14" s="1716" t="str">
        <f>IF(C14="不一致","是否符合证载地类范围","")</f>
        <v/>
      </c>
      <c r="E14" s="1682"/>
      <c r="F14" s="1773" t="s">
        <v>3001</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2986</v>
      </c>
      <c r="C16" s="1682" t="s">
        <v>1948</v>
      </c>
      <c r="D16" s="2608" t="s">
        <v>1949</v>
      </c>
      <c r="E16" s="1705"/>
      <c r="F16" s="1705"/>
      <c r="G16" s="1705" t="s">
        <v>35</v>
      </c>
      <c r="H16" s="1705"/>
      <c r="I16" s="1669" t="s">
        <v>1954</v>
      </c>
      <c r="J16" s="1677"/>
      <c r="K16" s="2419" t="str">
        <f>IF(D17="","",D16&amp;TEXT(D17,"yyyy年m月d日;;"))</f>
        <v>住宅2086年9月11日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地下车库2066年9月11日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68191</v>
      </c>
      <c r="E17" s="1683"/>
      <c r="F17" s="1683"/>
      <c r="G17" s="1683">
        <v>60886</v>
      </c>
      <c r="H17" s="1683"/>
      <c r="I17" s="1683"/>
      <c r="J17" s="1677"/>
      <c r="K17" s="2418" t="str">
        <f>CONCATENATE(K16,L16,M16,N16,O16,P16,Q16,R16,S16,T16,,U16)</f>
        <v>住宅2086年9月11日地下车库2066年9月11日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66.95</v>
      </c>
      <c r="E19" s="1668" t="str">
        <f>IF(B16="出让",IF(E17="","",ROUNDDOWN(MIN((E17-$D$3)/365,E18),2)),E18)</f>
        <v/>
      </c>
      <c r="F19" s="1668" t="str">
        <f>IF(B16="出让",IF(F17="","",ROUNDDOWN(MIN((F17-$D$3)/365,F18),2)),F18)</f>
        <v/>
      </c>
      <c r="G19" s="1668">
        <f>IF(B16="出让",IF(G17="","",ROUNDDOWN(MIN((G17-$D$3)/365,G18),2)),G18)</f>
        <v>46.93</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69"/>
      <c r="E20" s="3270"/>
      <c r="F20" s="3270"/>
      <c r="G20" s="3270"/>
      <c r="H20" s="3270"/>
      <c r="I20" s="3271"/>
      <c r="J20" s="1677"/>
      <c r="K20" s="1757"/>
      <c r="L20" s="1706"/>
      <c r="M20" s="1706"/>
      <c r="N20" s="1677"/>
      <c r="O20" s="1678"/>
      <c r="P20" s="1677"/>
      <c r="Q20" s="1677"/>
      <c r="R20" s="1677"/>
      <c r="S20" s="1677"/>
      <c r="T20" s="1677"/>
      <c r="U20" s="1677"/>
    </row>
    <row r="21" spans="1:21">
      <c r="A21" s="1746" t="s">
        <v>1958</v>
      </c>
      <c r="B21" s="1747" t="s">
        <v>1959</v>
      </c>
      <c r="C21" s="1742">
        <f>'数据-汇总表'!E3</f>
        <v>27186.68</v>
      </c>
      <c r="D21" s="1743" t="s">
        <v>1960</v>
      </c>
      <c r="E21" s="3259" t="s">
        <v>1998</v>
      </c>
      <c r="F21" s="3260"/>
      <c r="G21" s="3260"/>
      <c r="H21" s="3260"/>
      <c r="I21" s="3261"/>
      <c r="J21" s="1677"/>
      <c r="K21" s="1757"/>
      <c r="L21" s="1706"/>
      <c r="M21" s="1706"/>
      <c r="N21" s="1677"/>
      <c r="O21" s="1678"/>
      <c r="P21" s="1677"/>
      <c r="Q21" s="1677"/>
      <c r="R21" s="1677"/>
      <c r="S21" s="1677"/>
      <c r="T21" s="1677"/>
      <c r="U21" s="1677"/>
    </row>
    <row r="22" spans="1:21">
      <c r="A22" s="3094" t="s">
        <v>952</v>
      </c>
      <c r="B22" s="1644" t="s">
        <v>1961</v>
      </c>
      <c r="C22" s="1669">
        <f>'数据-汇总表'!D3</f>
        <v>8596.9599999999991</v>
      </c>
      <c r="D22" s="1670" t="s">
        <v>1960</v>
      </c>
      <c r="E22" s="3259" t="s">
        <v>2891</v>
      </c>
      <c r="F22" s="3260"/>
      <c r="G22" s="3260"/>
      <c r="H22" s="3260"/>
      <c r="I22" s="3261"/>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62" t="s">
        <v>1966</v>
      </c>
      <c r="C24" s="3263"/>
      <c r="D24" s="3264" t="s">
        <v>1967</v>
      </c>
      <c r="E24" s="3265"/>
      <c r="F24" s="1691" t="s">
        <v>1968</v>
      </c>
      <c r="G24" s="1677"/>
      <c r="H24" s="1677"/>
      <c r="I24" s="1690"/>
      <c r="J24" s="1677"/>
      <c r="K24" s="3250"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5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5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6" t="s">
        <v>2001</v>
      </c>
      <c r="B31" s="1747" t="s">
        <v>2002</v>
      </c>
      <c r="C31" s="3275" t="s">
        <v>3002</v>
      </c>
      <c r="D31" s="3276"/>
      <c r="E31" s="1677"/>
      <c r="F31" s="1677"/>
      <c r="G31" s="1677"/>
      <c r="H31" s="1677"/>
      <c r="I31" s="1690"/>
      <c r="J31" s="1677"/>
      <c r="K31" s="2421"/>
      <c r="L31" s="1677"/>
      <c r="M31" s="1677"/>
      <c r="N31" s="1677"/>
      <c r="O31" s="1677"/>
      <c r="P31" s="1677"/>
      <c r="Q31" s="1677"/>
      <c r="R31" s="1677"/>
      <c r="S31" s="1677"/>
      <c r="T31" s="1677"/>
      <c r="U31" s="1677"/>
    </row>
    <row r="32" spans="1:21">
      <c r="A32" s="3236"/>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6"/>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7"/>
      <c r="B34" s="1644" t="s">
        <v>2005</v>
      </c>
      <c r="C34" s="3238"/>
      <c r="D34" s="3239"/>
      <c r="E34" s="1677"/>
      <c r="F34" s="1677"/>
      <c r="G34" s="1677"/>
      <c r="H34" s="1677"/>
      <c r="I34" s="1690"/>
      <c r="J34" s="1677"/>
      <c r="K34" s="2421"/>
      <c r="L34" s="1677"/>
      <c r="M34" s="1677"/>
      <c r="N34" s="1677"/>
      <c r="O34" s="1677"/>
      <c r="P34" s="1677"/>
      <c r="Q34" s="1677"/>
      <c r="R34" s="1677"/>
      <c r="S34" s="1677"/>
      <c r="T34" s="1677"/>
      <c r="U34" s="1677"/>
    </row>
    <row r="35" spans="1:21">
      <c r="A35" s="3240" t="s">
        <v>847</v>
      </c>
      <c r="B35" s="1705" t="s">
        <v>3003</v>
      </c>
      <c r="C35" s="1759" t="str">
        <f>IF(B35="场地平整","——","具体情况：")</f>
        <v>——</v>
      </c>
      <c r="D35" s="3242"/>
      <c r="E35" s="3243"/>
      <c r="F35" s="3243"/>
      <c r="G35" s="3243"/>
      <c r="H35" s="3243"/>
      <c r="I35" s="3244"/>
      <c r="J35" s="1677"/>
      <c r="K35" s="1758"/>
      <c r="L35" s="1706"/>
      <c r="M35" s="1706"/>
      <c r="N35" s="1677"/>
      <c r="O35" s="1678"/>
      <c r="P35" s="1677"/>
      <c r="Q35" s="1677"/>
      <c r="R35" s="1677"/>
      <c r="S35" s="1677"/>
      <c r="T35" s="1677"/>
      <c r="U35" s="1677"/>
    </row>
    <row r="36" spans="1:21">
      <c r="A36" s="3236"/>
      <c r="B36" s="3245" t="s">
        <v>2054</v>
      </c>
      <c r="C36" s="3246"/>
      <c r="D36" s="1775"/>
      <c r="E36" s="3247"/>
      <c r="F36" s="3247"/>
      <c r="G36" s="1670" t="str">
        <f>IF(B35="场地未平整","估价结果处理","")</f>
        <v/>
      </c>
      <c r="H36" s="3248"/>
      <c r="I36" s="3248"/>
      <c r="J36" s="1677"/>
      <c r="K36" s="1758"/>
      <c r="L36" s="1706"/>
      <c r="M36" s="1706"/>
      <c r="N36" s="1677"/>
      <c r="O36" s="1678"/>
      <c r="P36" s="1677"/>
      <c r="Q36" s="1677"/>
      <c r="R36" s="1677"/>
      <c r="S36" s="1677"/>
      <c r="T36" s="1677"/>
      <c r="U36" s="1677"/>
    </row>
    <row r="37" spans="1:21" ht="28.5">
      <c r="A37" s="3236"/>
      <c r="B37" s="326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6"/>
      <c r="B38" s="3267"/>
      <c r="C38" s="1652" t="s">
        <v>850</v>
      </c>
      <c r="D38" s="1774">
        <f>ROUNDDOWN(MIN(('数据-取费表'!$B$2-D37)/365,D34),1)</f>
        <v>119.8</v>
      </c>
      <c r="E38" s="1710" t="s">
        <v>851</v>
      </c>
      <c r="F38" s="1677"/>
      <c r="G38" s="1677"/>
      <c r="H38" s="1677"/>
      <c r="I38" s="1690"/>
      <c r="J38" s="1677"/>
      <c r="K38" s="1758"/>
      <c r="L38" s="1677"/>
      <c r="M38" s="1677"/>
      <c r="N38" s="1677"/>
      <c r="O38" s="1677"/>
      <c r="P38" s="1677"/>
      <c r="Q38" s="1677"/>
      <c r="R38" s="1677"/>
      <c r="S38" s="1677"/>
      <c r="T38" s="1677"/>
      <c r="U38" s="1677"/>
    </row>
    <row r="39" spans="1:21">
      <c r="A39" s="3237"/>
      <c r="B39" s="326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49" t="s">
        <v>1985</v>
      </c>
      <c r="T40" s="1714" t="str">
        <f>NUMBERSTRING(7-K40,1)&amp;"通"</f>
        <v>七通</v>
      </c>
      <c r="U40" s="1677"/>
    </row>
    <row r="41" spans="1:21">
      <c r="A41" s="1646"/>
      <c r="B41" s="3241" t="s">
        <v>1721</v>
      </c>
      <c r="C41" s="3241"/>
      <c r="D41" s="3241"/>
      <c r="E41" s="324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9"/>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4" sqref="H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99">
        <f>ROUND(B3/118587.48*37499.7,2)</f>
        <v>8596.9599999999991</v>
      </c>
      <c r="B3" s="21">
        <f>IF(C3="否",G5-AT5,G5)</f>
        <v>27186.68</v>
      </c>
      <c r="C3" s="22" t="s">
        <v>3004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27186.68</v>
      </c>
      <c r="H5" s="26">
        <f t="shared" ref="H5:AT5" si="0">SUM(H13:H641)</f>
        <v>25386.34</v>
      </c>
      <c r="I5" s="26">
        <f t="shared" si="0"/>
        <v>12319.68</v>
      </c>
      <c r="J5" s="26">
        <f t="shared" si="0"/>
        <v>0</v>
      </c>
      <c r="K5" s="26">
        <f t="shared" si="0"/>
        <v>0</v>
      </c>
      <c r="L5" s="26">
        <f t="shared" si="0"/>
        <v>0</v>
      </c>
      <c r="M5" s="26">
        <f t="shared" si="0"/>
        <v>5704.79</v>
      </c>
      <c r="N5" s="26">
        <f t="shared" si="0"/>
        <v>0</v>
      </c>
      <c r="O5" s="26">
        <f t="shared" si="0"/>
        <v>7361.87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1800.34</v>
      </c>
      <c r="AD5" s="26">
        <f t="shared" si="0"/>
        <v>1800.34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27186.68</v>
      </c>
      <c r="BA5" s="28">
        <f t="shared" si="1"/>
        <v>25386.34</v>
      </c>
      <c r="BB5" s="28">
        <f t="shared" si="1"/>
        <v>12319.68</v>
      </c>
      <c r="BC5" s="28">
        <f t="shared" si="1"/>
        <v>0</v>
      </c>
      <c r="BD5" s="28">
        <f t="shared" si="1"/>
        <v>5704.79</v>
      </c>
      <c r="BE5" s="28">
        <f t="shared" si="1"/>
        <v>7361.87</v>
      </c>
      <c r="BF5" s="28">
        <f t="shared" si="1"/>
        <v>0</v>
      </c>
      <c r="BG5" s="28">
        <f t="shared" si="1"/>
        <v>0</v>
      </c>
      <c r="BH5" s="28">
        <f t="shared" si="1"/>
        <v>0</v>
      </c>
      <c r="BI5" s="28">
        <f t="shared" si="1"/>
        <v>0</v>
      </c>
      <c r="BJ5" s="28">
        <f t="shared" si="1"/>
        <v>0</v>
      </c>
      <c r="BK5" s="28">
        <f t="shared" si="1"/>
        <v>0</v>
      </c>
      <c r="BL5" s="28">
        <f t="shared" si="1"/>
        <v>1800.34</v>
      </c>
      <c r="BM5" s="28">
        <f t="shared" si="1"/>
        <v>1800.34</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8596.9599999999991</v>
      </c>
      <c r="F6" s="26" t="s">
        <v>1</v>
      </c>
      <c r="G6" s="26" t="s">
        <v>2</v>
      </c>
      <c r="H6" s="32">
        <f>SUMIF(I$12:AB$12,"总值",I6:AB6)</f>
        <v>8027.66</v>
      </c>
      <c r="I6" s="26">
        <f t="shared" ref="I6:AB6" si="2">ROUND($A$3*I5/$B$3,2)</f>
        <v>3895.72</v>
      </c>
      <c r="J6" s="26">
        <f t="shared" si="2"/>
        <v>0</v>
      </c>
      <c r="K6" s="26">
        <f t="shared" si="2"/>
        <v>0</v>
      </c>
      <c r="L6" s="26">
        <f t="shared" si="2"/>
        <v>0</v>
      </c>
      <c r="M6" s="26">
        <f t="shared" si="2"/>
        <v>1803.97</v>
      </c>
      <c r="N6" s="26">
        <f t="shared" si="2"/>
        <v>0</v>
      </c>
      <c r="O6" s="26">
        <f t="shared" si="2"/>
        <v>2327.9699999999998</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569.29999999999995</v>
      </c>
      <c r="AD6" s="26">
        <f t="shared" ref="AD6:AS6" si="3">ROUND($A$3*AD5/$B$3,2)</f>
        <v>569.29999999999995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8596.9599999999991</v>
      </c>
      <c r="AZ6" s="26" t="s">
        <v>3</v>
      </c>
      <c r="BA6" s="26">
        <f>ROUND($AY$6*BA5/$AZ$5,2)</f>
        <v>8027.66</v>
      </c>
      <c r="BB6" s="26">
        <f>ROUND($AY$6*BB5/$AZ$5,2)</f>
        <v>3895.72</v>
      </c>
      <c r="BC6" s="26">
        <f t="shared" ref="BC6:BH6" si="4">ROUND($AY$6*BC5/$AZ$5,2)</f>
        <v>0</v>
      </c>
      <c r="BD6" s="26">
        <f t="shared" si="4"/>
        <v>1803.97</v>
      </c>
      <c r="BE6" s="26">
        <f t="shared" si="4"/>
        <v>2327.9699999999998</v>
      </c>
      <c r="BF6" s="26">
        <f t="shared" si="4"/>
        <v>0</v>
      </c>
      <c r="BG6" s="26">
        <f t="shared" si="4"/>
        <v>0</v>
      </c>
      <c r="BH6" s="26">
        <f t="shared" si="4"/>
        <v>0</v>
      </c>
      <c r="BI6" s="26">
        <f t="shared" ref="BI6:BT6" si="5">ROUND($AY$6*BI5/$AZ$5,2)</f>
        <v>0</v>
      </c>
      <c r="BJ6" s="26">
        <f t="shared" si="5"/>
        <v>0</v>
      </c>
      <c r="BK6" s="26">
        <f t="shared" si="5"/>
        <v>0</v>
      </c>
      <c r="BL6" s="26">
        <f t="shared" si="5"/>
        <v>569.29999999999995</v>
      </c>
      <c r="BM6" s="26">
        <f t="shared" si="5"/>
        <v>569.29999999999995</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81"/>
      <c r="AT8" s="2312"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8" t="s">
        <v>3005</v>
      </c>
      <c r="J9" s="50"/>
      <c r="K9" s="2968" t="s">
        <v>3006</v>
      </c>
      <c r="L9" s="50"/>
      <c r="M9" s="2968" t="s">
        <v>3006</v>
      </c>
      <c r="N9" s="50"/>
      <c r="O9" s="58" t="s">
        <v>3006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3"/>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8" t="s">
        <v>923</v>
      </c>
      <c r="J10" s="50"/>
      <c r="K10" s="2970" t="s">
        <v>3007</v>
      </c>
      <c r="L10" s="50"/>
      <c r="M10" s="2970" t="s">
        <v>923</v>
      </c>
      <c r="N10" s="50"/>
      <c r="O10" s="65" t="s">
        <v>3007</v>
      </c>
      <c r="P10" s="50"/>
      <c r="Q10" s="65"/>
      <c r="R10" s="50"/>
      <c r="S10" s="65"/>
      <c r="T10" s="50"/>
      <c r="U10" s="65"/>
      <c r="V10" s="50"/>
      <c r="W10" s="65"/>
      <c r="X10" s="50"/>
      <c r="Y10" s="65"/>
      <c r="Z10" s="50"/>
      <c r="AA10" s="65"/>
      <c r="AB10" s="50"/>
      <c r="AC10" s="54"/>
      <c r="AD10" s="2298" t="s">
        <v>2317</v>
      </c>
      <c r="AE10" s="2320"/>
      <c r="AF10" s="2298" t="s">
        <v>2317</v>
      </c>
      <c r="AG10" s="2320"/>
      <c r="AH10" s="2298" t="s">
        <v>2318</v>
      </c>
      <c r="AI10" s="2320"/>
      <c r="AJ10" s="25" t="s">
        <v>2331</v>
      </c>
      <c r="AK10" s="2317"/>
      <c r="AL10" s="2298" t="s">
        <v>2319</v>
      </c>
      <c r="AM10" s="2299"/>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车库</v>
      </c>
      <c r="BD11" s="49" t="str">
        <f>M10</f>
        <v>住宅</v>
      </c>
      <c r="BE11" s="49" t="str">
        <f>O10</f>
        <v>车库</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4"/>
      <c r="B13" s="2964" t="s">
        <v>3008</v>
      </c>
      <c r="C13" s="2964" t="s">
        <v>3009</v>
      </c>
      <c r="D13" s="2965" t="s">
        <v>1678</v>
      </c>
      <c r="E13" s="26">
        <f t="shared" ref="E13:E20" si="6">IF($C$3="是",ROUND($A$3*G13/$B$3,2),ROUND($A$3*(G13-AT13)/$B$3,2))</f>
        <v>569.29999999999995</v>
      </c>
      <c r="F13" s="80"/>
      <c r="G13" s="81">
        <f t="shared" ref="G13:G20" si="7">H13+AC13+AT13</f>
        <v>1800.34</v>
      </c>
      <c r="H13" s="32">
        <f t="shared" ref="H13:H20" si="8">SUMIF(I$12:AB$12,"总值",I13:AB13)</f>
        <v>0</v>
      </c>
      <c r="I13" s="2967"/>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1800.34</v>
      </c>
      <c r="AD13" s="2971">
        <v>1800.34</v>
      </c>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t="str">
        <f t="shared" si="10"/>
        <v>幼儿园</v>
      </c>
      <c r="AX13" s="17" t="str">
        <f t="shared" si="10"/>
        <v>1#</v>
      </c>
      <c r="AY13" s="995">
        <f t="shared" ref="AY13:AY20" si="11">ROUND($AY$6*AZ13/$AZ$5,2)</f>
        <v>569.29999999999995</v>
      </c>
      <c r="AZ13" s="26">
        <f t="shared" ref="AZ13:AZ20" si="12">BA13+BL13</f>
        <v>1800.34</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1800.34</v>
      </c>
      <c r="BM13" s="26">
        <f t="shared" ref="BM13:BM20" si="25">IF($D13="是",AD13-AE13,0)</f>
        <v>1800.34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4"/>
      <c r="B14" s="2964" t="s">
        <v>3010</v>
      </c>
      <c r="C14" s="2966" t="s">
        <v>3011</v>
      </c>
      <c r="D14" s="2965" t="s">
        <v>1678</v>
      </c>
      <c r="E14" s="26">
        <f t="shared" si="6"/>
        <v>499.29</v>
      </c>
      <c r="F14" s="80"/>
      <c r="G14" s="81">
        <f t="shared" si="7"/>
        <v>1578.92</v>
      </c>
      <c r="H14" s="32">
        <f t="shared" si="8"/>
        <v>1578.92</v>
      </c>
      <c r="I14" s="2967">
        <v>1077.4000000000001</v>
      </c>
      <c r="J14" s="2967"/>
      <c r="K14" s="2967"/>
      <c r="L14" s="2967"/>
      <c r="M14" s="2967">
        <v>501.52</v>
      </c>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t="str">
        <f t="shared" si="10"/>
        <v>联排别墅</v>
      </c>
      <c r="AX14" s="17" t="str">
        <f t="shared" si="10"/>
        <v>6#</v>
      </c>
      <c r="AY14" s="995">
        <f t="shared" si="11"/>
        <v>499.29</v>
      </c>
      <c r="AZ14" s="26">
        <f t="shared" si="12"/>
        <v>1578.92</v>
      </c>
      <c r="BA14" s="26">
        <f t="shared" si="13"/>
        <v>1578.92</v>
      </c>
      <c r="BB14" s="26">
        <f t="shared" si="14"/>
        <v>1077.4000000000001</v>
      </c>
      <c r="BC14" s="26">
        <f t="shared" si="15"/>
        <v>0</v>
      </c>
      <c r="BD14" s="26">
        <f t="shared" si="16"/>
        <v>501.52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4"/>
      <c r="B15" s="2964" t="s">
        <v>3010</v>
      </c>
      <c r="C15" s="2966" t="s">
        <v>3012</v>
      </c>
      <c r="D15" s="2965" t="s">
        <v>1678</v>
      </c>
      <c r="E15" s="26">
        <f t="shared" si="6"/>
        <v>602.85</v>
      </c>
      <c r="F15" s="80"/>
      <c r="G15" s="81">
        <f t="shared" si="7"/>
        <v>1906.4299999999998</v>
      </c>
      <c r="H15" s="32">
        <f t="shared" si="8"/>
        <v>1906.4299999999998</v>
      </c>
      <c r="I15" s="2967">
        <v>1302.05</v>
      </c>
      <c r="J15" s="2967"/>
      <c r="K15" s="2967"/>
      <c r="L15" s="2967"/>
      <c r="M15" s="2967">
        <v>604.38</v>
      </c>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t="str">
        <f t="shared" si="10"/>
        <v>联排别墅</v>
      </c>
      <c r="AX15" s="17" t="str">
        <f t="shared" si="10"/>
        <v>7#</v>
      </c>
      <c r="AY15" s="995">
        <f t="shared" si="11"/>
        <v>602.85</v>
      </c>
      <c r="AZ15" s="26">
        <f t="shared" si="12"/>
        <v>1906.4299999999998</v>
      </c>
      <c r="BA15" s="26">
        <f t="shared" si="13"/>
        <v>1906.4299999999998</v>
      </c>
      <c r="BB15" s="26">
        <f t="shared" si="14"/>
        <v>1302.05</v>
      </c>
      <c r="BC15" s="26">
        <f t="shared" si="15"/>
        <v>0</v>
      </c>
      <c r="BD15" s="26">
        <f t="shared" si="16"/>
        <v>604.38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4"/>
      <c r="B16" s="2964" t="s">
        <v>3010</v>
      </c>
      <c r="C16" s="2966" t="s">
        <v>3013</v>
      </c>
      <c r="D16" s="2965" t="s">
        <v>1678</v>
      </c>
      <c r="E16" s="26">
        <f t="shared" si="6"/>
        <v>500.7</v>
      </c>
      <c r="F16" s="80"/>
      <c r="G16" s="81">
        <f t="shared" si="7"/>
        <v>1583.4</v>
      </c>
      <c r="H16" s="32">
        <f t="shared" si="8"/>
        <v>1583.4</v>
      </c>
      <c r="I16" s="2967">
        <v>1077.42</v>
      </c>
      <c r="J16" s="2967"/>
      <c r="K16" s="2967"/>
      <c r="L16" s="2967"/>
      <c r="M16" s="2967">
        <v>505.98</v>
      </c>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t="str">
        <f t="shared" si="10"/>
        <v>联排别墅</v>
      </c>
      <c r="AX16" s="17" t="str">
        <f t="shared" si="10"/>
        <v>13#</v>
      </c>
      <c r="AY16" s="995">
        <f t="shared" si="11"/>
        <v>500.7</v>
      </c>
      <c r="AZ16" s="26">
        <f t="shared" si="12"/>
        <v>1583.4</v>
      </c>
      <c r="BA16" s="26">
        <f t="shared" si="13"/>
        <v>1583.4</v>
      </c>
      <c r="BB16" s="26">
        <f t="shared" si="14"/>
        <v>1077.42</v>
      </c>
      <c r="BC16" s="26">
        <f t="shared" si="15"/>
        <v>0</v>
      </c>
      <c r="BD16" s="26">
        <f t="shared" si="16"/>
        <v>505.98</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4"/>
      <c r="B17" s="2964" t="s">
        <v>3010</v>
      </c>
      <c r="C17" s="2966" t="s">
        <v>3014</v>
      </c>
      <c r="D17" s="2965" t="s">
        <v>1678</v>
      </c>
      <c r="E17" s="26">
        <f t="shared" si="6"/>
        <v>601.66</v>
      </c>
      <c r="F17" s="80"/>
      <c r="G17" s="81">
        <f t="shared" si="7"/>
        <v>1902.68</v>
      </c>
      <c r="H17" s="32">
        <f t="shared" si="8"/>
        <v>1902.68</v>
      </c>
      <c r="I17" s="2967">
        <v>1301.6600000000001</v>
      </c>
      <c r="J17" s="2967"/>
      <c r="K17" s="2967"/>
      <c r="L17" s="2967"/>
      <c r="M17" s="2967">
        <v>601.02</v>
      </c>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t="str">
        <f t="shared" si="10"/>
        <v>联排别墅</v>
      </c>
      <c r="AX17" s="17" t="str">
        <f t="shared" si="10"/>
        <v>14#</v>
      </c>
      <c r="AY17" s="995">
        <f t="shared" si="11"/>
        <v>601.66</v>
      </c>
      <c r="AZ17" s="26">
        <f t="shared" si="12"/>
        <v>1902.68</v>
      </c>
      <c r="BA17" s="26">
        <f t="shared" si="13"/>
        <v>1902.68</v>
      </c>
      <c r="BB17" s="26">
        <f t="shared" si="14"/>
        <v>1301.6600000000001</v>
      </c>
      <c r="BC17" s="26">
        <f t="shared" si="15"/>
        <v>0</v>
      </c>
      <c r="BD17" s="26">
        <f t="shared" si="16"/>
        <v>601.02</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t="s">
        <v>3010</v>
      </c>
      <c r="C18" s="84" t="s">
        <v>3015</v>
      </c>
      <c r="D18" s="2965" t="s">
        <v>1678</v>
      </c>
      <c r="E18" s="86">
        <f t="shared" si="6"/>
        <v>594.75</v>
      </c>
      <c r="F18" s="87"/>
      <c r="G18" s="88">
        <f t="shared" si="7"/>
        <v>1880.8000000000002</v>
      </c>
      <c r="H18" s="89">
        <f t="shared" si="8"/>
        <v>1880.8000000000002</v>
      </c>
      <c r="I18" s="1390">
        <v>1289.42</v>
      </c>
      <c r="J18" s="90"/>
      <c r="K18" s="1390"/>
      <c r="L18" s="90"/>
      <c r="M18" s="90">
        <v>591.38</v>
      </c>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t="str">
        <f t="shared" si="10"/>
        <v>联排别墅</v>
      </c>
      <c r="AX18" s="991" t="str">
        <f t="shared" si="10"/>
        <v>19#</v>
      </c>
      <c r="AY18" s="94">
        <f t="shared" si="11"/>
        <v>594.75</v>
      </c>
      <c r="AZ18" s="86">
        <f t="shared" si="12"/>
        <v>1880.8000000000002</v>
      </c>
      <c r="BA18" s="86">
        <f t="shared" si="13"/>
        <v>1880.8000000000002</v>
      </c>
      <c r="BB18" s="86">
        <f t="shared" si="14"/>
        <v>1289.42</v>
      </c>
      <c r="BC18" s="86">
        <f t="shared" si="15"/>
        <v>0</v>
      </c>
      <c r="BD18" s="86">
        <f t="shared" si="16"/>
        <v>591.38</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t="s">
        <v>3010</v>
      </c>
      <c r="C19" s="1390" t="s">
        <v>3016</v>
      </c>
      <c r="D19" s="2965" t="s">
        <v>1678</v>
      </c>
      <c r="E19" s="86">
        <f t="shared" si="6"/>
        <v>601.66</v>
      </c>
      <c r="F19" s="87"/>
      <c r="G19" s="88">
        <f t="shared" si="7"/>
        <v>1902.68</v>
      </c>
      <c r="H19" s="89">
        <f t="shared" si="8"/>
        <v>1902.68</v>
      </c>
      <c r="I19" s="1390">
        <v>1301.6300000000001</v>
      </c>
      <c r="J19" s="90"/>
      <c r="K19" s="1390"/>
      <c r="L19" s="90"/>
      <c r="M19" s="90">
        <v>601.04999999999995</v>
      </c>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t="str">
        <f t="shared" si="10"/>
        <v>联排别墅</v>
      </c>
      <c r="AX19" s="991" t="str">
        <f t="shared" si="10"/>
        <v>20#</v>
      </c>
      <c r="AY19" s="94">
        <f t="shared" si="11"/>
        <v>601.66</v>
      </c>
      <c r="AZ19" s="86">
        <f t="shared" si="12"/>
        <v>1902.68</v>
      </c>
      <c r="BA19" s="86">
        <f t="shared" si="13"/>
        <v>1902.68</v>
      </c>
      <c r="BB19" s="86">
        <f t="shared" si="14"/>
        <v>1301.6300000000001</v>
      </c>
      <c r="BC19" s="86">
        <f t="shared" si="15"/>
        <v>0</v>
      </c>
      <c r="BD19" s="86">
        <f t="shared" si="16"/>
        <v>601.04999999999995</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t="s">
        <v>3010</v>
      </c>
      <c r="C20" s="1390" t="s">
        <v>3017</v>
      </c>
      <c r="D20" s="2965" t="s">
        <v>1678</v>
      </c>
      <c r="E20" s="86">
        <f t="shared" si="6"/>
        <v>500.7</v>
      </c>
      <c r="F20" s="87"/>
      <c r="G20" s="88">
        <f t="shared" si="7"/>
        <v>1583.4</v>
      </c>
      <c r="H20" s="89">
        <f t="shared" si="8"/>
        <v>1583.4</v>
      </c>
      <c r="I20" s="1390">
        <v>1077.42</v>
      </c>
      <c r="J20" s="90"/>
      <c r="K20" s="1390"/>
      <c r="L20" s="90"/>
      <c r="M20" s="90">
        <v>505.98</v>
      </c>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t="str">
        <f t="shared" si="10"/>
        <v>联排别墅</v>
      </c>
      <c r="AX20" s="991" t="str">
        <f t="shared" si="10"/>
        <v>25#</v>
      </c>
      <c r="AY20" s="94">
        <f t="shared" si="11"/>
        <v>500.7</v>
      </c>
      <c r="AZ20" s="86">
        <f t="shared" si="12"/>
        <v>1583.4</v>
      </c>
      <c r="BA20" s="86">
        <f t="shared" si="13"/>
        <v>1583.4</v>
      </c>
      <c r="BB20" s="86">
        <f t="shared" si="14"/>
        <v>1077.42</v>
      </c>
      <c r="BC20" s="86">
        <f t="shared" si="15"/>
        <v>0</v>
      </c>
      <c r="BD20" s="86">
        <f t="shared" si="16"/>
        <v>505.98</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t="s">
        <v>3010</v>
      </c>
      <c r="C21" s="1390" t="s">
        <v>3018</v>
      </c>
      <c r="D21" s="2965" t="s">
        <v>1678</v>
      </c>
      <c r="E21" s="86">
        <f t="shared" ref="E21:E112" si="33">IF($C$3="是",ROUND($A$3*G21/$B$3,2),ROUND($A$3*(G21-AT21)/$B$3,2))</f>
        <v>601.66</v>
      </c>
      <c r="F21" s="87"/>
      <c r="G21" s="88">
        <f t="shared" ref="G21:G109" si="34">H21+AC21+AT21</f>
        <v>1902.68</v>
      </c>
      <c r="H21" s="89">
        <f t="shared" ref="H21:H109" si="35">SUMIF(I$12:AB$12,"总值",I21:AB21)</f>
        <v>1902.68</v>
      </c>
      <c r="I21" s="1392">
        <v>1301.6300000000001</v>
      </c>
      <c r="J21" s="90"/>
      <c r="K21" s="1392"/>
      <c r="L21" s="90"/>
      <c r="M21" s="90">
        <v>601.04999999999995</v>
      </c>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t="str">
        <f t="shared" ref="AW21:AW112" si="38">B21</f>
        <v>联排别墅</v>
      </c>
      <c r="AX21" s="1963" t="str">
        <f t="shared" ref="AX21:AX112" si="39">C21</f>
        <v>26#</v>
      </c>
      <c r="AY21" s="94">
        <f t="shared" ref="AY21:AY109" si="40">ROUND($AY$6*AZ21/$AZ$5,2)</f>
        <v>601.66</v>
      </c>
      <c r="AZ21" s="86">
        <f t="shared" ref="AZ21:AZ109" si="41">BA21+BL21</f>
        <v>1902.68</v>
      </c>
      <c r="BA21" s="86">
        <f t="shared" ref="BA21:BA109" si="42">SUM(BB21:BK21)</f>
        <v>1902.68</v>
      </c>
      <c r="BB21" s="86">
        <f t="shared" ref="BB21:BB109" si="43">IF($D21="是",I21-J21,0)</f>
        <v>1301.6300000000001</v>
      </c>
      <c r="BC21" s="86">
        <f t="shared" ref="BC21:BC109" si="44">IF($D21="是",K21-L21,0)</f>
        <v>0</v>
      </c>
      <c r="BD21" s="86">
        <f t="shared" ref="BD21:BD109" si="45">IF($D21="是",M21-N21,0)</f>
        <v>601.04999999999995</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t="s">
        <v>3010</v>
      </c>
      <c r="C22" s="1390" t="s">
        <v>3019</v>
      </c>
      <c r="D22" s="2965" t="s">
        <v>1678</v>
      </c>
      <c r="E22" s="86">
        <f t="shared" si="33"/>
        <v>594.75</v>
      </c>
      <c r="F22" s="87"/>
      <c r="G22" s="88">
        <f t="shared" si="34"/>
        <v>1880.8000000000002</v>
      </c>
      <c r="H22" s="89">
        <f t="shared" si="35"/>
        <v>1880.8000000000002</v>
      </c>
      <c r="I22" s="1392">
        <v>1289.42</v>
      </c>
      <c r="J22" s="90"/>
      <c r="K22" s="1392"/>
      <c r="L22" s="90"/>
      <c r="M22" s="1359">
        <v>591.38</v>
      </c>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t="str">
        <f t="shared" si="38"/>
        <v>联排别墅</v>
      </c>
      <c r="AX22" s="1963" t="str">
        <f t="shared" si="39"/>
        <v>34#</v>
      </c>
      <c r="AY22" s="94">
        <f t="shared" si="40"/>
        <v>594.75</v>
      </c>
      <c r="AZ22" s="86">
        <f t="shared" si="41"/>
        <v>1880.8000000000002</v>
      </c>
      <c r="BA22" s="86">
        <f t="shared" si="42"/>
        <v>1880.8000000000002</v>
      </c>
      <c r="BB22" s="86">
        <f t="shared" si="43"/>
        <v>1289.42</v>
      </c>
      <c r="BC22" s="86">
        <f t="shared" si="44"/>
        <v>0</v>
      </c>
      <c r="BD22" s="86">
        <f t="shared" si="45"/>
        <v>591.38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t="s">
        <v>3010</v>
      </c>
      <c r="C23" s="1390" t="s">
        <v>3020</v>
      </c>
      <c r="D23" s="2965" t="s">
        <v>1678</v>
      </c>
      <c r="E23" s="86">
        <f t="shared" si="33"/>
        <v>601.66</v>
      </c>
      <c r="F23" s="87"/>
      <c r="G23" s="88">
        <f t="shared" si="34"/>
        <v>1902.68</v>
      </c>
      <c r="H23" s="89">
        <f t="shared" si="35"/>
        <v>1902.68</v>
      </c>
      <c r="I23" s="1392">
        <v>1301.6300000000001</v>
      </c>
      <c r="J23" s="90"/>
      <c r="K23" s="1392"/>
      <c r="L23" s="90"/>
      <c r="M23" s="1359">
        <v>601.04999999999995</v>
      </c>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t="str">
        <f t="shared" si="38"/>
        <v>联排别墅</v>
      </c>
      <c r="AX23" s="1963" t="str">
        <f t="shared" si="39"/>
        <v>35#</v>
      </c>
      <c r="AY23" s="94">
        <f t="shared" si="40"/>
        <v>601.66</v>
      </c>
      <c r="AZ23" s="86">
        <f t="shared" si="41"/>
        <v>1902.68</v>
      </c>
      <c r="BA23" s="86">
        <f t="shared" si="42"/>
        <v>1902.68</v>
      </c>
      <c r="BB23" s="86">
        <f t="shared" si="43"/>
        <v>1301.6300000000001</v>
      </c>
      <c r="BC23" s="86">
        <f t="shared" si="44"/>
        <v>0</v>
      </c>
      <c r="BD23" s="86">
        <f t="shared" si="45"/>
        <v>601.04999999999995</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t="s">
        <v>3021</v>
      </c>
      <c r="D24" s="2965" t="s">
        <v>1678</v>
      </c>
      <c r="E24" s="86">
        <f t="shared" si="33"/>
        <v>2327.9699999999998</v>
      </c>
      <c r="F24" s="87"/>
      <c r="G24" s="88">
        <f t="shared" si="34"/>
        <v>7361.87</v>
      </c>
      <c r="H24" s="89">
        <f t="shared" si="35"/>
        <v>7361.87</v>
      </c>
      <c r="I24" s="1392"/>
      <c r="J24" s="90"/>
      <c r="K24" s="1392"/>
      <c r="L24" s="90"/>
      <c r="M24" s="90"/>
      <c r="N24" s="90"/>
      <c r="O24" s="1359">
        <v>7361.87</v>
      </c>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t="str">
        <f t="shared" si="39"/>
        <v>46#地库</v>
      </c>
      <c r="AY24" s="94">
        <f t="shared" si="40"/>
        <v>2327.9699999999998</v>
      </c>
      <c r="AZ24" s="86">
        <f t="shared" si="41"/>
        <v>7361.87</v>
      </c>
      <c r="BA24" s="86">
        <f t="shared" si="42"/>
        <v>7361.87</v>
      </c>
      <c r="BB24" s="86">
        <f t="shared" si="43"/>
        <v>0</v>
      </c>
      <c r="BC24" s="86">
        <f t="shared" si="44"/>
        <v>0</v>
      </c>
      <c r="BD24" s="86">
        <f t="shared" si="45"/>
        <v>0</v>
      </c>
      <c r="BE24" s="86">
        <f t="shared" si="46"/>
        <v>7361.87</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202</v>
      </c>
      <c r="B1" s="1968"/>
      <c r="C1" s="1968"/>
      <c r="D1" s="1968"/>
      <c r="E1" s="1968"/>
      <c r="F1" s="1968"/>
      <c r="G1" s="1968"/>
      <c r="H1" s="1968"/>
      <c r="I1" s="1968"/>
      <c r="J1" s="1968"/>
      <c r="K1" s="1968"/>
      <c r="L1" s="1968"/>
    </row>
    <row r="2" spans="1:16" ht="15">
      <c r="A2" s="3288" t="s">
        <v>203</v>
      </c>
      <c r="B2" s="3288"/>
      <c r="C2" s="3288"/>
      <c r="D2" s="1959" t="s">
        <v>204</v>
      </c>
      <c r="E2" s="105" t="s">
        <v>205</v>
      </c>
      <c r="F2" s="1968"/>
      <c r="G2" s="1193"/>
      <c r="H2" s="1194"/>
      <c r="I2" s="1195" t="s">
        <v>857</v>
      </c>
      <c r="J2" s="1968"/>
      <c r="K2" s="1968"/>
      <c r="L2" s="1968"/>
    </row>
    <row r="3" spans="1:16" ht="15.75" thickBot="1">
      <c r="A3" s="3289" t="s">
        <v>206</v>
      </c>
      <c r="B3" s="3289"/>
      <c r="C3" s="3289"/>
      <c r="D3" s="106">
        <f>'数据-基础表'!AY6</f>
        <v>8596.9599999999991</v>
      </c>
      <c r="E3" s="106">
        <f>'数据-基础表'!AZ5</f>
        <v>27186.68</v>
      </c>
      <c r="F3" s="1968"/>
      <c r="G3" s="279" t="s">
        <v>858</v>
      </c>
      <c r="H3" s="274" t="s">
        <v>859</v>
      </c>
      <c r="I3" s="1960">
        <f>ROUND('数据-基础表'!B3/'数据-基础表'!A3,2)</f>
        <v>3.16</v>
      </c>
      <c r="J3" s="1968"/>
      <c r="K3" s="1968"/>
      <c r="L3" s="1968"/>
    </row>
    <row r="4" spans="1:16" ht="15">
      <c r="A4" s="3290"/>
      <c r="B4" s="3291"/>
      <c r="C4" s="3292"/>
      <c r="D4" s="107" t="s">
        <v>204</v>
      </c>
      <c r="E4" s="108" t="s">
        <v>205</v>
      </c>
      <c r="F4" s="1968"/>
      <c r="G4" s="1196"/>
      <c r="H4" s="274" t="s">
        <v>860</v>
      </c>
      <c r="I4" s="1960">
        <f>ROUND(SUMIF('数据-基础表'!I9:AS9,"地上",'数据-基础表'!I5:AS5)/'数据-基础表'!A3,2)</f>
        <v>1.64</v>
      </c>
      <c r="J4" s="1968"/>
      <c r="K4" s="1968"/>
      <c r="L4" s="1968"/>
    </row>
    <row r="5" spans="1:16">
      <c r="A5" s="109" t="s">
        <v>207</v>
      </c>
      <c r="B5" s="3293" t="s">
        <v>230</v>
      </c>
      <c r="C5" s="3293"/>
      <c r="D5" s="110">
        <f>ROUND($D$3*E5/$E$3,2)</f>
        <v>5699.69</v>
      </c>
      <c r="E5" s="111">
        <f>SUMIF('数据-基础表'!$11:$11,"住宅",'数据-基础表'!$5:$5)</f>
        <v>18024.47</v>
      </c>
      <c r="F5" s="1968"/>
      <c r="G5" s="279" t="s">
        <v>861</v>
      </c>
      <c r="H5" s="274" t="s">
        <v>859</v>
      </c>
      <c r="I5" s="1960">
        <f>ROUND(E31/D31,2)</f>
        <v>3.16</v>
      </c>
      <c r="J5" s="1968"/>
      <c r="K5" s="1968"/>
      <c r="L5" s="1968"/>
    </row>
    <row r="6" spans="1:16" ht="15" thickBot="1">
      <c r="A6" s="112"/>
      <c r="B6" s="3293" t="s">
        <v>208</v>
      </c>
      <c r="C6" s="3293"/>
      <c r="D6" s="110">
        <f>ROUND($D$3*E6/$E$3,2)</f>
        <v>2897.27</v>
      </c>
      <c r="E6" s="111">
        <f>E3-E5</f>
        <v>9162.2099999999991</v>
      </c>
      <c r="F6" s="1968"/>
      <c r="G6" s="1196"/>
      <c r="H6" s="274" t="s">
        <v>860</v>
      </c>
      <c r="I6" s="1960">
        <f>ROUND(F31/D31,2)</f>
        <v>1.64</v>
      </c>
      <c r="J6" s="1968"/>
      <c r="K6" s="1968"/>
      <c r="L6" s="1968"/>
    </row>
    <row r="7" spans="1:16" ht="15">
      <c r="A7" s="3285"/>
      <c r="B7" s="3286"/>
      <c r="C7" s="3287"/>
      <c r="D7" s="107" t="s">
        <v>204</v>
      </c>
      <c r="E7" s="113" t="s">
        <v>231</v>
      </c>
      <c r="F7" s="1968"/>
      <c r="G7" s="1151" t="s">
        <v>1645</v>
      </c>
      <c r="H7" s="1152"/>
      <c r="I7" s="1830">
        <v>4</v>
      </c>
      <c r="J7" s="1968"/>
      <c r="K7" s="1968"/>
      <c r="L7" s="1968"/>
    </row>
    <row r="8" spans="1:16">
      <c r="A8" s="109" t="s">
        <v>209</v>
      </c>
      <c r="B8" s="114" t="s">
        <v>210</v>
      </c>
      <c r="C8" s="110" t="s">
        <v>211</v>
      </c>
      <c r="D8" s="110">
        <f t="shared" ref="D8:D15" si="0">ROUND($D$3*E8/$E$3,2)</f>
        <v>3895.72</v>
      </c>
      <c r="E8" s="115">
        <f>SUMIF('数据-基础表'!BB10:BK10,"地上",'数据-基础表'!BB5:BK5)</f>
        <v>12319.68</v>
      </c>
      <c r="F8" s="1968"/>
      <c r="G8" s="1970"/>
      <c r="H8" s="1970"/>
      <c r="I8" s="1968"/>
      <c r="J8" s="1968"/>
      <c r="K8" s="1968"/>
      <c r="L8" s="1968"/>
    </row>
    <row r="9" spans="1:16">
      <c r="A9" s="116"/>
      <c r="B9" s="117"/>
      <c r="C9" s="110" t="s">
        <v>212</v>
      </c>
      <c r="D9" s="110">
        <f t="shared" si="0"/>
        <v>0</v>
      </c>
      <c r="E9" s="118">
        <v>0</v>
      </c>
      <c r="F9" s="1968"/>
      <c r="G9" s="1970"/>
      <c r="H9" s="1970"/>
      <c r="I9" s="1968"/>
      <c r="J9" s="1968"/>
      <c r="K9" s="1968"/>
      <c r="L9" s="1968"/>
    </row>
    <row r="10" spans="1:16">
      <c r="A10" s="116"/>
      <c r="B10" s="117"/>
      <c r="C10" s="110" t="s">
        <v>213</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2327</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214</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2334</v>
      </c>
      <c r="D13" s="110">
        <f t="shared" si="0"/>
        <v>2327.9699999999998</v>
      </c>
      <c r="E13" s="115">
        <f>SUMPRODUCT(('数据-基础表'!BB10:BK10="地下")*('数据-基础表'!BB11:BK11="车库")*('数据-基础表'!BB5:BK5))</f>
        <v>7361.87</v>
      </c>
      <c r="F13" s="1968"/>
      <c r="G13" s="1970"/>
      <c r="H13" s="1970"/>
      <c r="I13" s="1968"/>
      <c r="J13" s="1968"/>
      <c r="K13" s="1968"/>
      <c r="L13" s="1968"/>
    </row>
    <row r="14" spans="1:16">
      <c r="A14" s="116"/>
      <c r="B14" s="117"/>
      <c r="C14" s="110" t="s">
        <v>232</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233</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215</v>
      </c>
      <c r="D16" s="114">
        <f>SUM(D8:D15)</f>
        <v>6223.69</v>
      </c>
      <c r="E16" s="119">
        <f>SUM(E8:E15)</f>
        <v>19681.55</v>
      </c>
      <c r="F16" s="1968"/>
      <c r="G16" s="1970"/>
      <c r="H16" s="967" t="s">
        <v>219</v>
      </c>
      <c r="I16" s="968"/>
      <c r="J16" s="1968"/>
      <c r="K16" s="3279" t="s">
        <v>2566</v>
      </c>
      <c r="L16" s="3280"/>
      <c r="M16" s="3280"/>
      <c r="N16" s="3280"/>
      <c r="O16" s="3280"/>
      <c r="P16" s="3281"/>
    </row>
    <row r="17" spans="1:19" ht="15">
      <c r="A17" s="120" t="s">
        <v>216</v>
      </c>
      <c r="B17" s="121" t="s">
        <v>217</v>
      </c>
      <c r="C17" s="2282" t="s">
        <v>2313</v>
      </c>
      <c r="D17" s="107" t="s">
        <v>204</v>
      </c>
      <c r="E17" s="123" t="s">
        <v>205</v>
      </c>
      <c r="F17" s="124"/>
      <c r="G17" s="1361"/>
      <c r="H17" s="969" t="s">
        <v>218</v>
      </c>
      <c r="I17" s="970" t="s">
        <v>2312</v>
      </c>
      <c r="J17" s="1968"/>
      <c r="K17" s="3282" t="s">
        <v>2567</v>
      </c>
      <c r="L17" s="3283"/>
      <c r="M17" s="3284"/>
      <c r="N17" s="3282" t="s">
        <v>2568</v>
      </c>
      <c r="O17" s="3283"/>
      <c r="P17" s="3284"/>
      <c r="R17" s="2283" t="s">
        <v>2311</v>
      </c>
      <c r="S17" s="143"/>
    </row>
    <row r="18" spans="1:19" ht="15">
      <c r="A18" s="116"/>
      <c r="B18" s="127"/>
      <c r="C18" s="128"/>
      <c r="D18" s="2604"/>
      <c r="E18" s="129" t="s">
        <v>220</v>
      </c>
      <c r="F18" s="130" t="s">
        <v>221</v>
      </c>
      <c r="G18" s="1362" t="s">
        <v>222</v>
      </c>
      <c r="H18" s="971" t="s">
        <v>223</v>
      </c>
      <c r="I18" s="972" t="s">
        <v>224</v>
      </c>
      <c r="J18" s="1968"/>
      <c r="K18" s="2568" t="s">
        <v>2569</v>
      </c>
      <c r="L18" s="2569" t="s">
        <v>2570</v>
      </c>
      <c r="M18" s="2570" t="s">
        <v>2571</v>
      </c>
      <c r="N18" s="2568" t="s">
        <v>2569</v>
      </c>
      <c r="O18" s="2569" t="s">
        <v>2570</v>
      </c>
      <c r="P18" s="2570" t="s">
        <v>2571</v>
      </c>
      <c r="R18" s="2284" t="s">
        <v>2309</v>
      </c>
      <c r="S18" s="2284" t="s">
        <v>2310</v>
      </c>
    </row>
    <row r="19" spans="1:19">
      <c r="A19" s="132"/>
      <c r="B19" s="114" t="s">
        <v>225</v>
      </c>
      <c r="C19" s="2974" t="s">
        <v>3286</v>
      </c>
      <c r="D19" s="3203">
        <f t="shared" ref="D19:D26" si="1">ROUND($D$3*E19/$E$3,2)</f>
        <v>3895.72</v>
      </c>
      <c r="E19" s="133">
        <f t="shared" ref="E19:E26" si="2">SUM(F19:G19)</f>
        <v>12319.68</v>
      </c>
      <c r="F19" s="134">
        <f>'数据-基础表'!I5</f>
        <v>12319.68</v>
      </c>
      <c r="G19" s="1363"/>
      <c r="H19" s="973">
        <f>ROUND($D$3*I19/$E$3,2)</f>
        <v>389.12</v>
      </c>
      <c r="I19" s="115">
        <f>IF($I$17="自定义",P19,M19)</f>
        <v>1230.53</v>
      </c>
      <c r="J19" s="1968"/>
      <c r="K19" s="2571">
        <f t="shared" ref="K19:K26" si="3">ROUND(E$28*E19/E$27,2)</f>
        <v>0</v>
      </c>
      <c r="L19" s="274">
        <f t="shared" ref="L19:L26" si="4">ROUND(IF(COUNTIF(C19,"*住宅*")&gt;0,E$29*E19/E$32,0),2)</f>
        <v>1230.53</v>
      </c>
      <c r="M19" s="2572">
        <f>K19+L19</f>
        <v>1230.53</v>
      </c>
      <c r="N19" s="2573"/>
      <c r="O19" s="2574"/>
      <c r="P19" s="2575">
        <f>N19+O19</f>
        <v>0</v>
      </c>
      <c r="R19" s="274">
        <f t="shared" ref="R19:S26" si="5">D19+H19</f>
        <v>4284.84</v>
      </c>
      <c r="S19" s="2285">
        <f t="shared" si="5"/>
        <v>13550.210000000001</v>
      </c>
    </row>
    <row r="20" spans="1:19">
      <c r="A20" s="137"/>
      <c r="B20" s="114" t="s">
        <v>226</v>
      </c>
      <c r="C20" s="2974" t="s">
        <v>3288</v>
      </c>
      <c r="D20" s="3203">
        <f t="shared" si="1"/>
        <v>1803.97</v>
      </c>
      <c r="E20" s="133">
        <f t="shared" si="2"/>
        <v>5704.79</v>
      </c>
      <c r="F20" s="134"/>
      <c r="G20" s="1363">
        <f>'数据-基础表'!M5</f>
        <v>5704.79</v>
      </c>
      <c r="H20" s="973">
        <f t="shared" ref="H20:H26" si="6">ROUND($D$3*I20/$E$3,2)</f>
        <v>180.19</v>
      </c>
      <c r="I20" s="115">
        <f t="shared" ref="I20:I26" si="7">IF($I$17="自定义",P20,M20)</f>
        <v>569.80999999999995</v>
      </c>
      <c r="J20" s="1968"/>
      <c r="K20" s="2571">
        <f t="shared" si="3"/>
        <v>0</v>
      </c>
      <c r="L20" s="274">
        <f t="shared" si="4"/>
        <v>569.80999999999995</v>
      </c>
      <c r="M20" s="2572">
        <f t="shared" ref="M20:M26" si="8">K20+L20</f>
        <v>569.80999999999995</v>
      </c>
      <c r="N20" s="2573"/>
      <c r="O20" s="2574"/>
      <c r="P20" s="2575">
        <f t="shared" ref="P20:P26" si="9">N20+O20</f>
        <v>0</v>
      </c>
      <c r="R20" s="274">
        <f t="shared" si="5"/>
        <v>1984.16</v>
      </c>
      <c r="S20" s="2285">
        <f t="shared" si="5"/>
        <v>6274.6</v>
      </c>
    </row>
    <row r="21" spans="1:19">
      <c r="A21" s="137"/>
      <c r="B21" s="114" t="s">
        <v>226</v>
      </c>
      <c r="C21" s="2974" t="s">
        <v>3289</v>
      </c>
      <c r="D21" s="110">
        <f t="shared" si="1"/>
        <v>2327.9699999999998</v>
      </c>
      <c r="E21" s="133">
        <f t="shared" si="2"/>
        <v>7361.87</v>
      </c>
      <c r="F21" s="134"/>
      <c r="G21" s="1363">
        <f>'数据-基础表'!O5</f>
        <v>7361.87</v>
      </c>
      <c r="H21" s="973">
        <f t="shared" si="6"/>
        <v>0</v>
      </c>
      <c r="I21" s="115">
        <f t="shared" si="7"/>
        <v>0</v>
      </c>
      <c r="J21" s="1968"/>
      <c r="K21" s="2571">
        <f t="shared" si="3"/>
        <v>0</v>
      </c>
      <c r="L21" s="274">
        <f t="shared" si="4"/>
        <v>0</v>
      </c>
      <c r="M21" s="2572">
        <f t="shared" si="8"/>
        <v>0</v>
      </c>
      <c r="N21" s="2573"/>
      <c r="O21" s="2574"/>
      <c r="P21" s="2575">
        <f t="shared" si="9"/>
        <v>0</v>
      </c>
      <c r="R21" s="274">
        <f t="shared" si="5"/>
        <v>2327.9699999999998</v>
      </c>
      <c r="S21" s="2285">
        <f t="shared" si="5"/>
        <v>7361.87</v>
      </c>
    </row>
    <row r="22" spans="1:19">
      <c r="A22" s="137"/>
      <c r="B22" s="114" t="s">
        <v>226</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226</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226</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226</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226</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29.25" thickBot="1">
      <c r="A27" s="137"/>
      <c r="B27" s="110"/>
      <c r="C27" s="126" t="s">
        <v>215</v>
      </c>
      <c r="D27" s="133">
        <f>SUM(D19:D26)</f>
        <v>8027.66</v>
      </c>
      <c r="E27" s="142">
        <f>IF(SUM(E19:E26)='数据-基础表'!BA5,SUM(E19:E26),IF(F27="地上面积有误","面积有误","地下面积有误"))</f>
        <v>25386.34</v>
      </c>
      <c r="F27" s="133">
        <f>IF(SUM(F19:F26)=E8,SUM(F19:F26),"地上面积有误")</f>
        <v>12319.68</v>
      </c>
      <c r="G27" s="111">
        <f>SUM(G19:G26)</f>
        <v>13066.66</v>
      </c>
      <c r="H27" s="974">
        <f>SUM(H19:H26)</f>
        <v>569.30999999999995</v>
      </c>
      <c r="I27" s="975">
        <f>SUM(I19:I26)</f>
        <v>1800.34</v>
      </c>
      <c r="J27" s="1968"/>
      <c r="K27" s="2580">
        <f>SUM(K19:K26)</f>
        <v>0</v>
      </c>
      <c r="L27" s="2581">
        <f>SUM(L19:L26)</f>
        <v>1800.34</v>
      </c>
      <c r="M27" s="2582">
        <f>SUM(M19:M26)</f>
        <v>1800.34</v>
      </c>
      <c r="N27" s="2580">
        <f t="shared" ref="N27:O27" si="10">SUM(N19:N26)</f>
        <v>0</v>
      </c>
      <c r="O27" s="2581">
        <f t="shared" si="10"/>
        <v>0</v>
      </c>
      <c r="P27" s="2583">
        <f>SUM(P19:P26)</f>
        <v>0</v>
      </c>
      <c r="R27" s="2289" t="str">
        <f>IF(SUM(R19:R26)=$D$3,SUM(R19:R26),SUM(R19:R26)&amp;"误差"&amp;ROUND(SUM(R19:R26)-$D$3,2))</f>
        <v>8596.97误差0.01</v>
      </c>
      <c r="S27" s="274">
        <f>IF(SUM(S19:S26)=$E$3,SUM(S19:S26),SUM(S19:S26)&amp;"误差"&amp;ROUND(SUM(S19:S26)-E3,2))</f>
        <v>27186.68</v>
      </c>
    </row>
    <row r="28" spans="1:19">
      <c r="A28" s="137"/>
      <c r="B28" s="114" t="s">
        <v>227</v>
      </c>
      <c r="C28" s="135" t="s">
        <v>228</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227</v>
      </c>
      <c r="C29" s="2297" t="s">
        <v>2320</v>
      </c>
      <c r="D29" s="110">
        <f>ROUND($D$3*E29/$E$3,2)</f>
        <v>569.29999999999995</v>
      </c>
      <c r="E29" s="133">
        <f>SUM(F29:G29)</f>
        <v>1800.34</v>
      </c>
      <c r="F29" s="143">
        <f>'数据-基础表'!BM5+'数据-基础表'!BO5</f>
        <v>1800.34</v>
      </c>
      <c r="G29" s="145">
        <f>'数据-基础表'!BN5+'数据-基础表'!BP5</f>
        <v>0</v>
      </c>
      <c r="H29" s="1968"/>
      <c r="I29" s="1968"/>
      <c r="J29" s="1968"/>
      <c r="K29" s="1968"/>
      <c r="L29" s="1968"/>
    </row>
    <row r="30" spans="1:19">
      <c r="A30" s="137"/>
      <c r="B30" s="110"/>
      <c r="C30" s="146" t="s">
        <v>215</v>
      </c>
      <c r="D30" s="133">
        <f>SUM(D28:D29)</f>
        <v>569.29999999999995</v>
      </c>
      <c r="E30" s="133">
        <f>SUM(E28:E29)</f>
        <v>1800.34</v>
      </c>
      <c r="F30" s="133">
        <f>SUM(F28:F29)</f>
        <v>1800.34</v>
      </c>
      <c r="G30" s="111">
        <f>SUM(G28:G29)</f>
        <v>0</v>
      </c>
      <c r="H30" s="1968"/>
      <c r="I30" s="1968"/>
      <c r="J30" s="1968"/>
      <c r="K30" s="1968"/>
      <c r="L30" s="1968"/>
    </row>
    <row r="31" spans="1:19" ht="32.25" customHeight="1" thickBot="1">
      <c r="A31" s="1365"/>
      <c r="B31" s="1366" t="s">
        <v>229</v>
      </c>
      <c r="C31" s="2314" t="s">
        <v>2322</v>
      </c>
      <c r="D31" s="1367">
        <f>D27+D30</f>
        <v>8596.9599999999991</v>
      </c>
      <c r="E31" s="1367">
        <f>E27+E30</f>
        <v>27186.68</v>
      </c>
      <c r="F31" s="1368">
        <f>F27+F30</f>
        <v>14120.02</v>
      </c>
      <c r="G31" s="1369">
        <f>G27+G30</f>
        <v>13066.66</v>
      </c>
      <c r="H31" s="1968"/>
      <c r="I31" s="1968"/>
      <c r="J31" s="1968"/>
      <c r="K31" s="1968"/>
      <c r="L31" s="1968"/>
    </row>
    <row r="32" spans="1:19">
      <c r="A32" s="1968"/>
      <c r="B32" s="2326" t="s">
        <v>2321</v>
      </c>
      <c r="C32" s="2609"/>
      <c r="D32" s="1196"/>
      <c r="E32" s="1196">
        <f>SUMIF(C19:C26,"*住宅*",E19:E26)</f>
        <v>18024.47</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235</v>
      </c>
      <c r="B2" s="2322">
        <f>项目基本情况!D3</f>
        <v>43754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2827</v>
      </c>
      <c r="O5" s="162" t="s">
        <v>246</v>
      </c>
      <c r="P5" s="164" t="s">
        <v>247</v>
      </c>
      <c r="Q5" s="165" t="s">
        <v>248</v>
      </c>
      <c r="R5" s="166" t="s">
        <v>249</v>
      </c>
      <c r="S5" s="2584" t="s">
        <v>2572</v>
      </c>
      <c r="T5" s="167" t="s">
        <v>250</v>
      </c>
      <c r="U5" s="168" t="s">
        <v>251</v>
      </c>
      <c r="V5" s="158" t="s">
        <v>252</v>
      </c>
      <c r="W5" s="158" t="s">
        <v>253</v>
      </c>
      <c r="X5" s="1802"/>
      <c r="Y5" s="169" t="s">
        <v>254</v>
      </c>
      <c r="Z5" s="170" t="s">
        <v>255</v>
      </c>
      <c r="AA5" s="158" t="s">
        <v>252</v>
      </c>
      <c r="AB5" s="158" t="s">
        <v>253</v>
      </c>
      <c r="AC5" s="1803"/>
      <c r="AD5" s="171" t="s">
        <v>254</v>
      </c>
      <c r="AE5" s="1" t="s">
        <v>870</v>
      </c>
      <c r="AF5" s="158" t="s">
        <v>256</v>
      </c>
      <c r="AG5" s="169" t="s">
        <v>257</v>
      </c>
      <c r="AH5" s="1803" t="s">
        <v>2323</v>
      </c>
      <c r="AI5" s="170" t="s">
        <v>2292</v>
      </c>
      <c r="AJ5" s="170" t="s">
        <v>258</v>
      </c>
      <c r="AK5" s="158" t="s">
        <v>259</v>
      </c>
      <c r="AL5" s="158" t="s">
        <v>260</v>
      </c>
      <c r="AM5" s="171"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地上住宅</v>
      </c>
      <c r="B6" s="2321" t="str">
        <f>IF(A6=0,"","经营性")</f>
        <v>经营性</v>
      </c>
      <c r="C6" s="172" t="s">
        <v>923</v>
      </c>
      <c r="D6" s="2292">
        <f>SUMIF(项目基本情况!D$15:I$15,C6,项目基本情况!D$18:I$18)</f>
        <v>70</v>
      </c>
      <c r="E6" s="2293">
        <f>IF(B6="","",SUMIF(项目基本情况!D$15:I$15,C6,项目基本情况!D$17:I$17))</f>
        <v>68191</v>
      </c>
      <c r="F6" s="173">
        <f>SUMIF(项目基本情况!D$15:I$15,C6,项目基本情况!D$19:I$19)</f>
        <v>66.95</v>
      </c>
      <c r="G6" s="174">
        <f>IF(ISERROR(ROUND(POWER(1+H6,D6-F6)*(POWER(1+H6,F6)-1)/(POWER(1+H6,D6)-1),3)),0,ROUND(POWER(1+H6,D6-F6)*(POWER(1+H6,F6)-1)/(POWER(1+H6,D6)-1),3))</f>
        <v>0.99299999999999999</v>
      </c>
      <c r="H6" s="3200">
        <v>4.4999999999999998E-2</v>
      </c>
      <c r="I6" s="3200">
        <v>0.05</v>
      </c>
      <c r="J6" s="175">
        <v>8.5000000000000006E-2</v>
      </c>
      <c r="K6" s="178">
        <f>SUMIF('数据-汇总表'!C$19:C$33,'数据-取费表'!A6,'数据-汇总表'!E$19:E$33)</f>
        <v>12319.68</v>
      </c>
      <c r="L6" s="2976">
        <v>2500</v>
      </c>
      <c r="M6" s="176">
        <f t="shared" ref="M6:M14" si="0">ROUND(K6*L6/10000,0)</f>
        <v>3080</v>
      </c>
      <c r="N6" s="2977">
        <v>0</v>
      </c>
      <c r="O6" s="176">
        <f>IF($N$5="成新度","——",ROUND(M6*N6,0))</f>
        <v>0</v>
      </c>
      <c r="P6" s="177">
        <f>IF($N$5="成新度","——",M6-O6)</f>
        <v>3080</v>
      </c>
      <c r="Q6" s="2978">
        <v>0.15</v>
      </c>
      <c r="R6" s="178">
        <f>SUMIF('数据-汇总表'!C$19:C$33,A6,'数据-汇总表'!R$19:R$33)</f>
        <v>4284.84</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1.4999999999999999E-2</v>
      </c>
      <c r="AL6" s="189">
        <v>1.5E-3</v>
      </c>
      <c r="AM6" s="2989">
        <v>0.01</v>
      </c>
      <c r="AN6" s="2355"/>
      <c r="AO6" s="1984"/>
      <c r="AP6" s="1199">
        <f>ROUND(1-1/(1+H6)^F6,3)</f>
        <v>0.94699999999999995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地下住宅</v>
      </c>
      <c r="B7" s="2321" t="str">
        <f t="shared" ref="B7:B13" si="1">IF(A7=0,"","经营性")</f>
        <v>经营性</v>
      </c>
      <c r="C7" s="172" t="s">
        <v>923</v>
      </c>
      <c r="D7" s="2292">
        <f>SUMIF(项目基本情况!D$15:I$15,C7,项目基本情况!D$18:I$18)</f>
        <v>70</v>
      </c>
      <c r="E7" s="2293">
        <f>IF(B7="","",SUMIF(项目基本情况!D$15:I$15,C7,项目基本情况!D$17:I$17))</f>
        <v>68191</v>
      </c>
      <c r="F7" s="173">
        <f>SUMIF(项目基本情况!D$15:I$15,C7,项目基本情况!D$19:I$19)</f>
        <v>66.95</v>
      </c>
      <c r="G7" s="174">
        <f t="shared" ref="G7:G11" si="2">IF(ISERROR(ROUND(POWER(1+H7,D7-F7)*(POWER(1+H7,F7)-1)/(POWER(1+H7,D7)-1),3)),0,ROUND(POWER(1+H7,D7-F7)*(POWER(1+H7,F7)-1)/(POWER(1+H7,D7)-1),3))</f>
        <v>0.99299999999999999</v>
      </c>
      <c r="H7" s="3198">
        <v>4.4999999999999998E-2</v>
      </c>
      <c r="I7" s="3200">
        <v>0.05</v>
      </c>
      <c r="J7" s="175">
        <v>8.5000000000000006E-2</v>
      </c>
      <c r="K7" s="178">
        <f>SUMIF('数据-汇总表'!C$19:C$33,'数据-取费表'!A7,'数据-汇总表'!E$19:E$33)</f>
        <v>5704.79</v>
      </c>
      <c r="L7" s="2976">
        <v>1800</v>
      </c>
      <c r="M7" s="176">
        <f t="shared" si="0"/>
        <v>1027</v>
      </c>
      <c r="N7" s="2977">
        <v>0</v>
      </c>
      <c r="O7" s="176">
        <f t="shared" ref="O7:O14" si="3">IF($N$5="成新度","——",ROUND(M7*N7,0))</f>
        <v>0</v>
      </c>
      <c r="P7" s="177">
        <f t="shared" ref="P7:P14" si="4">IF($N$5="成新度","——",M7-O7)</f>
        <v>1027</v>
      </c>
      <c r="Q7" s="2978">
        <v>0.15</v>
      </c>
      <c r="R7" s="178">
        <f>SUMIF('数据-汇总表'!C$19:C$33,A7,'数据-汇总表'!R$19:R$33)</f>
        <v>1984.16</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3206"/>
      <c r="V7" s="3207"/>
      <c r="W7" s="3207"/>
      <c r="X7" s="2305"/>
      <c r="Y7" s="181"/>
      <c r="Z7" s="182"/>
      <c r="AA7" s="175"/>
      <c r="AB7" s="175"/>
      <c r="AC7" s="2308"/>
      <c r="AD7" s="183"/>
      <c r="AE7" s="971">
        <f t="shared" ref="AE7:AE13" ca="1" si="6">IF(AN7="",0,SUMIF(INDIRECT("'"&amp;AN7&amp;"'"&amp;"!E:E"),$AE$5,INDIRECT("'"&amp;AN7&amp;"'"&amp;"!F:F")))</f>
        <v>0</v>
      </c>
      <c r="AF7" s="140"/>
      <c r="AG7" s="1208">
        <f t="shared" ref="AG7:AG13" si="7">IF(AF7="",0,AE7-AF7)</f>
        <v>0</v>
      </c>
      <c r="AH7" s="140"/>
      <c r="AI7" s="186">
        <v>365</v>
      </c>
      <c r="AJ7" s="187"/>
      <c r="AK7" s="188">
        <v>1.4999999999999999E-2</v>
      </c>
      <c r="AL7" s="189">
        <v>1.5E-3</v>
      </c>
      <c r="AM7" s="2353">
        <v>0.01</v>
      </c>
      <c r="AN7" s="2355"/>
      <c r="AO7" s="1984"/>
      <c r="AP7" s="1199">
        <f t="shared" ref="AP7:AP13" si="8">ROUND(1-1/(1+H7)^F7,3)</f>
        <v>0.94699999999999995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2" t="s">
        <v>3007</v>
      </c>
      <c r="D8" s="2292">
        <f>SUMIF(项目基本情况!D$15:I$15,C8,项目基本情况!D$18:I$18)</f>
        <v>50</v>
      </c>
      <c r="E8" s="2293">
        <f>IF(B8="","",SUMIF(项目基本情况!D$15:I$15,C8,项目基本情况!D$17:I$17))</f>
        <v>60886</v>
      </c>
      <c r="F8" s="173">
        <f>SUMIF(项目基本情况!D$15:I$15,C8,项目基本情况!D$19:I$19)</f>
        <v>46.93</v>
      </c>
      <c r="G8" s="174">
        <f t="shared" si="2"/>
        <v>0.97899999999999998</v>
      </c>
      <c r="H8" s="2975">
        <v>0.04</v>
      </c>
      <c r="I8" s="2975">
        <v>4.4999999999999998E-2</v>
      </c>
      <c r="J8" s="175">
        <v>8.5000000000000006E-2</v>
      </c>
      <c r="K8" s="178">
        <f>SUMIF('数据-汇总表'!C$19:C$33,'数据-取费表'!A8,'数据-汇总表'!E$19:E$33)</f>
        <v>7361.87</v>
      </c>
      <c r="L8" s="2976">
        <v>1800</v>
      </c>
      <c r="M8" s="176">
        <f>ROUND(K8*L8/10000,0)</f>
        <v>1325</v>
      </c>
      <c r="N8" s="2977">
        <v>0</v>
      </c>
      <c r="O8" s="176">
        <f t="shared" si="3"/>
        <v>0</v>
      </c>
      <c r="P8" s="177">
        <f t="shared" si="4"/>
        <v>1325</v>
      </c>
      <c r="Q8" s="2978">
        <v>0.05</v>
      </c>
      <c r="R8" s="178">
        <f>SUMIF('数据-汇总表'!C$19:C$33,A8,'数据-汇总表'!R$19:R$33)</f>
        <v>2327.9699999999998</v>
      </c>
      <c r="S8" s="131">
        <f>IF('数据-汇总表'!$I$17="按面积比例",SUMIF('数据-汇总表'!C$19:C$33,A8,'数据-汇总表'!K$19:K$33),SUMIF('数据-汇总表'!C$19:C$33,A8,'数据-汇总表'!N$19:N$33))</f>
        <v>0</v>
      </c>
      <c r="T8" s="2218" t="str">
        <f t="shared" si="5"/>
        <v>0</v>
      </c>
      <c r="U8" s="3194">
        <v>0.5</v>
      </c>
      <c r="V8" s="180">
        <v>1.4999999999999999E-2</v>
      </c>
      <c r="W8" s="180">
        <v>0.1</v>
      </c>
      <c r="X8" s="2305"/>
      <c r="Y8" s="181">
        <v>1</v>
      </c>
      <c r="Z8" s="182"/>
      <c r="AA8" s="175"/>
      <c r="AB8" s="175"/>
      <c r="AC8" s="2308"/>
      <c r="AD8" s="183"/>
      <c r="AE8" s="971">
        <f t="shared" ca="1" si="6"/>
        <v>45.43</v>
      </c>
      <c r="AF8" s="140"/>
      <c r="AG8" s="1208">
        <f t="shared" si="7"/>
        <v>0</v>
      </c>
      <c r="AH8" s="140"/>
      <c r="AI8" s="186">
        <v>365</v>
      </c>
      <c r="AJ8" s="187"/>
      <c r="AK8" s="188">
        <v>1.4999999999999999E-2</v>
      </c>
      <c r="AL8" s="189">
        <v>1.5E-3</v>
      </c>
      <c r="AM8" s="2353">
        <v>0.01</v>
      </c>
      <c r="AN8" s="2355" t="s">
        <v>3022</v>
      </c>
      <c r="AO8" s="1984"/>
      <c r="AP8" s="1199">
        <f t="shared" si="8"/>
        <v>0.84099999999999997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2314</v>
      </c>
      <c r="B14" s="2290" t="s">
        <v>1679</v>
      </c>
      <c r="C14" s="2291" t="s">
        <v>2314</v>
      </c>
      <c r="D14" s="2292"/>
      <c r="E14" s="2293"/>
      <c r="F14" s="173"/>
      <c r="G14" s="174"/>
      <c r="H14" s="2294"/>
      <c r="I14" s="2294"/>
      <c r="J14" s="2294"/>
      <c r="K14" s="178">
        <f>SUMIF('数据-汇总表'!C$19:C$33,'数据-取费表'!A14,'数据-汇总表'!E$19:E$33)</f>
        <v>0</v>
      </c>
      <c r="L14" s="192">
        <v>1800</v>
      </c>
      <c r="M14" s="176">
        <f t="shared" si="0"/>
        <v>0</v>
      </c>
      <c r="N14" s="193">
        <v>0</v>
      </c>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2316</v>
      </c>
      <c r="B15" s="2290" t="s">
        <v>1679</v>
      </c>
      <c r="C15" s="2291" t="s">
        <v>2315</v>
      </c>
      <c r="D15" s="2292"/>
      <c r="E15" s="2293"/>
      <c r="F15" s="173"/>
      <c r="G15" s="174"/>
      <c r="H15" s="2294"/>
      <c r="I15" s="2294"/>
      <c r="J15" s="2294"/>
      <c r="K15" s="178">
        <f>SUMIF('数据-汇总表'!C$19:C$33,'数据-取费表'!A15,'数据-汇总表'!E$19:E$33)</f>
        <v>1800.34</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262</v>
      </c>
      <c r="B16" s="198"/>
      <c r="C16" s="199"/>
      <c r="D16" s="200"/>
      <c r="E16" s="198"/>
      <c r="F16" s="198"/>
      <c r="G16" s="201">
        <f>ROUND(SUMPRODUCT(G6:G13,K6:K13)/SUMPRODUCT((G6:G13&gt;0)*(K6:K13)),3)</f>
        <v>0.98899999999999999</v>
      </c>
      <c r="H16" s="202">
        <f>ROUND(SUMPRODUCT(H6:H13,K6:K13)/SUMPRODUCT((H6:H13&gt;0)*(K6:K13)),3)</f>
        <v>4.3999999999999997E-2</v>
      </c>
      <c r="I16" s="203"/>
      <c r="J16" s="203"/>
      <c r="K16" s="204">
        <f>SUM(K6:K15)</f>
        <v>27186.68</v>
      </c>
      <c r="L16" s="205">
        <f>ROUND(M16*10000/SUM(K6:K14),0)</f>
        <v>2140</v>
      </c>
      <c r="M16" s="205">
        <f>SUM(M6:M14)</f>
        <v>5432</v>
      </c>
      <c r="N16" s="206">
        <f>ROUND(SUMPRODUCT(M6:M14,N6:N14)/M16,3)</f>
        <v>0</v>
      </c>
      <c r="O16" s="205">
        <f>SUM(O6:O14)</f>
        <v>0</v>
      </c>
      <c r="P16" s="205">
        <f>SUM(P6:P14)</f>
        <v>5432</v>
      </c>
      <c r="Q16" s="207">
        <f>ROUND(SUMPRODUCT(Q6:Q13,K6:K13)/SUMPRODUCT((Q6:Q13&gt;0)*(K6:K13)),2)</f>
        <v>0.12</v>
      </c>
      <c r="R16" s="2295">
        <f>SUM(R6:R13)</f>
        <v>8596.9699999999993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0.91600000000000004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264</v>
      </c>
      <c r="B19" s="217">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265</v>
      </c>
      <c r="B20" s="219">
        <v>1.5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266</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267</v>
      </c>
      <c r="B22" s="221">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268</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269</v>
      </c>
      <c r="B24" s="223">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270</v>
      </c>
      <c r="B26" s="224"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2338</v>
      </c>
      <c r="B27" s="226">
        <v>105</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2339</v>
      </c>
      <c r="B28" s="228">
        <v>105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2337</v>
      </c>
      <c r="B29" s="231">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273</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274</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279</v>
      </c>
      <c r="B34" s="232">
        <v>0.02</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276</v>
      </c>
      <c r="B35" s="228">
        <v>150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277</v>
      </c>
      <c r="B36" s="233">
        <v>1.4999999999999999E-2</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280</v>
      </c>
      <c r="B37" s="235">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281</v>
      </c>
      <c r="B38" s="232">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282</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3"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0.03</v>
      </c>
      <c r="C48" s="3024"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4"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294</v>
      </c>
      <c r="B53" s="250" t="s">
        <v>1409</v>
      </c>
      <c r="C53" s="3025" t="s">
        <v>2904</v>
      </c>
      <c r="D53" s="3026"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2906</v>
      </c>
      <c r="B54" s="185"/>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2907</v>
      </c>
      <c r="B55" s="185"/>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2908</v>
      </c>
      <c r="B56" s="185"/>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2909</v>
      </c>
      <c r="B57" s="185"/>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2910</v>
      </c>
      <c r="B58" s="185"/>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2911</v>
      </c>
      <c r="B59" s="185">
        <v>5</v>
      </c>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2912</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2913</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2914</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1" sqref="F3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4" t="s">
        <v>1663</v>
      </c>
      <c r="B1" s="3295"/>
      <c r="C1" s="3295"/>
      <c r="D1" s="3295"/>
      <c r="E1" s="3295"/>
      <c r="F1" s="3295"/>
      <c r="G1" s="3295"/>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7">
      <c r="A3" s="1222" t="s">
        <v>1666</v>
      </c>
      <c r="B3" s="1223" t="s">
        <v>1653</v>
      </c>
      <c r="C3" s="3030" t="s">
        <v>3215</v>
      </c>
      <c r="D3" s="1993"/>
      <c r="E3" s="1224" t="s">
        <v>1666</v>
      </c>
      <c r="F3" s="1225" t="s">
        <v>1654</v>
      </c>
      <c r="G3" s="3034" t="s">
        <v>2920</v>
      </c>
      <c r="H3" s="1992"/>
      <c r="I3" s="1992"/>
      <c r="J3" s="1992"/>
      <c r="K3" s="1992"/>
      <c r="L3" s="1992"/>
      <c r="M3" s="1992"/>
      <c r="N3" s="1992"/>
      <c r="O3" s="1992"/>
      <c r="P3" s="1992"/>
      <c r="Q3" s="1992"/>
      <c r="R3" s="1992"/>
    </row>
    <row r="4" spans="1:18" ht="57">
      <c r="A4" s="1224"/>
      <c r="B4" s="1226" t="s">
        <v>1667</v>
      </c>
      <c r="C4" s="3031" t="s">
        <v>3216</v>
      </c>
      <c r="D4" s="1993"/>
      <c r="E4" s="1227"/>
      <c r="F4" s="1228" t="s">
        <v>1668</v>
      </c>
      <c r="G4" s="3032" t="s">
        <v>2917</v>
      </c>
      <c r="H4" s="1992"/>
      <c r="I4" s="1992"/>
      <c r="J4" s="1992"/>
      <c r="K4" s="1992"/>
      <c r="L4" s="1992"/>
      <c r="M4" s="1992"/>
      <c r="N4" s="1992"/>
      <c r="O4" s="1992"/>
      <c r="P4" s="1992"/>
      <c r="Q4" s="1992"/>
      <c r="R4" s="1992"/>
    </row>
    <row r="5" spans="1:18" ht="27">
      <c r="A5" s="1224"/>
      <c r="B5" s="1226" t="s">
        <v>1669</v>
      </c>
      <c r="C5" s="3031"/>
      <c r="D5" s="1993"/>
      <c r="E5" s="1227"/>
      <c r="F5" s="1226" t="s">
        <v>2546</v>
      </c>
      <c r="G5" s="3032" t="s">
        <v>2918</v>
      </c>
      <c r="H5" s="1992"/>
      <c r="I5" s="1992"/>
      <c r="J5" s="1992"/>
      <c r="K5" s="1992"/>
      <c r="L5" s="1992"/>
      <c r="M5" s="1992"/>
      <c r="N5" s="1992"/>
      <c r="O5" s="1992"/>
      <c r="P5" s="1992"/>
      <c r="Q5" s="1992"/>
      <c r="R5" s="1992"/>
    </row>
    <row r="6" spans="1:18" ht="57">
      <c r="A6" s="1224"/>
      <c r="B6" s="1226" t="s">
        <v>1655</v>
      </c>
      <c r="C6" s="3032" t="s">
        <v>3217</v>
      </c>
      <c r="D6" s="1993"/>
      <c r="E6" s="1227"/>
      <c r="F6" s="1226" t="s">
        <v>2547</v>
      </c>
      <c r="G6" s="3032" t="s">
        <v>2916</v>
      </c>
      <c r="H6" s="1992"/>
      <c r="I6" s="1992"/>
      <c r="J6" s="1992"/>
      <c r="K6" s="1992"/>
      <c r="L6" s="1992"/>
      <c r="M6" s="1992"/>
      <c r="N6" s="1992"/>
      <c r="O6" s="1992"/>
      <c r="P6" s="1992"/>
      <c r="Q6" s="1992"/>
      <c r="R6" s="1992"/>
    </row>
    <row r="7" spans="1:18" ht="41.25" thickBot="1">
      <c r="A7" s="1224"/>
      <c r="B7" s="1226" t="s">
        <v>2546</v>
      </c>
      <c r="C7" s="3032" t="s">
        <v>3218</v>
      </c>
      <c r="D7" s="1994"/>
      <c r="E7" s="1229"/>
      <c r="F7" s="1230" t="s">
        <v>1670</v>
      </c>
      <c r="G7" s="3035" t="s">
        <v>2919</v>
      </c>
      <c r="H7" s="1992"/>
      <c r="I7" s="1992"/>
      <c r="J7" s="1992"/>
      <c r="K7" s="1992"/>
      <c r="L7" s="1992"/>
      <c r="M7" s="1992"/>
      <c r="N7" s="1992"/>
      <c r="O7" s="1992"/>
      <c r="P7" s="1992"/>
      <c r="Q7" s="1992"/>
      <c r="R7" s="1992"/>
    </row>
    <row r="8" spans="1:18" ht="28.5">
      <c r="A8" s="1224"/>
      <c r="B8" s="1226" t="s">
        <v>2547</v>
      </c>
      <c r="C8" s="3032" t="s">
        <v>3219</v>
      </c>
      <c r="D8" s="1994"/>
      <c r="E8" s="1994"/>
      <c r="F8" s="1539"/>
      <c r="G8" s="1539"/>
      <c r="H8" s="1992"/>
      <c r="I8" s="1992"/>
      <c r="J8" s="1992"/>
      <c r="K8" s="1992"/>
      <c r="L8" s="1992"/>
      <c r="M8" s="1992"/>
      <c r="N8" s="1992"/>
      <c r="O8" s="1992"/>
      <c r="P8" s="1992"/>
      <c r="Q8" s="1992"/>
      <c r="R8" s="1992"/>
    </row>
    <row r="9" spans="1:18" ht="42.75">
      <c r="A9" s="1224"/>
      <c r="B9" s="1226" t="s">
        <v>1656</v>
      </c>
      <c r="C9" s="3031" t="s">
        <v>3220</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3221</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67.5">
      <c r="A15" s="2551" t="s">
        <v>1657</v>
      </c>
      <c r="B15" s="1237" t="s">
        <v>1653</v>
      </c>
      <c r="C15" s="1238" t="str">
        <f>C3</f>
        <v>估价对象周边居住用地比例较大、居住小区规模较大，社区发展较完善，综合评价居住社区成熟度较好</v>
      </c>
      <c r="D15" s="1993"/>
      <c r="E15" s="2548" t="s">
        <v>1658</v>
      </c>
      <c r="F15" s="1237" t="s">
        <v>1673</v>
      </c>
      <c r="G15" s="1239" t="str">
        <f>G3</f>
        <v>估价对象位于XX开发区，园区建设成熟度XX，产业集聚程度XX</v>
      </c>
    </row>
    <row r="16" spans="1:18" ht="54">
      <c r="A16" s="2552"/>
      <c r="B16" s="1240" t="s">
        <v>1667</v>
      </c>
      <c r="C16" s="1241" t="str">
        <f>C4</f>
        <v>估价对象周边有悠方商业综合体，天虹百货等，商业氛围较成熟，人流量较大，商业繁华度较好</v>
      </c>
      <c r="D16" s="1993"/>
      <c r="E16" s="2549"/>
      <c r="F16" s="1242" t="s">
        <v>1668</v>
      </c>
      <c r="G16" s="1004" t="str">
        <f>G4</f>
        <v>估价对象周边道路状况、公共交通通达情况、停车便捷程度，综合评价交通便捷度较好</v>
      </c>
    </row>
    <row r="17" spans="1:7" ht="14.25">
      <c r="A17" s="2552"/>
      <c r="B17" s="1240" t="s">
        <v>1669</v>
      </c>
      <c r="C17" s="1241">
        <f>C5</f>
        <v>0</v>
      </c>
      <c r="D17" s="1994"/>
      <c r="E17" s="2549"/>
      <c r="F17" s="1242" t="s">
        <v>1674</v>
      </c>
      <c r="G17" s="2748"/>
    </row>
    <row r="18" spans="1:7" ht="54">
      <c r="A18" s="2552"/>
      <c r="B18" s="1242" t="s">
        <v>1655</v>
      </c>
      <c r="C18" s="1004" t="str">
        <f>C6</f>
        <v>估价对象周边道路通达、公共交通便捷、停车便捷，临近1号线金枫路站，综合评价交通便捷度较好</v>
      </c>
      <c r="D18" s="1994"/>
      <c r="E18" s="2549"/>
      <c r="F18" s="1242" t="s">
        <v>1670</v>
      </c>
      <c r="G18" s="1004" t="str">
        <f>G7</f>
        <v>该园区内是否有污染型企业，绿化情况，卫生条件，整体环境状况判断</v>
      </c>
    </row>
    <row r="19" spans="1:7" ht="27">
      <c r="A19" s="2552"/>
      <c r="B19" s="1242" t="s">
        <v>1659</v>
      </c>
      <c r="C19" s="3188" t="s">
        <v>3222</v>
      </c>
      <c r="D19" s="1993"/>
      <c r="E19" s="2549"/>
      <c r="F19" s="1226" t="s">
        <v>2546</v>
      </c>
      <c r="G19" s="1004" t="str">
        <f>G5</f>
        <v>估价对象所在区域公共配套设施齐备情况</v>
      </c>
    </row>
    <row r="20" spans="1:7" ht="40.5">
      <c r="A20" s="2552"/>
      <c r="B20" s="1242" t="s">
        <v>1660</v>
      </c>
      <c r="C20" s="1241" t="str">
        <f>C9</f>
        <v>区域自然环境较好；人文环境较好；综合评价环境状况较好</v>
      </c>
      <c r="D20" s="1994"/>
      <c r="E20" s="2549"/>
      <c r="F20" s="1226" t="s">
        <v>2547</v>
      </c>
      <c r="G20" s="1004" t="str">
        <f>G6</f>
        <v>估价对象所在区域基础设施水平</v>
      </c>
    </row>
    <row r="21" spans="1:7" ht="27">
      <c r="A21" s="2552"/>
      <c r="B21" s="1226" t="s">
        <v>2546</v>
      </c>
      <c r="C21" s="1004" t="str">
        <f>C7</f>
        <v>估价对象所在区域公共配套设施较齐备</v>
      </c>
      <c r="D21" s="1993"/>
      <c r="E21" s="2549"/>
      <c r="F21" s="1242" t="s">
        <v>1661</v>
      </c>
      <c r="G21" s="3036"/>
    </row>
    <row r="22" spans="1:7" ht="27">
      <c r="A22" s="2552"/>
      <c r="B22" s="1226" t="s">
        <v>2547</v>
      </c>
      <c r="C22" s="1004" t="str">
        <f>C8</f>
        <v>估价对象所在区域基础设施水平达六通</v>
      </c>
      <c r="D22" s="1993"/>
      <c r="E22" s="2549"/>
      <c r="F22" s="1242" t="s">
        <v>1671</v>
      </c>
      <c r="G22" s="2748"/>
    </row>
    <row r="23" spans="1:7" ht="15" thickBot="1">
      <c r="A23" s="2552"/>
      <c r="B23" s="1242" t="s">
        <v>1661</v>
      </c>
      <c r="C23" s="3036" t="s">
        <v>3223</v>
      </c>
      <c r="E23" s="2550"/>
      <c r="F23" s="1243" t="s">
        <v>1675</v>
      </c>
      <c r="G23" s="3037"/>
    </row>
    <row r="24" spans="1:7" ht="14.25" thickBot="1">
      <c r="A24" s="2553"/>
      <c r="B24" s="1243" t="s">
        <v>1662</v>
      </c>
      <c r="C24" s="1244" t="str">
        <f>C10</f>
        <v>主干道——中环西线</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27186.68</v>
      </c>
      <c r="C1" s="2995"/>
      <c r="D1" s="2995"/>
      <c r="E1" s="2995"/>
      <c r="F1" s="2995"/>
    </row>
    <row r="2" spans="1:9" ht="16.5">
      <c r="A2" s="2994" t="s">
        <v>2844</v>
      </c>
      <c r="B2" s="2994">
        <f>SUM(C14:C23)</f>
        <v>8596.9599999999991</v>
      </c>
      <c r="C2" s="2995"/>
      <c r="D2" s="2995"/>
      <c r="E2" s="2995"/>
      <c r="F2" s="2995"/>
    </row>
    <row r="3" spans="1:9" ht="16.5">
      <c r="A3" s="2994" t="s">
        <v>2845</v>
      </c>
      <c r="B3" s="2996">
        <f>项目基本情况!D3</f>
        <v>43754</v>
      </c>
      <c r="C3" s="2995"/>
      <c r="D3" s="2995"/>
      <c r="E3" s="2995"/>
      <c r="F3" s="2995"/>
    </row>
    <row r="4" spans="1:9" ht="33">
      <c r="A4" s="2994" t="s">
        <v>2846</v>
      </c>
      <c r="B4" s="2994" t="s">
        <v>2847</v>
      </c>
      <c r="C4" s="2994" t="s">
        <v>2848</v>
      </c>
      <c r="D4" s="2994" t="s">
        <v>2849</v>
      </c>
      <c r="E4" s="2995"/>
      <c r="F4" s="2995"/>
    </row>
    <row r="5" spans="1:9" ht="16.5">
      <c r="A5" s="2994" t="s">
        <v>2850</v>
      </c>
      <c r="B5" s="2994">
        <f ca="1">SUM(D14:D23)</f>
        <v>35587</v>
      </c>
      <c r="C5" s="2994">
        <f ca="1">ROUND(B5*10000/$B$1,0)</f>
        <v>13090</v>
      </c>
      <c r="D5" s="2994">
        <f ca="1">ROUND(B5*10000/$B$2,0)</f>
        <v>41395</v>
      </c>
      <c r="E5" s="2995"/>
      <c r="F5" s="2995"/>
    </row>
    <row r="6" spans="1:9" ht="16.5">
      <c r="A6" s="2994" t="s">
        <v>2851</v>
      </c>
      <c r="B6" s="2994">
        <f ca="1">SUM(G14:G23)</f>
        <v>35587</v>
      </c>
      <c r="C6" s="2994">
        <f t="shared" ref="C6:C8" ca="1" si="0">ROUND(B6*10000/$B$1,0)</f>
        <v>13090</v>
      </c>
      <c r="D6" s="2994">
        <f t="shared" ref="D6:D8" ca="1" si="1">ROUND(B6*10000/$B$2,0)</f>
        <v>41395</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27186.68</v>
      </c>
      <c r="C14" s="2998">
        <f>结果表!K38</f>
        <v>8596.9599999999991</v>
      </c>
      <c r="D14" s="2998">
        <f ca="1">结果表!C42</f>
        <v>35587</v>
      </c>
      <c r="E14" s="2998">
        <f ca="1">ROUND(D14*10000/B14,0)</f>
        <v>13090</v>
      </c>
      <c r="F14" s="2998">
        <f ca="1">ROUND(D14*10000/C14,0)</f>
        <v>41395</v>
      </c>
      <c r="G14" s="2998">
        <f ca="1">结果表!C44</f>
        <v>35587</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2055</v>
      </c>
      <c r="B1" s="1761"/>
      <c r="C1" s="1789" t="s">
        <v>2056</v>
      </c>
      <c r="D1" s="1790" t="s">
        <v>3264</v>
      </c>
      <c r="E1" s="1789" t="s">
        <v>2057</v>
      </c>
      <c r="F1" s="1791" t="s">
        <v>3265</v>
      </c>
      <c r="G1" s="310"/>
      <c r="H1" s="310"/>
      <c r="I1" s="310"/>
      <c r="J1" s="2013"/>
      <c r="K1" s="2013"/>
      <c r="L1" s="2013"/>
      <c r="M1" s="2013"/>
      <c r="N1" s="2013"/>
      <c r="O1" s="2013"/>
      <c r="P1" s="2013"/>
      <c r="Q1" s="2013"/>
      <c r="R1" s="2013"/>
      <c r="S1" s="2013"/>
      <c r="T1" s="2013"/>
      <c r="U1" s="2013"/>
      <c r="V1" s="2013"/>
    </row>
    <row r="2" spans="1:22" ht="21.75" customHeight="1" thickBot="1">
      <c r="A2" s="3332" t="str">
        <f>项目基本情况!K2</f>
        <v>出让国有建设用地使用权</v>
      </c>
      <c r="B2" s="3333"/>
      <c r="C2" s="3334"/>
      <c r="D2" s="3334"/>
      <c r="E2" s="3334"/>
      <c r="F2" s="3334"/>
      <c r="G2" s="3333"/>
      <c r="H2" s="3333"/>
      <c r="I2" s="3335"/>
      <c r="J2" s="2014"/>
      <c r="K2" s="2013"/>
      <c r="L2" s="2013"/>
      <c r="M2" s="2013"/>
      <c r="N2" s="2013"/>
      <c r="O2" s="2013"/>
      <c r="P2" s="2013"/>
      <c r="Q2" s="2013"/>
      <c r="R2" s="2013"/>
      <c r="S2" s="2013"/>
      <c r="T2" s="2013"/>
      <c r="U2" s="2013"/>
      <c r="V2" s="2013"/>
    </row>
    <row r="3" spans="1:22" ht="14.25">
      <c r="A3" s="3325" t="s">
        <v>298</v>
      </c>
      <c r="B3" s="3326"/>
      <c r="C3" s="3326"/>
      <c r="D3" s="3326"/>
      <c r="E3" s="3326"/>
      <c r="F3" s="3326"/>
      <c r="G3" s="3326"/>
      <c r="H3" s="3326"/>
      <c r="I3" s="3326"/>
      <c r="J3" s="2014"/>
      <c r="K3" s="2013"/>
      <c r="L3" s="2013"/>
      <c r="M3" s="2013"/>
      <c r="N3" s="2013"/>
      <c r="O3" s="2013"/>
      <c r="P3" s="2013"/>
      <c r="Q3" s="2013"/>
      <c r="R3" s="2013"/>
      <c r="S3" s="2013"/>
      <c r="T3" s="2013"/>
      <c r="U3" s="2013"/>
      <c r="V3" s="2013"/>
    </row>
    <row r="4" spans="1:22" ht="14.25">
      <c r="A4" s="257" t="s">
        <v>299</v>
      </c>
      <c r="B4" s="258" t="s">
        <v>300</v>
      </c>
      <c r="C4" s="259" t="s">
        <v>3262</v>
      </c>
      <c r="D4" s="259" t="s">
        <v>3263</v>
      </c>
      <c r="E4" s="3297" t="s">
        <v>301</v>
      </c>
      <c r="F4" s="3298"/>
      <c r="G4" s="3298"/>
      <c r="H4" s="3298"/>
      <c r="I4" s="3327"/>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6" t="s">
        <v>302</v>
      </c>
      <c r="B5" s="3322">
        <v>25</v>
      </c>
      <c r="C5" s="3320"/>
      <c r="D5" s="3324"/>
      <c r="E5" s="260" t="s">
        <v>303</v>
      </c>
      <c r="F5" s="261"/>
      <c r="G5" s="261"/>
      <c r="H5" s="261"/>
      <c r="I5" s="262"/>
      <c r="J5" s="2014"/>
      <c r="K5" s="2013"/>
      <c r="L5" s="2013"/>
      <c r="M5" s="2013"/>
      <c r="N5" s="2013"/>
      <c r="O5" s="2013"/>
      <c r="P5" s="2013"/>
      <c r="Q5" s="2013"/>
      <c r="R5" s="2013"/>
      <c r="S5" s="2013"/>
      <c r="T5" s="2013"/>
      <c r="U5" s="2013"/>
      <c r="V5" s="2013"/>
    </row>
    <row r="6" spans="1:22" ht="14.25">
      <c r="A6" s="3296"/>
      <c r="B6" s="3322"/>
      <c r="C6" s="3323"/>
      <c r="D6" s="3324"/>
      <c r="E6" s="260" t="s">
        <v>304</v>
      </c>
      <c r="F6" s="261"/>
      <c r="G6" s="261"/>
      <c r="H6" s="261"/>
      <c r="I6" s="262"/>
      <c r="J6" s="2014"/>
      <c r="K6" s="2013"/>
      <c r="L6" s="2013"/>
      <c r="M6" s="2013"/>
      <c r="N6" s="2013"/>
      <c r="O6" s="2013"/>
      <c r="P6" s="2013"/>
      <c r="Q6" s="2013"/>
      <c r="R6" s="2013"/>
      <c r="S6" s="2013"/>
      <c r="T6" s="2013"/>
      <c r="U6" s="2013"/>
      <c r="V6" s="2013"/>
    </row>
    <row r="7" spans="1:22" ht="14.25">
      <c r="A7" s="3296"/>
      <c r="B7" s="3322"/>
      <c r="C7" s="3321"/>
      <c r="D7" s="3324"/>
      <c r="E7" s="260" t="s">
        <v>305</v>
      </c>
      <c r="F7" s="261"/>
      <c r="G7" s="261"/>
      <c r="H7" s="261"/>
      <c r="I7" s="262"/>
      <c r="J7" s="2014"/>
      <c r="K7" s="2013"/>
      <c r="L7" s="2013"/>
      <c r="M7" s="2013"/>
      <c r="N7" s="2013"/>
      <c r="O7" s="2013"/>
      <c r="P7" s="2013"/>
      <c r="Q7" s="2013"/>
      <c r="R7" s="2013"/>
      <c r="S7" s="2013"/>
      <c r="T7" s="2013"/>
      <c r="U7" s="2013"/>
      <c r="V7" s="2013"/>
    </row>
    <row r="8" spans="1:22" ht="14.25">
      <c r="A8" s="3296" t="s">
        <v>306</v>
      </c>
      <c r="B8" s="3322">
        <v>15</v>
      </c>
      <c r="C8" s="3320"/>
      <c r="D8" s="3324"/>
      <c r="E8" s="260" t="s">
        <v>307</v>
      </c>
      <c r="F8" s="261"/>
      <c r="G8" s="261"/>
      <c r="H8" s="261"/>
      <c r="I8" s="262"/>
      <c r="J8" s="2014"/>
      <c r="K8" s="2013"/>
      <c r="L8" s="2013"/>
      <c r="M8" s="2013"/>
      <c r="N8" s="2013"/>
      <c r="O8" s="2013"/>
      <c r="P8" s="2013"/>
      <c r="Q8" s="2013"/>
      <c r="R8" s="2013"/>
      <c r="S8" s="2013"/>
      <c r="T8" s="2013"/>
      <c r="U8" s="2013"/>
      <c r="V8" s="2013"/>
    </row>
    <row r="9" spans="1:22" ht="14.25">
      <c r="A9" s="3296"/>
      <c r="B9" s="3322"/>
      <c r="C9" s="3321"/>
      <c r="D9" s="3324"/>
      <c r="E9" s="260" t="s">
        <v>308</v>
      </c>
      <c r="F9" s="261"/>
      <c r="G9" s="261"/>
      <c r="H9" s="261"/>
      <c r="I9" s="262"/>
      <c r="J9" s="2014"/>
      <c r="K9" s="2013"/>
      <c r="L9" s="2013"/>
      <c r="M9" s="2013"/>
      <c r="N9" s="2013"/>
      <c r="O9" s="2013"/>
      <c r="P9" s="2013"/>
      <c r="Q9" s="2013"/>
      <c r="R9" s="2013"/>
      <c r="S9" s="2013"/>
      <c r="T9" s="2013"/>
      <c r="U9" s="2013"/>
      <c r="V9" s="2013"/>
    </row>
    <row r="10" spans="1:22" ht="14.25">
      <c r="A10" s="3296" t="s">
        <v>309</v>
      </c>
      <c r="B10" s="3322">
        <v>15</v>
      </c>
      <c r="C10" s="3320"/>
      <c r="D10" s="3324"/>
      <c r="E10" s="260" t="s">
        <v>310</v>
      </c>
      <c r="F10" s="261"/>
      <c r="G10" s="261"/>
      <c r="H10" s="261"/>
      <c r="I10" s="262"/>
      <c r="J10" s="2014"/>
      <c r="K10" s="2013"/>
      <c r="L10" s="2013"/>
      <c r="M10" s="2013"/>
      <c r="N10" s="2013"/>
      <c r="O10" s="2013"/>
      <c r="P10" s="2013"/>
      <c r="Q10" s="2013"/>
      <c r="R10" s="2013"/>
      <c r="S10" s="2013"/>
      <c r="T10" s="2013"/>
      <c r="U10" s="2013"/>
      <c r="V10" s="2013"/>
    </row>
    <row r="11" spans="1:22" ht="14.25">
      <c r="A11" s="3296"/>
      <c r="B11" s="3322"/>
      <c r="C11" s="3321"/>
      <c r="D11" s="3324"/>
      <c r="E11" s="260" t="s">
        <v>311</v>
      </c>
      <c r="F11" s="261"/>
      <c r="G11" s="261"/>
      <c r="H11" s="261"/>
      <c r="I11" s="262"/>
      <c r="J11" s="2014"/>
      <c r="K11" s="2013"/>
      <c r="L11" s="2013"/>
      <c r="M11" s="2013"/>
      <c r="N11" s="2013"/>
      <c r="O11" s="2013"/>
      <c r="P11" s="2013"/>
      <c r="Q11" s="2013"/>
      <c r="R11" s="2013"/>
      <c r="S11" s="2013"/>
      <c r="T11" s="2013"/>
      <c r="U11" s="2013"/>
      <c r="V11" s="2013"/>
    </row>
    <row r="12" spans="1:22" ht="14.25">
      <c r="A12" s="3296" t="s">
        <v>312</v>
      </c>
      <c r="B12" s="3322">
        <v>15</v>
      </c>
      <c r="C12" s="3320"/>
      <c r="D12" s="3324"/>
      <c r="E12" s="260" t="s">
        <v>313</v>
      </c>
      <c r="F12" s="261"/>
      <c r="G12" s="261"/>
      <c r="H12" s="261"/>
      <c r="I12" s="262"/>
      <c r="J12" s="2014"/>
      <c r="K12" s="2013"/>
      <c r="L12" s="2013"/>
      <c r="M12" s="2013"/>
      <c r="N12" s="2013"/>
      <c r="O12" s="2013"/>
      <c r="P12" s="2013"/>
      <c r="Q12" s="2013"/>
      <c r="R12" s="2013"/>
      <c r="S12" s="2013"/>
      <c r="T12" s="2013"/>
      <c r="U12" s="2013"/>
      <c r="V12" s="2013"/>
    </row>
    <row r="13" spans="1:22" ht="14.25">
      <c r="A13" s="3296"/>
      <c r="B13" s="3322"/>
      <c r="C13" s="3321"/>
      <c r="D13" s="3324"/>
      <c r="E13" s="260" t="s">
        <v>314</v>
      </c>
      <c r="F13" s="261"/>
      <c r="G13" s="261"/>
      <c r="H13" s="261"/>
      <c r="I13" s="262"/>
      <c r="J13" s="2014"/>
      <c r="K13" s="2013"/>
      <c r="L13" s="2013"/>
      <c r="M13" s="2013"/>
      <c r="N13" s="2013"/>
      <c r="O13" s="2013"/>
      <c r="P13" s="2013"/>
      <c r="Q13" s="2013"/>
      <c r="R13" s="2013"/>
      <c r="S13" s="2013"/>
      <c r="T13" s="2013"/>
      <c r="U13" s="2013"/>
      <c r="V13" s="2013"/>
    </row>
    <row r="14" spans="1:22" ht="14.25">
      <c r="A14" s="3296" t="s">
        <v>315</v>
      </c>
      <c r="B14" s="3322">
        <v>30</v>
      </c>
      <c r="C14" s="3320">
        <v>5</v>
      </c>
      <c r="D14" s="3324">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296"/>
      <c r="B15" s="3322"/>
      <c r="C15" s="3323"/>
      <c r="D15" s="3324"/>
      <c r="E15" s="260" t="s">
        <v>317</v>
      </c>
      <c r="F15" s="261"/>
      <c r="G15" s="261"/>
      <c r="H15" s="261"/>
      <c r="I15" s="262"/>
      <c r="J15" s="2014"/>
      <c r="K15" s="2013"/>
      <c r="L15" s="2013"/>
      <c r="M15" s="2013"/>
      <c r="N15" s="2013"/>
      <c r="O15" s="2013"/>
      <c r="P15" s="2013"/>
      <c r="Q15" s="2013"/>
      <c r="R15" s="2013"/>
      <c r="S15" s="2013"/>
      <c r="T15" s="2013"/>
      <c r="U15" s="2013"/>
      <c r="V15" s="2013"/>
    </row>
    <row r="16" spans="1:22" ht="14.25">
      <c r="A16" s="3296"/>
      <c r="B16" s="3322"/>
      <c r="C16" s="3321"/>
      <c r="D16" s="3324"/>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34294</v>
      </c>
      <c r="D19" s="270">
        <f ca="1">SUMIF(INDIRECT("'"&amp;D4&amp;"'"&amp;"!A:A"),结果表!B19,INDIRECT("'"&amp;D4&amp;"'"&amp;"!B:B"))</f>
        <v>36879</v>
      </c>
      <c r="E19" s="267" t="s">
        <v>323</v>
      </c>
      <c r="F19" s="268" t="s">
        <v>322</v>
      </c>
      <c r="G19" s="271">
        <f ca="1">ROUND(C19*$C$18+D19*$D$18,0)</f>
        <v>35587</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12614</v>
      </c>
      <c r="D20" s="276">
        <f ca="1">SUMIF(INDIRECT("'"&amp;D4&amp;"'"&amp;"!A:A"),结果表!B20,INDIRECT("'"&amp;D4&amp;"'"&amp;"!B:B"))</f>
        <v>13565</v>
      </c>
      <c r="E20" s="273"/>
      <c r="F20" s="274" t="s">
        <v>325</v>
      </c>
      <c r="G20" s="277">
        <f ca="1">ROUND(C20*$C$18+D20*$D$18,0)</f>
        <v>13090</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39891</v>
      </c>
      <c r="D21" s="150">
        <f ca="1">SUMIF(INDIRECT("'"&amp;D4&amp;"'"&amp;"!A:A"),结果表!B21,INDIRECT("'"&amp;D4&amp;"'"&amp;"!B:B"))</f>
        <v>42898</v>
      </c>
      <c r="E21" s="273"/>
      <c r="F21" s="279" t="s">
        <v>327</v>
      </c>
      <c r="G21" s="281">
        <f ca="1">ROUND(C21*$C$18+D21*$D$18,0)</f>
        <v>41395</v>
      </c>
      <c r="H21" s="1246" t="s">
        <v>326</v>
      </c>
      <c r="I21" s="310"/>
      <c r="J21" s="2013"/>
      <c r="K21" s="2013"/>
      <c r="L21" s="2013"/>
      <c r="M21" s="2013"/>
      <c r="N21" s="2013"/>
      <c r="O21" s="2013"/>
      <c r="P21" s="2013"/>
      <c r="Q21" s="2013"/>
      <c r="R21" s="2013"/>
      <c r="S21" s="2013"/>
      <c r="T21" s="2013"/>
      <c r="U21" s="2013"/>
      <c r="V21" s="2013"/>
    </row>
    <row r="22" spans="1:26" ht="15.75" thickBot="1">
      <c r="A22" s="125" t="s">
        <v>328</v>
      </c>
      <c r="B22" s="1247"/>
      <c r="C22" s="1248"/>
      <c r="D22" s="282">
        <f ca="1">IF(C19&lt;D19,D19/C19-1,C19/D19-1)</f>
        <v>7.5377617075873315E-2</v>
      </c>
      <c r="E22" s="283"/>
      <c r="F22" s="284"/>
      <c r="G22" s="285">
        <f ca="1">ROUND(G19/('数据-汇总表'!D3/666.67),0)</f>
        <v>2760</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2"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03"/>
      <c r="B25" s="1316" t="s">
        <v>331</v>
      </c>
      <c r="C25" s="289">
        <f>IF(B30=0,0,C30)</f>
        <v>0</v>
      </c>
      <c r="D25" s="290"/>
      <c r="E25" s="310"/>
      <c r="F25" s="310"/>
      <c r="G25" s="310"/>
      <c r="H25" s="310"/>
      <c r="I25" s="310"/>
      <c r="J25" s="2013"/>
      <c r="K25" s="1250" t="str">
        <f ca="1">项目基本情况!B16&amp;"国有建设用地使用权价格："&amp;O38&amp;"万元"</f>
        <v>出让国有建设用地使用权价格：35587万元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大写金额：人民币叁亿伍仟伍佰捌拾柒万元整</v>
      </c>
      <c r="L26" s="1247"/>
      <c r="M26" s="1247"/>
      <c r="N26" s="1247"/>
      <c r="O26" s="1246"/>
      <c r="P26" s="2013"/>
      <c r="Q26" s="2013"/>
      <c r="R26" s="2013"/>
      <c r="S26" s="2013"/>
      <c r="T26" s="2013"/>
      <c r="U26" s="2013"/>
      <c r="V26" s="2013"/>
      <c r="W26" s="291"/>
      <c r="X26" s="291"/>
      <c r="Y26" s="291"/>
      <c r="Z26" s="291"/>
    </row>
    <row r="27" spans="1:26" ht="18">
      <c r="A27" s="292">
        <f ca="1">G19/'数据-汇总表'!F27*10000</f>
        <v>28886.302241616668</v>
      </c>
      <c r="B27" s="293"/>
      <c r="C27" s="293"/>
      <c r="D27" s="294"/>
      <c r="E27" s="310"/>
      <c r="F27" s="310"/>
      <c r="G27" s="310"/>
      <c r="H27" s="310"/>
      <c r="I27" s="310"/>
      <c r="J27" s="2013"/>
      <c r="K27" s="1253" t="str">
        <f ca="1">"单位面积地价："&amp;M38&amp;"元/平方米"</f>
        <v>单位面积地价：41395元/平方米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楼面地价：13090元/平方米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抵押价格：35587万元</v>
      </c>
      <c r="L29" s="1247"/>
      <c r="M29" s="1247"/>
      <c r="N29" s="1247"/>
      <c r="O29" s="1246"/>
      <c r="P29" s="2013"/>
      <c r="V29" s="2013"/>
    </row>
    <row r="30" spans="1:26" ht="18.75" thickBot="1">
      <c r="A30" s="3079" t="s">
        <v>336</v>
      </c>
      <c r="B30" s="308"/>
      <c r="C30" s="308"/>
      <c r="D30" s="309"/>
      <c r="E30" s="3080" t="s">
        <v>2964</v>
      </c>
      <c r="F30" s="310"/>
      <c r="G30" s="310"/>
      <c r="H30" s="310"/>
      <c r="I30" s="310"/>
      <c r="J30" s="2013"/>
      <c r="K30" s="1253" t="str">
        <f ca="1">IF(K29="——","——","大写金额：人民币"&amp;NUMBERSTRING(INT(O39*10000),2)&amp;"元整")</f>
        <v>大写金额：人民币叁亿伍仟伍佰捌拾柒万元整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337</v>
      </c>
      <c r="B32" s="1377" t="s">
        <v>1688</v>
      </c>
      <c r="C32" s="1378">
        <f ca="1">G19-C24</f>
        <v>35587</v>
      </c>
      <c r="D32" s="1379" t="s">
        <v>1689</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340</v>
      </c>
      <c r="B33" s="1380" t="s">
        <v>1690</v>
      </c>
      <c r="C33" s="263">
        <f ca="1">ROUND(C32*10000/'数据-汇总表'!E3,0)</f>
        <v>13090</v>
      </c>
      <c r="D33" s="1381" t="s">
        <v>1691</v>
      </c>
      <c r="E33" s="3302"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1692</v>
      </c>
      <c r="C34" s="263">
        <f ca="1">ROUND(C32*10000/'数据-汇总表'!D3,0)</f>
        <v>41395</v>
      </c>
      <c r="D34" s="1383" t="s">
        <v>1691</v>
      </c>
      <c r="E34" s="3343"/>
      <c r="F34" s="126" t="s">
        <v>341</v>
      </c>
      <c r="G34" s="298"/>
      <c r="H34" s="104"/>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2760</v>
      </c>
      <c r="D35" s="1386" t="s">
        <v>1693</v>
      </c>
      <c r="E35" s="3344"/>
      <c r="F35" s="300" t="s">
        <v>342</v>
      </c>
      <c r="G35" s="981"/>
      <c r="H35" s="980" t="s">
        <v>343</v>
      </c>
      <c r="I35" s="310"/>
      <c r="J35" s="2013"/>
      <c r="K35" s="3317" t="s">
        <v>350</v>
      </c>
      <c r="L35" s="3317" t="s">
        <v>351</v>
      </c>
      <c r="M35" s="1259" t="s">
        <v>352</v>
      </c>
      <c r="N35" s="3317" t="s">
        <v>353</v>
      </c>
      <c r="O35" s="3317" t="s">
        <v>354</v>
      </c>
      <c r="P35" s="2013"/>
      <c r="V35" s="2013"/>
    </row>
    <row r="36" spans="1:26" ht="16.5" customHeight="1">
      <c r="A36" s="302" t="s">
        <v>344</v>
      </c>
      <c r="B36" s="303" t="s">
        <v>333</v>
      </c>
      <c r="C36" s="304" t="s">
        <v>345</v>
      </c>
      <c r="D36" s="304" t="s">
        <v>346</v>
      </c>
      <c r="E36" s="305" t="s">
        <v>347</v>
      </c>
      <c r="F36" s="310"/>
      <c r="G36" s="310"/>
      <c r="H36" s="310"/>
      <c r="I36" s="310"/>
      <c r="J36" s="2015"/>
      <c r="K36" s="3318"/>
      <c r="L36" s="3318"/>
      <c r="M36" s="1261" t="s">
        <v>355</v>
      </c>
      <c r="N36" s="3318"/>
      <c r="O36" s="3318"/>
      <c r="P36" s="2013"/>
      <c r="V36" s="2013"/>
    </row>
    <row r="37" spans="1:26" ht="16.5" customHeight="1" thickBot="1">
      <c r="A37" s="1255" t="s">
        <v>348</v>
      </c>
      <c r="B37" s="306"/>
      <c r="C37" s="293"/>
      <c r="D37" s="293"/>
      <c r="E37" s="294"/>
      <c r="F37" s="310"/>
      <c r="G37" s="310"/>
      <c r="H37" s="310"/>
      <c r="I37" s="310"/>
      <c r="J37" s="2015"/>
      <c r="K37" s="3319"/>
      <c r="L37" s="3319"/>
      <c r="M37" s="1262"/>
      <c r="N37" s="3319"/>
      <c r="O37" s="3319"/>
      <c r="P37" s="2013"/>
      <c r="V37" s="2013"/>
    </row>
    <row r="38" spans="1:26" ht="16.5" customHeight="1" thickBot="1">
      <c r="A38" s="1255" t="s">
        <v>349</v>
      </c>
      <c r="B38" s="306"/>
      <c r="C38" s="293"/>
      <c r="D38" s="293"/>
      <c r="E38" s="294"/>
      <c r="F38" s="310"/>
      <c r="G38" s="310"/>
      <c r="H38" s="310"/>
      <c r="I38" s="310"/>
      <c r="J38" s="2015"/>
      <c r="K38" s="1263">
        <f>'数据-汇总表'!D3</f>
        <v>8596.9599999999991</v>
      </c>
      <c r="L38" s="1264">
        <f>'数据-汇总表'!E3</f>
        <v>27186.68</v>
      </c>
      <c r="M38" s="1264">
        <f ca="1">C34</f>
        <v>41395</v>
      </c>
      <c r="N38" s="1264">
        <f ca="1">C33</f>
        <v>13090</v>
      </c>
      <c r="O38" s="1265">
        <f ca="1">C32</f>
        <v>35587</v>
      </c>
      <c r="P38" s="2013"/>
      <c r="V38" s="2013"/>
    </row>
    <row r="39" spans="1:26" ht="16.5" customHeight="1" thickBot="1">
      <c r="A39" s="1260"/>
      <c r="B39" s="307"/>
      <c r="C39" s="308"/>
      <c r="D39" s="308"/>
      <c r="E39" s="309"/>
      <c r="F39" s="310"/>
      <c r="G39" s="310"/>
      <c r="H39" s="310"/>
      <c r="I39" s="310"/>
      <c r="J39" s="2015"/>
      <c r="K39" s="3362" t="str">
        <f>MID(A44,3,LEN(A44)-2)</f>
        <v>抵押价格</v>
      </c>
      <c r="L39" s="3363"/>
      <c r="M39" s="3363"/>
      <c r="N39" s="3364"/>
      <c r="O39" s="1388">
        <f ca="1">C44</f>
        <v>35587</v>
      </c>
      <c r="P39" s="2013"/>
      <c r="V39" s="2013"/>
    </row>
    <row r="40" spans="1:26" ht="19.5" thickBot="1">
      <c r="A40" s="103" t="s">
        <v>873</v>
      </c>
      <c r="B40" s="310"/>
      <c r="C40" s="310"/>
      <c r="D40" s="310"/>
      <c r="E40" s="310"/>
      <c r="F40" s="310"/>
      <c r="G40" s="310"/>
      <c r="H40" s="310"/>
      <c r="I40" s="310"/>
      <c r="J40" s="2015"/>
      <c r="K40" s="3362" t="str">
        <f t="shared" ref="K40:K41" si="0">MID(A45,3,LEN(A45)-2)</f>
        <v/>
      </c>
      <c r="L40" s="3363"/>
      <c r="M40" s="3363"/>
      <c r="N40" s="3364"/>
      <c r="O40" s="1388" t="str">
        <f>C45</f>
        <v>——</v>
      </c>
      <c r="P40" s="2013"/>
      <c r="V40" s="2013"/>
    </row>
    <row r="41" spans="1:26" ht="16.5" thickBot="1">
      <c r="A41" s="311" t="s">
        <v>356</v>
      </c>
      <c r="B41" s="312"/>
      <c r="C41" s="313" t="s">
        <v>357</v>
      </c>
      <c r="D41" s="314" t="s">
        <v>358</v>
      </c>
      <c r="E41" s="314" t="s">
        <v>359</v>
      </c>
      <c r="F41" s="315" t="s">
        <v>360</v>
      </c>
      <c r="G41" s="310"/>
      <c r="H41" s="310"/>
      <c r="I41" s="310"/>
      <c r="J41" s="2015"/>
      <c r="K41" s="3362" t="str">
        <f t="shared" si="0"/>
        <v/>
      </c>
      <c r="L41" s="3363"/>
      <c r="M41" s="3363"/>
      <c r="N41" s="3364"/>
      <c r="O41" s="1388" t="str">
        <f>C46</f>
        <v>——</v>
      </c>
      <c r="P41" s="2013"/>
      <c r="V41" s="2013"/>
    </row>
    <row r="42" spans="1:26" ht="29.25">
      <c r="A42" s="3304" t="s">
        <v>2067</v>
      </c>
      <c r="B42" s="3305"/>
      <c r="C42" s="263">
        <f ca="1">C32</f>
        <v>35587</v>
      </c>
      <c r="D42" s="316">
        <f ca="1">C33</f>
        <v>13090</v>
      </c>
      <c r="E42" s="316">
        <f ca="1">C34</f>
        <v>41395</v>
      </c>
      <c r="F42" s="317">
        <f ca="1">C35</f>
        <v>2760</v>
      </c>
      <c r="G42" s="310"/>
      <c r="H42" s="310"/>
      <c r="I42" s="318"/>
      <c r="J42" s="2015"/>
      <c r="K42" s="1266" t="s">
        <v>361</v>
      </c>
      <c r="L42" s="2032" t="s">
        <v>362</v>
      </c>
      <c r="M42" s="1267" t="s">
        <v>363</v>
      </c>
      <c r="N42" s="2033" t="s">
        <v>364</v>
      </c>
      <c r="O42" s="2034" t="s">
        <v>365</v>
      </c>
      <c r="P42" s="2013"/>
      <c r="V42" s="2013"/>
    </row>
    <row r="43" spans="1:26" ht="30">
      <c r="A43" s="3315" t="s">
        <v>2729</v>
      </c>
      <c r="B43" s="3316"/>
      <c r="C43" s="263">
        <f>IF(H33="正常操作",G33+G34+G35,G34+G35)</f>
        <v>0</v>
      </c>
      <c r="D43" s="316" t="s">
        <v>43</v>
      </c>
      <c r="E43" s="316" t="s">
        <v>44</v>
      </c>
      <c r="F43" s="317" t="s">
        <v>44</v>
      </c>
      <c r="G43" s="2820" t="s">
        <v>952</v>
      </c>
      <c r="H43" s="310"/>
      <c r="I43" s="318"/>
      <c r="J43" s="2015"/>
      <c r="K43" s="1268" t="str">
        <f>C4</f>
        <v>比较法-住宅、综合</v>
      </c>
      <c r="L43" s="1269">
        <f ca="1">IF(L42="估价结果/万元",C19,C20)</f>
        <v>34294</v>
      </c>
      <c r="M43" s="1270">
        <f>C18</f>
        <v>0.5</v>
      </c>
      <c r="N43" s="1271">
        <f ca="1">IF(N42="测算结果/万元",G19,G20)</f>
        <v>35587</v>
      </c>
      <c r="O43" s="1272">
        <f ca="1">IF(O42="最终结果/万元",C32,C33)</f>
        <v>35587</v>
      </c>
      <c r="P43" s="2013"/>
      <c r="V43" s="2013"/>
    </row>
    <row r="44" spans="1:26" ht="30.75" thickBot="1">
      <c r="A44" s="3304" t="str">
        <f>IF(OR(项目基本情况!E8="抵押价格",项目基本情况!E8="已注销及未注销"),"3.抵押价格","——")</f>
        <v>3.抵押价格</v>
      </c>
      <c r="B44" s="3305"/>
      <c r="C44" s="263">
        <f ca="1">IF(A44="——","——",C42-C43)</f>
        <v>35587</v>
      </c>
      <c r="D44" s="316">
        <f ca="1">ROUND(C44*10000/'数据-汇总表'!E3,0)</f>
        <v>13090</v>
      </c>
      <c r="E44" s="316">
        <f ca="1">ROUND(C44*10000/'数据-汇总表'!D3,0)</f>
        <v>41395</v>
      </c>
      <c r="F44" s="317">
        <f ca="1">ROUND(C44/('数据-汇总表'!D3/666.67),0)</f>
        <v>2760</v>
      </c>
      <c r="G44" s="310"/>
      <c r="H44" s="310"/>
      <c r="I44" s="318"/>
      <c r="J44" s="2015"/>
      <c r="K44" s="1273" t="str">
        <f>D4</f>
        <v>剩余法-待开发</v>
      </c>
      <c r="L44" s="1274">
        <f ca="1">IF(L42="估价结果/万元",D19,D20)</f>
        <v>36879</v>
      </c>
      <c r="M44" s="1275">
        <f>D18</f>
        <v>0.5</v>
      </c>
      <c r="N44" s="1276"/>
      <c r="O44" s="1277"/>
      <c r="P44" s="2013"/>
      <c r="V44" s="2013"/>
    </row>
    <row r="45" spans="1:26" ht="15">
      <c r="A45" s="3310" t="str">
        <f>IF(项目基本情况!E8="已注销及未注销","4.抵押担保权已注销时的抵押价格",IF(项目基本情况!E8="已注销","3.抵押担保权已注销时的抵押价格","——"))</f>
        <v>——</v>
      </c>
      <c r="B45" s="3311"/>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06" t="str">
        <f>IF(项目基本情况!E9="抵押净值",IF(A45="——","4.抵押净值","5.抵押净值"),"——")</f>
        <v>——</v>
      </c>
      <c r="B46" s="3307"/>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1" t="s">
        <v>374</v>
      </c>
      <c r="B63" s="3352"/>
      <c r="C63" s="3353"/>
      <c r="D63" s="340">
        <f ca="1">ROUND(C42*F63,0)</f>
        <v>21352</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12" t="s">
        <v>378</v>
      </c>
      <c r="B64" s="3313"/>
      <c r="C64" s="3313"/>
      <c r="D64" s="3313"/>
      <c r="E64" s="3313"/>
      <c r="F64" s="3313"/>
      <c r="G64" s="3314"/>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2"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08" t="s">
        <v>386</v>
      </c>
      <c r="B66" s="3309"/>
      <c r="C66" s="3309"/>
      <c r="D66" s="260">
        <f ca="1">IF(H66="情况1",0,IF(H66="情况2",D70,IF(H66="情况3",D71,IF(H66="情况4",D72))))</f>
        <v>1139</v>
      </c>
      <c r="E66" s="992" t="str">
        <f>IF(H66="情况4","(销售额-原购置价)×税（费）率","销售额×税（费）率")</f>
        <v>销售额×税（费）率</v>
      </c>
      <c r="F66" s="349">
        <f>IF(H66="情况1","免征",'数据-取费表'!B41)</f>
        <v>5.6000000000000001E-2</v>
      </c>
      <c r="G66" s="350" t="s">
        <v>387</v>
      </c>
      <c r="H66" s="190" t="s">
        <v>388</v>
      </c>
      <c r="I66" s="1283"/>
      <c r="J66" s="2019"/>
      <c r="K66" s="1286">
        <v>1</v>
      </c>
      <c r="L66" s="3366" t="s">
        <v>385</v>
      </c>
      <c r="M66" s="3367"/>
      <c r="N66" s="2422"/>
      <c r="O66" s="2423"/>
      <c r="P66" s="2424"/>
      <c r="Q66" s="2013"/>
      <c r="R66" s="2013"/>
      <c r="S66" s="2013"/>
      <c r="T66" s="2013"/>
      <c r="U66" s="2013"/>
      <c r="V66" s="2013"/>
    </row>
    <row r="67" spans="1:22" ht="25.5" customHeight="1">
      <c r="A67" s="351" t="s">
        <v>390</v>
      </c>
      <c r="B67" s="3299" t="s">
        <v>391</v>
      </c>
      <c r="C67" s="3299"/>
      <c r="D67" s="352">
        <v>0</v>
      </c>
      <c r="E67" s="40" t="s">
        <v>392</v>
      </c>
      <c r="F67" s="61" t="s">
        <v>21</v>
      </c>
      <c r="G67" s="3354"/>
      <c r="H67" s="310"/>
      <c r="I67" s="1287"/>
      <c r="J67" s="2020"/>
      <c r="K67" s="1961">
        <v>2</v>
      </c>
      <c r="L67" s="3365" t="s">
        <v>389</v>
      </c>
      <c r="M67" s="3365"/>
      <c r="N67" s="1320">
        <f>'数据-取费表'!B2</f>
        <v>43754</v>
      </c>
      <c r="O67" s="1320"/>
      <c r="P67" s="1320"/>
      <c r="Q67" s="2013"/>
      <c r="R67" s="2013"/>
      <c r="S67" s="2013"/>
      <c r="T67" s="2013"/>
      <c r="U67" s="2013"/>
      <c r="V67" s="2013"/>
    </row>
    <row r="68" spans="1:22" ht="25.5" customHeight="1">
      <c r="A68" s="353"/>
      <c r="B68" s="3299" t="s">
        <v>394</v>
      </c>
      <c r="C68" s="3299"/>
      <c r="D68" s="354"/>
      <c r="E68" s="76"/>
      <c r="F68" s="355"/>
      <c r="G68" s="3355"/>
      <c r="H68" s="310"/>
      <c r="I68" s="1287"/>
      <c r="J68" s="2020"/>
      <c r="K68" s="1961">
        <v>3</v>
      </c>
      <c r="L68" s="3365" t="s">
        <v>393</v>
      </c>
      <c r="M68" s="3365"/>
      <c r="N68" s="1288">
        <f ca="1">C42</f>
        <v>35587</v>
      </c>
      <c r="O68" s="1288"/>
      <c r="P68" s="1288"/>
      <c r="Q68" s="2013"/>
      <c r="R68" s="2013"/>
      <c r="S68" s="2013"/>
      <c r="T68" s="2013"/>
      <c r="U68" s="2013"/>
      <c r="V68" s="2013"/>
    </row>
    <row r="69" spans="1:22" ht="12" customHeight="1">
      <c r="A69" s="356"/>
      <c r="B69" s="3299" t="s">
        <v>395</v>
      </c>
      <c r="C69" s="3299"/>
      <c r="D69" s="357"/>
      <c r="E69" s="72"/>
      <c r="F69" s="355"/>
      <c r="G69" s="3356"/>
      <c r="H69" s="310"/>
      <c r="I69" s="1287"/>
      <c r="J69" s="2020"/>
      <c r="K69" s="1289">
        <v>4</v>
      </c>
      <c r="L69" s="3370" t="s">
        <v>2882</v>
      </c>
      <c r="M69" s="3371"/>
      <c r="N69" s="1290">
        <f ca="1">C44</f>
        <v>35587</v>
      </c>
      <c r="O69" s="1290"/>
      <c r="P69" s="1290"/>
      <c r="Q69" s="2013"/>
      <c r="R69" s="2013"/>
      <c r="S69" s="2013"/>
      <c r="T69" s="2013"/>
      <c r="U69" s="2013"/>
      <c r="V69" s="2013"/>
    </row>
    <row r="70" spans="1:22" ht="24" customHeight="1">
      <c r="A70" s="358" t="s">
        <v>396</v>
      </c>
      <c r="B70" s="3299" t="s">
        <v>397</v>
      </c>
      <c r="C70" s="3299"/>
      <c r="D70" s="357">
        <f ca="1">ROUND(D63*'数据-取费表'!B41/(1+'数据-取费表'!C42),0)</f>
        <v>1139</v>
      </c>
      <c r="E70" s="17" t="s">
        <v>398</v>
      </c>
      <c r="F70" s="359">
        <f>'数据-取费表'!B41</f>
        <v>5.6000000000000001E-2</v>
      </c>
      <c r="G70" s="360"/>
      <c r="H70" s="310"/>
      <c r="I70" s="1287"/>
      <c r="J70" s="2020"/>
      <c r="K70" s="3011"/>
      <c r="L70" s="3012"/>
      <c r="M70" s="3012"/>
      <c r="N70" s="3013" t="s">
        <v>2887</v>
      </c>
      <c r="O70" s="3012"/>
      <c r="P70" s="3014"/>
      <c r="Q70" s="2013"/>
      <c r="R70" s="2013"/>
      <c r="S70" s="2013"/>
      <c r="T70" s="2013"/>
      <c r="U70" s="2013"/>
      <c r="V70" s="2013"/>
    </row>
    <row r="71" spans="1:22" ht="12" customHeight="1">
      <c r="A71" s="358" t="s">
        <v>404</v>
      </c>
      <c r="B71" s="3300" t="s">
        <v>405</v>
      </c>
      <c r="C71" s="3301"/>
      <c r="D71" s="357">
        <f ca="1">ROUND(D63*'数据-取费表'!B41/(1+'数据-取费表'!C42),0)</f>
        <v>1139</v>
      </c>
      <c r="E71" s="17" t="s">
        <v>398</v>
      </c>
      <c r="F71" s="359">
        <f>'数据-取费表'!B41</f>
        <v>5.6000000000000001E-2</v>
      </c>
      <c r="G71" s="360"/>
      <c r="H71" s="310"/>
      <c r="I71" s="1287"/>
      <c r="J71" s="2020"/>
      <c r="K71" s="3010" t="s">
        <v>399</v>
      </c>
      <c r="L71" s="3372" t="s">
        <v>400</v>
      </c>
      <c r="M71" s="3372"/>
      <c r="N71" s="3010" t="s">
        <v>401</v>
      </c>
      <c r="O71" s="3010" t="s">
        <v>402</v>
      </c>
      <c r="P71" s="3010" t="s">
        <v>403</v>
      </c>
      <c r="Q71" s="2013"/>
      <c r="R71" s="2013"/>
      <c r="S71" s="2013"/>
      <c r="T71" s="2013"/>
      <c r="U71" s="2013"/>
      <c r="V71" s="2013"/>
    </row>
    <row r="72" spans="1:22" ht="12" customHeight="1">
      <c r="A72" s="358" t="s">
        <v>407</v>
      </c>
      <c r="B72" s="3300" t="s">
        <v>408</v>
      </c>
      <c r="C72" s="3301"/>
      <c r="D72" s="357">
        <f ca="1">C86</f>
        <v>1027</v>
      </c>
      <c r="E72" s="72" t="s">
        <v>409</v>
      </c>
      <c r="F72" s="359">
        <f>'数据-取费表'!B41</f>
        <v>5.6000000000000001E-2</v>
      </c>
      <c r="G72" s="360"/>
      <c r="H72" s="1293"/>
      <c r="I72" s="1287"/>
      <c r="J72" s="2020"/>
      <c r="K72" s="1961">
        <v>1</v>
      </c>
      <c r="L72" s="3347" t="s">
        <v>406</v>
      </c>
      <c r="M72" s="3347"/>
      <c r="N72" s="1291">
        <f ca="1">D66</f>
        <v>1139</v>
      </c>
      <c r="O72" s="1844" t="str">
        <f>E66</f>
        <v>销售额×税（费）率</v>
      </c>
      <c r="P72" s="1292">
        <f>F66</f>
        <v>5.6000000000000001E-2</v>
      </c>
      <c r="Q72" s="2013"/>
      <c r="R72" s="2013"/>
      <c r="S72" s="2013"/>
      <c r="T72" s="2013"/>
      <c r="U72" s="2013"/>
      <c r="V72" s="2013"/>
    </row>
    <row r="73" spans="1:22" ht="24" customHeight="1">
      <c r="A73" s="3341" t="s">
        <v>411</v>
      </c>
      <c r="B73" s="3309"/>
      <c r="C73" s="3309"/>
      <c r="D73" s="361">
        <f>IF(H73="个人住宅",0,ROUND(D63*I73,0))</f>
        <v>0</v>
      </c>
      <c r="E73" s="17" t="s">
        <v>412</v>
      </c>
      <c r="F73" s="359" t="str">
        <f>IF(H73="正常",I73,"免征")</f>
        <v>免征</v>
      </c>
      <c r="G73" s="360"/>
      <c r="H73" s="190" t="s">
        <v>2455</v>
      </c>
      <c r="I73" s="359">
        <f>'数据-取费表'!B49</f>
        <v>5.0000000000000001E-4</v>
      </c>
      <c r="J73" s="2020"/>
      <c r="K73" s="1961">
        <v>2</v>
      </c>
      <c r="L73" s="3347" t="s">
        <v>410</v>
      </c>
      <c r="M73" s="3347"/>
      <c r="N73" s="1291">
        <f t="shared" ref="N73:P74" si="1">D73</f>
        <v>0</v>
      </c>
      <c r="O73" s="1844" t="str">
        <f t="shared" si="1"/>
        <v>销售额×税（费）率</v>
      </c>
      <c r="P73" s="1292" t="str">
        <f t="shared" si="1"/>
        <v>免征</v>
      </c>
      <c r="Q73" s="2013"/>
      <c r="R73" s="2013"/>
      <c r="S73" s="2013"/>
      <c r="T73" s="2013"/>
      <c r="U73" s="2013"/>
      <c r="V73" s="2013"/>
    </row>
    <row r="74" spans="1:22" ht="24.75">
      <c r="A74" s="3341" t="s">
        <v>415</v>
      </c>
      <c r="B74" s="3309"/>
      <c r="C74" s="3309"/>
      <c r="D74" s="361">
        <f ca="1">IF(H74="个人住宅",D75,D76)</f>
        <v>11430</v>
      </c>
      <c r="E74" s="17" t="s">
        <v>416</v>
      </c>
      <c r="F74" s="359" t="str">
        <f>IF(H74="正常",F76,"免征")</f>
        <v>——</v>
      </c>
      <c r="G74" s="982" t="s">
        <v>417</v>
      </c>
      <c r="H74" s="362" t="s">
        <v>413</v>
      </c>
      <c r="I74" s="41"/>
      <c r="J74" s="2020"/>
      <c r="K74" s="1961">
        <v>3</v>
      </c>
      <c r="L74" s="3347" t="s">
        <v>414</v>
      </c>
      <c r="M74" s="3347"/>
      <c r="N74" s="1291">
        <f t="shared" ca="1" si="1"/>
        <v>11430</v>
      </c>
      <c r="O74" s="1844" t="str">
        <f t="shared" si="1"/>
        <v>增值额×税（费）率</v>
      </c>
      <c r="P74" s="1294" t="str">
        <f t="shared" si="1"/>
        <v>——</v>
      </c>
      <c r="Q74" s="2013"/>
      <c r="R74" s="2013"/>
      <c r="S74" s="2013"/>
      <c r="T74" s="2013"/>
      <c r="U74" s="2013"/>
      <c r="V74" s="2013"/>
    </row>
    <row r="75" spans="1:22" ht="24">
      <c r="A75" s="358" t="s">
        <v>418</v>
      </c>
      <c r="B75" s="3297" t="s">
        <v>419</v>
      </c>
      <c r="C75" s="3327"/>
      <c r="D75" s="363">
        <v>0</v>
      </c>
      <c r="E75" s="40" t="s">
        <v>420</v>
      </c>
      <c r="F75" s="364"/>
      <c r="G75" s="360"/>
      <c r="H75" s="41"/>
      <c r="I75" s="41"/>
      <c r="J75" s="2020"/>
      <c r="K75" s="3003">
        <f>IF(H77="非个人房产","",4)</f>
        <v>4</v>
      </c>
      <c r="L75" s="3347" t="str">
        <f>IF(H77="非个人房产","——","个人所得税")</f>
        <v>个人所得税</v>
      </c>
      <c r="M75" s="3347"/>
      <c r="N75" s="1295">
        <f ca="1">D77</f>
        <v>214</v>
      </c>
      <c r="O75" s="1857" t="str">
        <f>E77</f>
        <v>销售额×税（费）率</v>
      </c>
      <c r="P75" s="1296">
        <f>F77</f>
        <v>0.01</v>
      </c>
      <c r="Q75" s="2013"/>
      <c r="R75" s="2013"/>
      <c r="S75" s="2013"/>
      <c r="T75" s="2013"/>
      <c r="U75" s="2013"/>
      <c r="V75" s="2013"/>
    </row>
    <row r="76" spans="1:22" ht="24.75">
      <c r="A76" s="358" t="s">
        <v>396</v>
      </c>
      <c r="B76" s="3297" t="s">
        <v>422</v>
      </c>
      <c r="C76" s="3298"/>
      <c r="D76" s="361">
        <f ca="1">IF(H76="转让取得",C99,C115)</f>
        <v>11430</v>
      </c>
      <c r="E76" s="17" t="s">
        <v>423</v>
      </c>
      <c r="F76" s="52" t="s">
        <v>21</v>
      </c>
      <c r="G76" s="360"/>
      <c r="H76" s="362" t="s">
        <v>424</v>
      </c>
      <c r="I76" s="41"/>
      <c r="J76" s="2020"/>
      <c r="K76" s="3003" t="str">
        <f>IF(项目基本情况!K6="上海银行",IF(K75="",4,K75+1),"")</f>
        <v/>
      </c>
      <c r="L76" s="3358" t="str">
        <f>IF(项目基本情况!K6="上海银行","其他处置费用","")</f>
        <v/>
      </c>
      <c r="M76" s="3359"/>
      <c r="N76" s="1291" t="str">
        <f>IF(项目基本情况!K6="上海银行",N89,"")</f>
        <v/>
      </c>
      <c r="O76" s="3360" t="str">
        <f>IF(项目基本情况!K6="上海银行","包含处置中涉及的律师、诉讼、拍卖、评估等费用","")</f>
        <v/>
      </c>
      <c r="P76" s="3361"/>
      <c r="Q76" s="2013"/>
      <c r="R76" s="2013"/>
      <c r="S76" s="2013"/>
      <c r="T76" s="2013"/>
      <c r="U76" s="2013"/>
      <c r="V76" s="2013"/>
    </row>
    <row r="77" spans="1:22" ht="26.25" thickBot="1">
      <c r="A77" s="3349" t="s">
        <v>426</v>
      </c>
      <c r="B77" s="3350"/>
      <c r="C77" s="3350"/>
      <c r="D77" s="365">
        <f ca="1">IF(H77="非个人房产","——",IF(H77="个人住宅",0,ROUND(D63*I77,0)))</f>
        <v>214</v>
      </c>
      <c r="E77" s="366" t="str">
        <f>IF(H77="非个人房产","——","销售额×税（费）率")</f>
        <v>销售额×税（费）率</v>
      </c>
      <c r="F77" s="367">
        <f>IF(H77="非个人房产","——",IF(H77="个人住宅","免征",I77))</f>
        <v>0.01</v>
      </c>
      <c r="G77" s="983" t="s">
        <v>417</v>
      </c>
      <c r="H77" s="362" t="s">
        <v>2883</v>
      </c>
      <c r="I77" s="368">
        <v>0.01</v>
      </c>
      <c r="J77" s="2020"/>
      <c r="K77" s="3348">
        <f>IF(AND(K75="",K76=""),4,IF(项目基本情况!K6="上海银行",K76+1,K75+1))</f>
        <v>5</v>
      </c>
      <c r="L77" s="3347" t="s">
        <v>2884</v>
      </c>
      <c r="M77" s="3009" t="s">
        <v>421</v>
      </c>
      <c r="N77" s="1297"/>
      <c r="O77" s="1298">
        <f ca="1">SUMIF(N72:N76,"&lt;9e307")</f>
        <v>12783</v>
      </c>
      <c r="P77" s="1299"/>
      <c r="Q77" s="3007">
        <f ca="1">O77/N69</f>
        <v>0.35920420378228007</v>
      </c>
      <c r="R77" s="2013"/>
      <c r="S77" s="2013"/>
      <c r="T77" s="2013"/>
      <c r="U77" s="2013"/>
      <c r="V77" s="2013"/>
    </row>
    <row r="78" spans="1:22" ht="12" customHeight="1">
      <c r="A78" s="1300"/>
      <c r="B78" s="310"/>
      <c r="C78" s="310"/>
      <c r="D78" s="310"/>
      <c r="E78" s="41"/>
      <c r="F78" s="41"/>
      <c r="G78" s="41"/>
      <c r="H78" s="1002"/>
      <c r="I78" s="310"/>
      <c r="J78" s="2020"/>
      <c r="K78" s="3348"/>
      <c r="L78" s="3347"/>
      <c r="M78" s="3009" t="s">
        <v>425</v>
      </c>
      <c r="N78" s="1297"/>
      <c r="O78" s="1298" t="str">
        <f ca="1">NUMBERSTRING(INT(O77*10000),2)&amp;"元整"</f>
        <v>壹亿贰仟柒佰捌拾叁万元整</v>
      </c>
      <c r="P78" s="1299"/>
      <c r="Q78" s="2013"/>
      <c r="R78" s="2013"/>
      <c r="S78" s="2013"/>
      <c r="T78" s="2013"/>
      <c r="U78" s="2013"/>
      <c r="V78" s="2013"/>
    </row>
    <row r="79" spans="1:22" ht="13.5" thickBot="1">
      <c r="A79" s="3342" t="s">
        <v>427</v>
      </c>
      <c r="B79" s="3342"/>
      <c r="C79" s="3342"/>
      <c r="D79" s="3342"/>
      <c r="E79" s="3342"/>
      <c r="F79" s="41"/>
      <c r="G79" s="41"/>
      <c r="H79" s="1002"/>
      <c r="I79" s="310"/>
      <c r="J79" s="2020"/>
      <c r="K79" s="3368">
        <f>K77+1</f>
        <v>6</v>
      </c>
      <c r="L79" s="3347" t="s">
        <v>2885</v>
      </c>
      <c r="M79" s="3009" t="s">
        <v>421</v>
      </c>
      <c r="N79" s="1297"/>
      <c r="O79" s="1298">
        <f ca="1">N69-O77</f>
        <v>22804</v>
      </c>
      <c r="P79" s="1299"/>
      <c r="Q79" s="2013"/>
      <c r="R79" s="2013"/>
      <c r="S79" s="2013"/>
      <c r="T79" s="2013"/>
      <c r="U79" s="2013"/>
      <c r="V79" s="2013"/>
    </row>
    <row r="80" spans="1:22" ht="25.5">
      <c r="A80" s="3337" t="s">
        <v>428</v>
      </c>
      <c r="B80" s="3338"/>
      <c r="C80" s="993"/>
      <c r="D80" s="993" t="s">
        <v>429</v>
      </c>
      <c r="E80" s="369" t="s">
        <v>430</v>
      </c>
      <c r="F80" s="41"/>
      <c r="G80" s="41"/>
      <c r="H80" s="1002"/>
      <c r="I80" s="310"/>
      <c r="J80" s="2013"/>
      <c r="K80" s="3369"/>
      <c r="L80" s="3347"/>
      <c r="M80" s="3009" t="s">
        <v>425</v>
      </c>
      <c r="N80" s="1297"/>
      <c r="O80" s="1298" t="str">
        <f ca="1">NUMBERSTRING(INT(O79*10000),2)&amp;"元整"</f>
        <v>贰亿贰仟捌佰零肆万元整</v>
      </c>
      <c r="P80" s="1299"/>
      <c r="Q80" s="2013"/>
      <c r="R80" s="2013"/>
      <c r="S80" s="2013"/>
      <c r="T80" s="2013"/>
      <c r="U80" s="2013"/>
      <c r="V80" s="2013"/>
    </row>
    <row r="81" spans="1:26" ht="13.5" thickBot="1">
      <c r="A81" s="380" t="s">
        <v>1823</v>
      </c>
      <c r="B81" s="370" t="s">
        <v>431</v>
      </c>
      <c r="C81" s="371">
        <f ca="1">ROUND((C82+C83)/(1+'数据-取费表'!C42),0)</f>
        <v>20335</v>
      </c>
      <c r="D81" s="372"/>
      <c r="E81" s="373"/>
      <c r="F81" s="41"/>
      <c r="G81" s="41"/>
      <c r="H81" s="1002"/>
      <c r="I81" s="310"/>
      <c r="J81" s="2013"/>
      <c r="K81" s="3003">
        <f>K79+1</f>
        <v>7</v>
      </c>
      <c r="L81" s="3345" t="s">
        <v>2886</v>
      </c>
      <c r="M81" s="3346"/>
      <c r="N81" s="1301"/>
      <c r="O81" s="1302">
        <f ca="1">ROUND(O79*10000/'数据-汇总表'!E3,0)</f>
        <v>8388</v>
      </c>
      <c r="P81" s="1303"/>
      <c r="Q81" s="2013"/>
      <c r="R81" s="2013"/>
      <c r="S81" s="2013"/>
      <c r="T81" s="2013"/>
      <c r="U81" s="2013"/>
      <c r="V81" s="2013"/>
    </row>
    <row r="82" spans="1:26" ht="13.5" thickTop="1">
      <c r="A82" s="374" t="s">
        <v>1824</v>
      </c>
      <c r="B82" s="375" t="s">
        <v>432</v>
      </c>
      <c r="C82" s="376">
        <f ca="1">D63</f>
        <v>21352</v>
      </c>
      <c r="D82" s="377" t="s">
        <v>19</v>
      </c>
      <c r="E82" s="378"/>
      <c r="F82" s="41"/>
      <c r="G82" s="41"/>
      <c r="H82" s="1002"/>
      <c r="I82" s="310"/>
      <c r="J82" s="2013"/>
      <c r="K82" s="2013"/>
      <c r="L82" s="2013"/>
      <c r="M82" s="2013"/>
      <c r="N82" s="2013"/>
      <c r="O82" s="2013"/>
      <c r="P82" s="2013"/>
      <c r="Q82" s="2013"/>
      <c r="R82" s="2013"/>
      <c r="S82" s="2013"/>
      <c r="T82" s="2013"/>
      <c r="U82" s="2013"/>
      <c r="V82" s="2013"/>
    </row>
    <row r="83" spans="1:26" ht="12.75">
      <c r="A83" s="374" t="s">
        <v>1825</v>
      </c>
      <c r="B83" s="375" t="s">
        <v>433</v>
      </c>
      <c r="C83" s="379">
        <v>0</v>
      </c>
      <c r="D83" s="377"/>
      <c r="E83" s="378"/>
      <c r="F83" s="41"/>
      <c r="G83" s="41"/>
      <c r="H83" s="1002"/>
      <c r="I83" s="310"/>
      <c r="J83" s="2013"/>
      <c r="K83" s="3357" t="s">
        <v>2873</v>
      </c>
      <c r="L83" s="3015" t="s">
        <v>2874</v>
      </c>
      <c r="M83" s="3005">
        <f ca="1">IF(N69&gt;10000,N69*0.5%,IF(AND(N69&gt;1000,N69&lt;=10000),N69*1%,IF(AND(N69&gt;100,N69&lt;=1000),N69*3%,IF(AND(N69&gt;10,N69&lt;=100),N69*5%,N69*8%))))</f>
        <v>177.935</v>
      </c>
      <c r="N83" s="52">
        <f ca="1">ROUND(M83,1)</f>
        <v>177.9</v>
      </c>
      <c r="O83" s="3008"/>
      <c r="P83" s="2013"/>
      <c r="Q83" s="2013"/>
      <c r="R83" s="2013"/>
      <c r="S83" s="2013"/>
      <c r="T83" s="2013"/>
      <c r="U83" s="2013"/>
      <c r="V83" s="2013"/>
    </row>
    <row r="84" spans="1:26" ht="12.75">
      <c r="A84" s="380" t="s">
        <v>1826</v>
      </c>
      <c r="B84" s="381" t="s">
        <v>434</v>
      </c>
      <c r="C84" s="382">
        <v>2000</v>
      </c>
      <c r="D84" s="383" t="s">
        <v>19</v>
      </c>
      <c r="E84" s="3050" t="s">
        <v>2937</v>
      </c>
      <c r="F84" s="41"/>
      <c r="G84" s="41"/>
      <c r="H84" s="1002"/>
      <c r="I84" s="310"/>
      <c r="J84" s="2013"/>
      <c r="K84" s="3357"/>
      <c r="L84" s="3015" t="s">
        <v>2875</v>
      </c>
      <c r="M84" s="3005">
        <f ca="1">IF(N69&gt;2000,N69*0.5%,IF(AND(N69&gt;1000,N69&lt;=2000),N69*0.6%,IF(AND(N69&gt;500,N69&lt;=1000),N69*0.7%,IF(AND(N69&gt;200,N69&lt;=500),N69*0.8%,IF(AND(N69&gt;100,N69&lt;=200),N69*0.9%,IF(AND(N69&gt;50,N69&lt;=100),N69*1%,IF(AND(N69&gt;20,N69&lt;=50),N69*1.5%,IF(AND(N69&gt;10,N69&lt;=20),N69*2%,IF(AND(N69&gt;1,N69&lt;=10),N69*2.5%)))))))))</f>
        <v>177.935</v>
      </c>
      <c r="N84" s="52">
        <f t="shared" ref="N84:N85" ca="1" si="2">ROUND(M84,1)</f>
        <v>177.9</v>
      </c>
      <c r="O84" s="2013" t="s">
        <v>2876</v>
      </c>
      <c r="P84" s="2013"/>
      <c r="Q84" s="2013"/>
      <c r="R84" s="2013"/>
      <c r="S84" s="2013"/>
      <c r="T84" s="2013"/>
      <c r="U84" s="2013"/>
      <c r="V84" s="2013"/>
    </row>
    <row r="85" spans="1:26" ht="12.75">
      <c r="A85" s="380" t="s">
        <v>1827</v>
      </c>
      <c r="B85" s="381" t="s">
        <v>435</v>
      </c>
      <c r="C85" s="384">
        <f ca="1">C81-C84</f>
        <v>18335</v>
      </c>
      <c r="D85" s="377" t="s">
        <v>19</v>
      </c>
      <c r="E85" s="378"/>
      <c r="F85" s="41"/>
      <c r="G85" s="41"/>
      <c r="H85" s="1002"/>
      <c r="I85" s="310"/>
      <c r="J85" s="2013"/>
      <c r="K85" s="3357"/>
      <c r="L85" s="3015" t="s">
        <v>2877</v>
      </c>
      <c r="M85" s="3005">
        <f ca="1">IF(N69&gt;1000,N69*0.1%,IF(AND(N69&gt;500,N69&lt;=1000),N69*0.5%,IF(AND(N69&gt;50,N69&lt;=500),N69*1%,IF(AND(N69&gt;1,N69&lt;=50),N69*1.5%))))</f>
        <v>35.587000000000003</v>
      </c>
      <c r="N85" s="52">
        <f t="shared" ca="1" si="2"/>
        <v>35.6</v>
      </c>
      <c r="O85" s="2013" t="s">
        <v>2876</v>
      </c>
      <c r="P85" s="2013"/>
      <c r="Q85" s="2013"/>
      <c r="R85" s="2013"/>
      <c r="S85" s="2013"/>
      <c r="T85" s="2013"/>
      <c r="U85" s="2013"/>
      <c r="V85" s="2013"/>
    </row>
    <row r="86" spans="1:26" ht="13.5" thickBot="1">
      <c r="A86" s="385" t="s">
        <v>1828</v>
      </c>
      <c r="B86" s="386" t="s">
        <v>436</v>
      </c>
      <c r="C86" s="387">
        <f ca="1">IF(C85&lt;=0,0,ROUND(C85*D86,0))</f>
        <v>1027</v>
      </c>
      <c r="D86" s="388">
        <f>'数据-取费表'!B41</f>
        <v>5.6000000000000001E-2</v>
      </c>
      <c r="E86" s="389"/>
      <c r="F86" s="41"/>
      <c r="G86" s="41"/>
      <c r="H86" s="1002"/>
      <c r="I86" s="310"/>
      <c r="J86" s="2013"/>
      <c r="K86" s="3357"/>
      <c r="L86" s="3015" t="s">
        <v>2878</v>
      </c>
      <c r="M86" s="3005">
        <f ca="1">N69*0.5%</f>
        <v>177.935</v>
      </c>
      <c r="N86" s="52">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57"/>
      <c r="L87" s="3015" t="s">
        <v>2880</v>
      </c>
      <c r="M87" s="3005">
        <f ca="1">IF(N69&gt;=10000,(8.25+(N69-10000)*0.01%),IF(AND(N69&gt;=8000,N69&lt;10000),(7.85+(N69-8000)*0.02%),IF(AND(N69&gt;=5000,N69&lt;8000),(6.65+(N69-5000)*0.04%),IF(AND(N69&gt;=2000,N69&lt;5000),(4.25+(PN69-2000)*0.08%),IF(AND(N69&gt;=1000,N69&lt;2000),(2.75+(N69-1000)*0.15%),IF(AND(N69&gt;=100,N69&lt;1000),(0.5+(N69-100)*0.25%),IF(AND(N69&gt;0,N69&lt;100),N69*0.5%)))))))</f>
        <v>10.8087</v>
      </c>
      <c r="N87" s="52">
        <f ca="1">ROUND(M87*0.9,1)</f>
        <v>9.6999999999999993</v>
      </c>
      <c r="O87" s="3008"/>
      <c r="P87" s="310"/>
      <c r="Q87" s="2013"/>
      <c r="R87" s="2013"/>
      <c r="S87" s="2013"/>
      <c r="T87" s="2013"/>
      <c r="U87" s="2013"/>
      <c r="V87" s="2013"/>
      <c r="W87" s="291"/>
      <c r="X87" s="291"/>
      <c r="Y87" s="291"/>
      <c r="Z87" s="291"/>
    </row>
    <row r="88" spans="1:26" s="1309" customFormat="1" ht="15" thickBot="1">
      <c r="A88" s="3339" t="s">
        <v>437</v>
      </c>
      <c r="B88" s="3340"/>
      <c r="C88" s="3340"/>
      <c r="D88" s="3340"/>
      <c r="E88" s="3340"/>
      <c r="F88" s="3340"/>
      <c r="G88" s="3340"/>
      <c r="H88" s="3340"/>
      <c r="I88" s="1310"/>
      <c r="J88" s="2021"/>
      <c r="K88" s="3357"/>
      <c r="L88" s="3015" t="s">
        <v>2881</v>
      </c>
      <c r="M88" s="3005">
        <f ca="1">IF(N69&gt;10000,N69*0.5%,IF(AND(N69&gt;5000,N69&lt;=10000),N69*1%,IF(AND(N69&gt;1000,N69&lt;=5000),N69*2%,IF(AND(N69&gt;200,N69&lt;=1000),N69*3%,N69*5%))))</f>
        <v>177.935</v>
      </c>
      <c r="N88" s="52">
        <f ca="1">ROUND(M88,1)</f>
        <v>177.9</v>
      </c>
      <c r="O88" s="3008"/>
      <c r="P88" s="11"/>
      <c r="Q88" s="2018"/>
      <c r="R88" s="2018"/>
      <c r="S88" s="2018"/>
      <c r="T88" s="2018"/>
      <c r="U88" s="2018"/>
      <c r="V88" s="2018"/>
      <c r="W88" s="2022"/>
      <c r="X88" s="2022"/>
      <c r="Y88" s="2022"/>
      <c r="Z88" s="2022"/>
    </row>
    <row r="89" spans="1:26" s="1309" customFormat="1" ht="14.25">
      <c r="A89" s="3337" t="s">
        <v>428</v>
      </c>
      <c r="B89" s="3338"/>
      <c r="C89" s="993"/>
      <c r="D89" s="993" t="s">
        <v>429</v>
      </c>
      <c r="E89" s="390" t="s">
        <v>438</v>
      </c>
      <c r="F89" s="391"/>
      <c r="G89" s="391"/>
      <c r="H89" s="392"/>
      <c r="I89" s="1311"/>
      <c r="J89" s="2023"/>
      <c r="K89" s="3357"/>
      <c r="L89" s="3015" t="s">
        <v>27</v>
      </c>
      <c r="M89" s="3006"/>
      <c r="N89" s="52">
        <f ca="1">ROUND(SUM(N83:N88),0)</f>
        <v>580</v>
      </c>
      <c r="O89" s="3016">
        <f ca="1">N89/N69</f>
        <v>1.6298086379857812E-2</v>
      </c>
      <c r="P89" s="2018"/>
      <c r="Q89" s="2018"/>
      <c r="R89" s="2018"/>
      <c r="S89" s="2018"/>
      <c r="T89" s="2018"/>
      <c r="U89" s="2018"/>
      <c r="V89" s="2018"/>
      <c r="W89" s="2022"/>
      <c r="X89" s="2022"/>
      <c r="Y89" s="2022"/>
      <c r="Z89" s="2022"/>
    </row>
    <row r="90" spans="1:26" s="1309" customFormat="1" ht="14.25">
      <c r="A90" s="380" t="s">
        <v>1823</v>
      </c>
      <c r="B90" s="381" t="s">
        <v>439</v>
      </c>
      <c r="C90" s="384">
        <f ca="1">ROUND(D63/(1+'数据-取费表'!C42),0)</f>
        <v>20335</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1829</v>
      </c>
      <c r="B91" s="347" t="s">
        <v>440</v>
      </c>
      <c r="C91" s="384">
        <f ca="1">C92+C96</f>
        <v>2683</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300" t="s">
        <v>447</v>
      </c>
      <c r="F94" s="3299"/>
      <c r="G94" s="3299"/>
      <c r="H94" s="3336"/>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122</v>
      </c>
      <c r="D96" s="405">
        <f>'数据-取费表'!B43</f>
        <v>6.000000000000001E-3</v>
      </c>
      <c r="E96" s="3328" t="s">
        <v>2428</v>
      </c>
      <c r="F96" s="3329"/>
      <c r="G96" s="3329"/>
      <c r="H96" s="3330"/>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1" t="s">
        <v>451</v>
      </c>
      <c r="C97" s="384">
        <f ca="1">C90-C91</f>
        <v>17652</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6.5792023853894896</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6" t="s">
        <v>453</v>
      </c>
      <c r="C99" s="407">
        <f ca="1">ROUND(IF(C97&lt;=0,0,IF(C98&gt;=200%,C97*60%-C91*35%,IF(C98&gt;=100%,C97*50%-C91*15%,IF(C98&gt;=50%,C97*40%-C91*5%,IF(C98&lt;50%,C97*30%,0))))),0)</f>
        <v>9652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9" t="s">
        <v>454</v>
      </c>
      <c r="B101" s="3340"/>
      <c r="C101" s="3340"/>
      <c r="D101" s="3340"/>
      <c r="E101" s="3340"/>
      <c r="F101" s="3340"/>
      <c r="G101" s="3340"/>
      <c r="H101" s="334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7" t="s">
        <v>428</v>
      </c>
      <c r="B102" s="3338"/>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1823</v>
      </c>
      <c r="B103" s="381" t="s">
        <v>439</v>
      </c>
      <c r="C103" s="384">
        <f ca="1">ROUND(D63/(1+'数据-取费表'!C42),0)</f>
        <v>20335</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1829</v>
      </c>
      <c r="B104" s="347" t="s">
        <v>440</v>
      </c>
      <c r="C104" s="384">
        <f ca="1">IF(H106="仅含出让金",C105+C108+C109+C110+C111+C112,C105+C109+C110+C111+C112)</f>
        <v>812</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1830</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1831</v>
      </c>
      <c r="B106" s="375" t="s">
        <v>456</v>
      </c>
      <c r="C106" s="415">
        <v>555</v>
      </c>
      <c r="D106" s="405"/>
      <c r="E106" s="416" t="s">
        <v>457</v>
      </c>
      <c r="F106" s="985"/>
      <c r="G106" s="417" t="s">
        <v>458</v>
      </c>
      <c r="H106" s="418"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31" t="s">
        <v>462</v>
      </c>
      <c r="F109" s="3329"/>
      <c r="G109" s="3329"/>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31" t="s">
        <v>464</v>
      </c>
      <c r="F110" s="3329"/>
      <c r="G110" s="3329"/>
      <c r="H110" s="3330"/>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122</v>
      </c>
      <c r="D111" s="405">
        <f>'数据-取费表'!B43</f>
        <v>6.000000000000001E-3</v>
      </c>
      <c r="E111" s="3328" t="s">
        <v>2428</v>
      </c>
      <c r="F111" s="3329"/>
      <c r="G111" s="3329"/>
      <c r="H111" s="3330"/>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31" t="s">
        <v>2453</v>
      </c>
      <c r="F112" s="3329"/>
      <c r="G112" s="3329"/>
      <c r="H112" s="3330"/>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1" t="s">
        <v>451</v>
      </c>
      <c r="C113" s="384">
        <f ca="1">ROUND(C103-C104,0)</f>
        <v>19523</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24.043103448275861</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6" t="s">
        <v>453</v>
      </c>
      <c r="C115" s="407">
        <f ca="1">ROUND(IF(C113&lt;=0,0,IF(C114&gt;=200%,C113*60%-C104*35%,IF(C114&gt;=100%,C113*50%-C104*15%,IF(C114&gt;=50%,C113*40%-C104*5%,IF(C114&lt;50%,C113*30%,0))))),0)</f>
        <v>11430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F63" sqref="F6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34294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12614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39891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2659</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82" t="s">
        <v>522</v>
      </c>
      <c r="D6" s="3383"/>
      <c r="E6" s="3382" t="s">
        <v>523</v>
      </c>
      <c r="F6" s="3383"/>
      <c r="G6" s="3382" t="s">
        <v>524</v>
      </c>
      <c r="H6" s="3383"/>
      <c r="I6" s="3382" t="s">
        <v>525</v>
      </c>
      <c r="J6" s="3383"/>
      <c r="K6" s="513" t="s">
        <v>526</v>
      </c>
      <c r="L6" s="2118"/>
      <c r="M6" s="2117"/>
      <c r="N6" s="2117"/>
      <c r="O6" s="2119"/>
      <c r="P6" s="3384" t="s">
        <v>527</v>
      </c>
      <c r="Q6" s="3385"/>
      <c r="R6" s="3390" t="s">
        <v>523</v>
      </c>
      <c r="S6" s="3391"/>
      <c r="T6" s="3390" t="s">
        <v>524</v>
      </c>
      <c r="U6" s="3391"/>
      <c r="V6" s="3377" t="s">
        <v>525</v>
      </c>
      <c r="W6" s="3377"/>
      <c r="X6" s="1553"/>
      <c r="Y6" s="3390" t="s">
        <v>527</v>
      </c>
      <c r="Z6" s="3391"/>
      <c r="AA6" s="3379" t="s">
        <v>523</v>
      </c>
      <c r="AB6" s="3380" t="s">
        <v>524</v>
      </c>
      <c r="AC6" s="3379" t="s">
        <v>525</v>
      </c>
    </row>
    <row r="7" spans="1:30" ht="43.5" customHeight="1">
      <c r="A7" s="514"/>
      <c r="B7" s="515"/>
      <c r="C7" s="3398" t="s">
        <v>2926</v>
      </c>
      <c r="D7" s="3399"/>
      <c r="E7" s="3398" t="str">
        <f>土地及房屋在售案例!A30</f>
        <v>吴中区高新区迎春路东侧、吴中东路南侧</v>
      </c>
      <c r="F7" s="3399"/>
      <c r="G7" s="3398" t="str">
        <f>土地及房屋在售案例!A33</f>
        <v>吴中区木渎镇金长路北侧、金枫路东侧</v>
      </c>
      <c r="H7" s="3399"/>
      <c r="I7" s="3398" t="str">
        <f>土地及房屋在售案例!A13</f>
        <v>吴中区开发区郭巷街道赶湖路南侧、花泾港路西侧</v>
      </c>
      <c r="J7" s="3399"/>
      <c r="K7" s="513"/>
      <c r="L7" s="2118"/>
      <c r="M7" s="2117"/>
      <c r="N7" s="2117"/>
      <c r="O7" s="2119"/>
      <c r="P7" s="3386"/>
      <c r="Q7" s="3387"/>
      <c r="R7" s="3392"/>
      <c r="S7" s="3393"/>
      <c r="T7" s="3392"/>
      <c r="U7" s="3393"/>
      <c r="V7" s="3377"/>
      <c r="W7" s="3377"/>
      <c r="X7" s="1553"/>
      <c r="Y7" s="3392"/>
      <c r="Z7" s="3393"/>
      <c r="AA7" s="3380"/>
      <c r="AB7" s="3380"/>
      <c r="AC7" s="3380"/>
    </row>
    <row r="8" spans="1:30" ht="21" thickBot="1">
      <c r="A8" s="514"/>
      <c r="B8" s="515"/>
      <c r="C8" s="3400" t="s">
        <v>2930</v>
      </c>
      <c r="D8" s="3401"/>
      <c r="E8" s="3400" t="s">
        <v>2930</v>
      </c>
      <c r="F8" s="3401"/>
      <c r="G8" s="3396" t="s">
        <v>2930</v>
      </c>
      <c r="H8" s="3397"/>
      <c r="I8" s="3396" t="s">
        <v>2930</v>
      </c>
      <c r="J8" s="3397"/>
      <c r="K8" s="513" t="s">
        <v>528</v>
      </c>
      <c r="L8" s="2118"/>
      <c r="M8" s="2117"/>
      <c r="N8" s="2117"/>
      <c r="O8" s="2119"/>
      <c r="P8" s="3388"/>
      <c r="Q8" s="3389"/>
      <c r="R8" s="3392"/>
      <c r="S8" s="3393"/>
      <c r="T8" s="3394"/>
      <c r="U8" s="3395"/>
      <c r="V8" s="3377"/>
      <c r="W8" s="3377"/>
      <c r="X8" s="1553"/>
      <c r="Y8" s="3394"/>
      <c r="Z8" s="3395"/>
      <c r="AA8" s="3381"/>
      <c r="AB8" s="3381"/>
      <c r="AC8" s="3381"/>
    </row>
    <row r="9" spans="1:30" s="1215" customFormat="1" ht="21" thickBot="1">
      <c r="A9" s="2866"/>
      <c r="B9" s="2873" t="s">
        <v>529</v>
      </c>
      <c r="C9" s="2865">
        <f>'数据-取费表'!B2</f>
        <v>43754</v>
      </c>
      <c r="D9" s="519">
        <v>100</v>
      </c>
      <c r="E9" s="520" t="str">
        <f>土地及房屋在售案例!H30</f>
        <v>2017-09-05</v>
      </c>
      <c r="F9" s="521">
        <f>SUMIF(72:72,YEAR(E9)&amp;"-"&amp;INT((MONTH(E9)+2)/3),73:73)</f>
        <v>91</v>
      </c>
      <c r="G9" s="522" t="str">
        <f>土地及房屋在售案例!H33</f>
        <v>2017-06-12</v>
      </c>
      <c r="H9" s="519">
        <f>SUMIF(72:72,YEAR(G9)&amp;"-"&amp;INT((MONTH(G9)+2)/3),73:73)</f>
        <v>90</v>
      </c>
      <c r="I9" s="522" t="str">
        <f>土地及房屋在售案例!H13</f>
        <v>2019-04-24</v>
      </c>
      <c r="J9" s="519">
        <f>SUMIF(72:72,YEAR(I9)&amp;"-"&amp;INT((MONTH(I9)+2)/3),73:73)</f>
        <v>98</v>
      </c>
      <c r="K9" s="523"/>
      <c r="L9" s="2120"/>
      <c r="M9" s="2117"/>
      <c r="N9" s="2117"/>
      <c r="O9" s="2121"/>
      <c r="P9" s="3407" t="s">
        <v>530</v>
      </c>
      <c r="Q9" s="3409"/>
      <c r="R9" s="1554" t="s">
        <v>8</v>
      </c>
      <c r="S9" s="1555">
        <f t="shared" ref="S9:S17" si="0">F9</f>
        <v>91</v>
      </c>
      <c r="T9" s="1554" t="s">
        <v>8</v>
      </c>
      <c r="U9" s="1555">
        <f t="shared" ref="U9:U17" si="1">H9</f>
        <v>90</v>
      </c>
      <c r="V9" s="1554" t="s">
        <v>8</v>
      </c>
      <c r="W9" s="1555">
        <f t="shared" ref="W9:W17" si="2">J9</f>
        <v>98</v>
      </c>
      <c r="X9" s="1556"/>
      <c r="Y9" s="3407" t="s">
        <v>530</v>
      </c>
      <c r="Z9" s="3408"/>
      <c r="AA9" s="1557">
        <f>D9/F9</f>
        <v>1.098901098901099</v>
      </c>
      <c r="AB9" s="1557">
        <f>D9/H9</f>
        <v>1.1111111111111112</v>
      </c>
      <c r="AC9" s="1557">
        <f>D9/J9</f>
        <v>1.0204081632653061</v>
      </c>
    </row>
    <row r="10" spans="1:30" s="1215" customFormat="1" ht="21" thickBot="1">
      <c r="A10" s="2867"/>
      <c r="B10" s="2874" t="s">
        <v>531</v>
      </c>
      <c r="C10" s="855" t="s">
        <v>532</v>
      </c>
      <c r="D10" s="519">
        <v>100</v>
      </c>
      <c r="E10" s="524" t="s">
        <v>3201</v>
      </c>
      <c r="F10" s="521">
        <f>SUMIF(75:75,E10,76:76)-SUMIF(75:75,C10,76:76)+100</f>
        <v>100</v>
      </c>
      <c r="G10" s="524" t="s">
        <v>3201</v>
      </c>
      <c r="H10" s="519">
        <f>SUMIF(75:75,G10,76:76)-SUMIF(75:75,C10,76:76)+100</f>
        <v>100</v>
      </c>
      <c r="I10" s="524" t="s">
        <v>3201</v>
      </c>
      <c r="J10" s="519">
        <f>SUMIF(75:75,I10,76:76)-SUMIF(75:75,C10,76:76)+100</f>
        <v>100</v>
      </c>
      <c r="K10" s="523"/>
      <c r="L10" s="2120"/>
      <c r="M10" s="2117"/>
      <c r="N10" s="2117"/>
      <c r="O10" s="2121"/>
      <c r="P10" s="3407" t="s">
        <v>533</v>
      </c>
      <c r="Q10" s="3408"/>
      <c r="R10" s="1554" t="s">
        <v>8</v>
      </c>
      <c r="S10" s="1555">
        <f t="shared" si="0"/>
        <v>100</v>
      </c>
      <c r="T10" s="1554" t="s">
        <v>8</v>
      </c>
      <c r="U10" s="1555">
        <f t="shared" si="1"/>
        <v>100</v>
      </c>
      <c r="V10" s="1554" t="s">
        <v>8</v>
      </c>
      <c r="W10" s="1555">
        <f t="shared" si="2"/>
        <v>100</v>
      </c>
      <c r="X10" s="1556"/>
      <c r="Y10" s="3407" t="s">
        <v>533</v>
      </c>
      <c r="Z10" s="3408"/>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20"/>
      <c r="M11" s="2117"/>
      <c r="N11" s="2117"/>
      <c r="O11" s="2122"/>
      <c r="P11" s="3376" t="s">
        <v>535</v>
      </c>
      <c r="Q11" s="1146" t="str">
        <f t="shared" ref="Q11:Q17" si="6">B11</f>
        <v>用途</v>
      </c>
      <c r="R11" s="1554" t="s">
        <v>8</v>
      </c>
      <c r="S11" s="1555">
        <f t="shared" si="0"/>
        <v>100</v>
      </c>
      <c r="T11" s="1554" t="s">
        <v>8</v>
      </c>
      <c r="U11" s="1555">
        <f t="shared" si="1"/>
        <v>100</v>
      </c>
      <c r="V11" s="1554" t="s">
        <v>8</v>
      </c>
      <c r="W11" s="1555">
        <f t="shared" si="2"/>
        <v>100</v>
      </c>
      <c r="X11" s="1556"/>
      <c r="Y11" s="3322" t="s">
        <v>536</v>
      </c>
      <c r="Z11" s="1145" t="str">
        <f t="shared" ref="Z11:Z17" si="7">Q11</f>
        <v>用途</v>
      </c>
      <c r="AA11" s="1557">
        <f t="shared" si="3"/>
        <v>1</v>
      </c>
      <c r="AB11" s="1557">
        <f t="shared" si="4"/>
        <v>1</v>
      </c>
      <c r="AC11" s="1557">
        <f t="shared" si="5"/>
        <v>1</v>
      </c>
    </row>
    <row r="12" spans="1:30" s="1333" customFormat="1" ht="27">
      <c r="A12" s="2869"/>
      <c r="B12" s="2874" t="s">
        <v>2756</v>
      </c>
      <c r="C12" s="909"/>
      <c r="D12" s="254">
        <v>100</v>
      </c>
      <c r="E12" s="528"/>
      <c r="F12" s="254">
        <f>ROUND(100/'数据-取费表'!G16,0)</f>
        <v>101</v>
      </c>
      <c r="G12" s="529"/>
      <c r="H12" s="254">
        <f>ROUND(100/'数据-取费表'!G16,0)</f>
        <v>101</v>
      </c>
      <c r="I12" s="529"/>
      <c r="J12" s="254">
        <f>ROUND(100/'数据-取费表'!G16,0)</f>
        <v>101</v>
      </c>
      <c r="K12" s="530"/>
      <c r="L12" s="2123"/>
      <c r="M12" s="2117"/>
      <c r="N12" s="2117"/>
      <c r="O12" s="2124"/>
      <c r="P12" s="3376"/>
      <c r="Q12" s="1146" t="str">
        <f t="shared" si="6"/>
        <v>土地使用年限（年）</v>
      </c>
      <c r="R12" s="1554" t="s">
        <v>8</v>
      </c>
      <c r="S12" s="1555">
        <f t="shared" si="0"/>
        <v>101</v>
      </c>
      <c r="T12" s="1554" t="s">
        <v>8</v>
      </c>
      <c r="U12" s="1555">
        <f t="shared" si="1"/>
        <v>101</v>
      </c>
      <c r="V12" s="1554" t="s">
        <v>8</v>
      </c>
      <c r="W12" s="1555">
        <f t="shared" si="2"/>
        <v>101</v>
      </c>
      <c r="X12" s="1556"/>
      <c r="Y12" s="3322"/>
      <c r="Z12" s="1145" t="str">
        <f t="shared" si="7"/>
        <v>土地使用年限（年）</v>
      </c>
      <c r="AA12" s="1557">
        <f t="shared" si="3"/>
        <v>0.99009900990099009</v>
      </c>
      <c r="AB12" s="1557">
        <f t="shared" si="4"/>
        <v>0.99009900990099009</v>
      </c>
      <c r="AC12" s="1557">
        <f t="shared" si="5"/>
        <v>0.99009900990099009</v>
      </c>
    </row>
    <row r="13" spans="1:30" ht="20.25">
      <c r="A13" s="2870"/>
      <c r="B13" s="2874" t="s">
        <v>2757</v>
      </c>
      <c r="C13" s="533">
        <v>2.2000000000000002</v>
      </c>
      <c r="D13" s="254">
        <v>100</v>
      </c>
      <c r="E13" s="532">
        <v>1.8</v>
      </c>
      <c r="F13" s="254">
        <f>LOOKUP(E13,82:82,83:83)-LOOKUP(C13,82:82,83:83)+100</f>
        <v>102</v>
      </c>
      <c r="G13" s="533">
        <v>2.2000000000000002</v>
      </c>
      <c r="H13" s="254">
        <f>LOOKUP(G13,82:82,83:83)-LOOKUP(C13,82:82,83:83)+100</f>
        <v>100</v>
      </c>
      <c r="I13" s="532">
        <v>1.7</v>
      </c>
      <c r="J13" s="254">
        <f>LOOKUP(I13,82:82,83:83)-LOOKUP(C13,82:82,83:83)+100</f>
        <v>102</v>
      </c>
      <c r="K13" s="534">
        <v>2</v>
      </c>
      <c r="L13" s="2125"/>
      <c r="M13" s="2117"/>
      <c r="N13" s="2117"/>
      <c r="O13" s="2126"/>
      <c r="P13" s="3376"/>
      <c r="Q13" s="1146" t="str">
        <f t="shared" si="6"/>
        <v>容积率</v>
      </c>
      <c r="R13" s="1554" t="s">
        <v>8</v>
      </c>
      <c r="S13" s="1555">
        <f t="shared" si="0"/>
        <v>102</v>
      </c>
      <c r="T13" s="1554" t="s">
        <v>8</v>
      </c>
      <c r="U13" s="1555">
        <f t="shared" si="1"/>
        <v>100</v>
      </c>
      <c r="V13" s="1554" t="s">
        <v>8</v>
      </c>
      <c r="W13" s="1555">
        <f t="shared" si="2"/>
        <v>102</v>
      </c>
      <c r="X13" s="1556"/>
      <c r="Y13" s="3322"/>
      <c r="Z13" s="1145" t="str">
        <f t="shared" si="7"/>
        <v>容积率</v>
      </c>
      <c r="AA13" s="1557">
        <f t="shared" si="3"/>
        <v>0.98039215686274506</v>
      </c>
      <c r="AB13" s="1557">
        <f t="shared" si="4"/>
        <v>1</v>
      </c>
      <c r="AC13" s="1557">
        <f t="shared" si="5"/>
        <v>0.98039215686274506</v>
      </c>
    </row>
    <row r="14" spans="1:30" s="1215" customFormat="1" ht="20.25">
      <c r="A14" s="2867"/>
      <c r="B14" s="2876" t="s">
        <v>2758</v>
      </c>
      <c r="C14" s="2863"/>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6"/>
      <c r="Q14" s="1146" t="str">
        <f t="shared" si="6"/>
        <v>配建</v>
      </c>
      <c r="R14" s="1554" t="s">
        <v>8</v>
      </c>
      <c r="S14" s="1555">
        <f t="shared" si="0"/>
        <v>100</v>
      </c>
      <c r="T14" s="1554" t="s">
        <v>8</v>
      </c>
      <c r="U14" s="1555">
        <f t="shared" si="1"/>
        <v>100</v>
      </c>
      <c r="V14" s="1554" t="s">
        <v>8</v>
      </c>
      <c r="W14" s="1555">
        <f t="shared" si="2"/>
        <v>100</v>
      </c>
      <c r="X14" s="1556"/>
      <c r="Y14" s="3322"/>
      <c r="Z14" s="1145" t="str">
        <f t="shared" si="7"/>
        <v>配建</v>
      </c>
      <c r="AA14" s="1557">
        <f>D14/F14</f>
        <v>1</v>
      </c>
      <c r="AB14" s="1557">
        <f>D14/H14</f>
        <v>1</v>
      </c>
      <c r="AC14" s="1557">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6"/>
      <c r="Q15" s="1146">
        <f t="shared" si="6"/>
        <v>111</v>
      </c>
      <c r="R15" s="1554" t="s">
        <v>8</v>
      </c>
      <c r="S15" s="1555">
        <f t="shared" si="0"/>
        <v>100</v>
      </c>
      <c r="T15" s="1554" t="s">
        <v>8</v>
      </c>
      <c r="U15" s="1555">
        <f t="shared" si="1"/>
        <v>100</v>
      </c>
      <c r="V15" s="1554" t="s">
        <v>8</v>
      </c>
      <c r="W15" s="1555">
        <f t="shared" si="2"/>
        <v>100</v>
      </c>
      <c r="X15" s="1556"/>
      <c r="Y15" s="3322"/>
      <c r="Z15" s="1145">
        <f t="shared" si="7"/>
        <v>111</v>
      </c>
      <c r="AA15" s="1557">
        <f>D15/F15</f>
        <v>1</v>
      </c>
      <c r="AB15" s="1557">
        <f>D15/H15</f>
        <v>1</v>
      </c>
      <c r="AC15" s="1557">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6"/>
      <c r="Q16" s="1146">
        <f t="shared" si="6"/>
        <v>111</v>
      </c>
      <c r="R16" s="1554" t="s">
        <v>8</v>
      </c>
      <c r="S16" s="1555">
        <f t="shared" si="0"/>
        <v>100</v>
      </c>
      <c r="T16" s="1554" t="s">
        <v>8</v>
      </c>
      <c r="U16" s="1555">
        <f t="shared" si="1"/>
        <v>100</v>
      </c>
      <c r="V16" s="1554" t="s">
        <v>8</v>
      </c>
      <c r="W16" s="1555">
        <f t="shared" si="2"/>
        <v>100</v>
      </c>
      <c r="X16" s="1556"/>
      <c r="Y16" s="3322"/>
      <c r="Z16" s="1145">
        <f t="shared" si="7"/>
        <v>111</v>
      </c>
      <c r="AA16" s="1557">
        <f>D16/F16</f>
        <v>1</v>
      </c>
      <c r="AB16" s="1557">
        <f>D16/H16</f>
        <v>1</v>
      </c>
      <c r="AC16" s="1557">
        <f>D16/J16</f>
        <v>1</v>
      </c>
    </row>
    <row r="17" spans="1:29" ht="99.75">
      <c r="A17" s="2864"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95</v>
      </c>
      <c r="K17" s="534">
        <v>5</v>
      </c>
      <c r="L17" s="2127"/>
      <c r="M17" s="2117"/>
      <c r="N17" s="2117"/>
      <c r="O17" s="2126"/>
      <c r="P17" s="3410" t="s">
        <v>540</v>
      </c>
      <c r="Q17" s="1558" t="str">
        <f t="shared" si="6"/>
        <v>居住社区成熟度</v>
      </c>
      <c r="R17" s="1559" t="s">
        <v>8</v>
      </c>
      <c r="S17" s="1560">
        <f t="shared" si="0"/>
        <v>100</v>
      </c>
      <c r="T17" s="1559" t="s">
        <v>8</v>
      </c>
      <c r="U17" s="1560">
        <f t="shared" si="1"/>
        <v>100</v>
      </c>
      <c r="V17" s="1559" t="s">
        <v>8</v>
      </c>
      <c r="W17" s="1560">
        <f t="shared" si="2"/>
        <v>95</v>
      </c>
      <c r="X17" s="1553"/>
      <c r="Y17" s="3410" t="s">
        <v>540</v>
      </c>
      <c r="Z17" s="1561" t="str">
        <f t="shared" si="7"/>
        <v>居住社区成熟度</v>
      </c>
      <c r="AA17" s="1562">
        <f t="shared" si="3"/>
        <v>1</v>
      </c>
      <c r="AB17" s="1562">
        <f t="shared" si="4"/>
        <v>1</v>
      </c>
      <c r="AC17" s="1562">
        <f t="shared" si="5"/>
        <v>1.0526315789473684</v>
      </c>
    </row>
    <row r="18" spans="1:29" ht="20.25">
      <c r="A18" s="531"/>
      <c r="B18" s="552"/>
      <c r="C18" s="553" t="s">
        <v>3224</v>
      </c>
      <c r="D18" s="556"/>
      <c r="E18" s="578" t="s">
        <v>3224</v>
      </c>
      <c r="F18" s="554"/>
      <c r="G18" s="578" t="s">
        <v>3224</v>
      </c>
      <c r="H18" s="558"/>
      <c r="I18" s="578" t="s">
        <v>3225</v>
      </c>
      <c r="J18" s="554"/>
      <c r="K18" s="530"/>
      <c r="L18" s="2127"/>
      <c r="M18" s="2117"/>
      <c r="N18" s="2117"/>
      <c r="O18" s="2126"/>
      <c r="P18" s="3411"/>
      <c r="Q18" s="1558"/>
      <c r="R18" s="1559"/>
      <c r="S18" s="1560"/>
      <c r="T18" s="1559"/>
      <c r="U18" s="1560"/>
      <c r="V18" s="1559"/>
      <c r="W18" s="1560"/>
      <c r="X18" s="1553"/>
      <c r="Y18" s="3411"/>
      <c r="Z18" s="1561"/>
      <c r="AA18" s="1562">
        <v>1</v>
      </c>
      <c r="AB18" s="1562">
        <v>1</v>
      </c>
      <c r="AC18" s="1562">
        <v>1</v>
      </c>
    </row>
    <row r="19" spans="1:29" ht="99.75">
      <c r="A19" s="531"/>
      <c r="B19" s="559"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97</v>
      </c>
      <c r="K19" s="534">
        <v>3</v>
      </c>
      <c r="L19" s="2127"/>
      <c r="M19" s="2117"/>
      <c r="N19" s="2117"/>
      <c r="O19" s="2126"/>
      <c r="P19" s="3411"/>
      <c r="Q19" s="1558" t="str">
        <f>B19</f>
        <v>商业繁华度</v>
      </c>
      <c r="R19" s="1559" t="s">
        <v>8</v>
      </c>
      <c r="S19" s="1560">
        <f>F19</f>
        <v>100</v>
      </c>
      <c r="T19" s="1559" t="s">
        <v>8</v>
      </c>
      <c r="U19" s="1560">
        <f>H19</f>
        <v>100</v>
      </c>
      <c r="V19" s="1559" t="s">
        <v>8</v>
      </c>
      <c r="W19" s="1560">
        <f>J19</f>
        <v>97</v>
      </c>
      <c r="X19" s="1553"/>
      <c r="Y19" s="3411"/>
      <c r="Z19" s="1561" t="str">
        <f>Q19</f>
        <v>商业繁华度</v>
      </c>
      <c r="AA19" s="1562">
        <f t="shared" si="3"/>
        <v>1</v>
      </c>
      <c r="AB19" s="1562">
        <f t="shared" si="4"/>
        <v>1</v>
      </c>
      <c r="AC19" s="1562">
        <f t="shared" si="5"/>
        <v>1.0309278350515463</v>
      </c>
    </row>
    <row r="20" spans="1:29" ht="20.25">
      <c r="A20" s="531"/>
      <c r="B20" s="565"/>
      <c r="C20" s="566" t="s">
        <v>3224</v>
      </c>
      <c r="D20" s="562"/>
      <c r="E20" s="578" t="s">
        <v>3224</v>
      </c>
      <c r="F20" s="558"/>
      <c r="G20" s="578" t="s">
        <v>3224</v>
      </c>
      <c r="H20" s="554"/>
      <c r="I20" s="578" t="s">
        <v>3225</v>
      </c>
      <c r="J20" s="554"/>
      <c r="K20" s="530"/>
      <c r="L20" s="2127"/>
      <c r="M20" s="2117"/>
      <c r="N20" s="2117"/>
      <c r="O20" s="2126"/>
      <c r="P20" s="3411"/>
      <c r="Q20" s="1558"/>
      <c r="R20" s="1559"/>
      <c r="S20" s="1560"/>
      <c r="T20" s="1559"/>
      <c r="U20" s="1560"/>
      <c r="V20" s="1559"/>
      <c r="W20" s="1560"/>
      <c r="X20" s="1553"/>
      <c r="Y20" s="3411"/>
      <c r="Z20" s="1561"/>
      <c r="AA20" s="1562">
        <v>1</v>
      </c>
      <c r="AB20" s="1562">
        <v>1</v>
      </c>
      <c r="AC20" s="1562">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11"/>
      <c r="Q21" s="1558" t="str">
        <f>B21</f>
        <v>办公集聚程度</v>
      </c>
      <c r="R21" s="1559" t="s">
        <v>8</v>
      </c>
      <c r="S21" s="1560">
        <f>F21</f>
        <v>100</v>
      </c>
      <c r="T21" s="1559" t="s">
        <v>8</v>
      </c>
      <c r="U21" s="1560">
        <f>H21</f>
        <v>100</v>
      </c>
      <c r="V21" s="1559" t="s">
        <v>8</v>
      </c>
      <c r="W21" s="1560">
        <f>J21</f>
        <v>100</v>
      </c>
      <c r="X21" s="1553"/>
      <c r="Y21" s="3411"/>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7"/>
      <c r="M22" s="2117"/>
      <c r="N22" s="2117"/>
      <c r="O22" s="2126"/>
      <c r="P22" s="3411"/>
      <c r="Q22" s="1558"/>
      <c r="R22" s="1559"/>
      <c r="S22" s="1560"/>
      <c r="T22" s="1559"/>
      <c r="U22" s="1560"/>
      <c r="V22" s="1559"/>
      <c r="W22" s="1560"/>
      <c r="X22" s="1553"/>
      <c r="Y22" s="3411"/>
      <c r="Z22" s="1561"/>
      <c r="AA22" s="1562">
        <v>1</v>
      </c>
      <c r="AB22" s="1562">
        <v>1</v>
      </c>
      <c r="AC22" s="1562">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100</v>
      </c>
      <c r="I23" s="563"/>
      <c r="J23" s="558">
        <f>SUMIF(96:96,I24,97:97)-SUMIF(96:96,C24,97:97)+100</f>
        <v>97</v>
      </c>
      <c r="K23" s="534">
        <v>3</v>
      </c>
      <c r="L23" s="2127"/>
      <c r="M23" s="2117"/>
      <c r="N23" s="2117"/>
      <c r="O23" s="2126"/>
      <c r="P23" s="3411"/>
      <c r="Q23" s="1558" t="str">
        <f>B23</f>
        <v>交通便捷度</v>
      </c>
      <c r="R23" s="1559" t="s">
        <v>8</v>
      </c>
      <c r="S23" s="1560">
        <f>F23</f>
        <v>100</v>
      </c>
      <c r="T23" s="1559" t="s">
        <v>8</v>
      </c>
      <c r="U23" s="1560">
        <f>H23</f>
        <v>100</v>
      </c>
      <c r="V23" s="1559" t="s">
        <v>8</v>
      </c>
      <c r="W23" s="1560">
        <f>J23</f>
        <v>97</v>
      </c>
      <c r="X23" s="1553"/>
      <c r="Y23" s="3411"/>
      <c r="Z23" s="1561" t="str">
        <f>Q23</f>
        <v>交通便捷度</v>
      </c>
      <c r="AA23" s="1562">
        <f t="shared" si="3"/>
        <v>1</v>
      </c>
      <c r="AB23" s="1562">
        <f t="shared" si="4"/>
        <v>1</v>
      </c>
      <c r="AC23" s="1562">
        <f t="shared" si="5"/>
        <v>1.0309278350515463</v>
      </c>
    </row>
    <row r="24" spans="1:29" ht="20.25">
      <c r="A24" s="531"/>
      <c r="B24" s="577"/>
      <c r="C24" s="553" t="s">
        <v>3224</v>
      </c>
      <c r="D24" s="556"/>
      <c r="E24" s="578" t="s">
        <v>3224</v>
      </c>
      <c r="F24" s="554"/>
      <c r="G24" s="578" t="s">
        <v>3224</v>
      </c>
      <c r="H24" s="554"/>
      <c r="I24" s="578" t="s">
        <v>3225</v>
      </c>
      <c r="J24" s="554"/>
      <c r="K24" s="530"/>
      <c r="L24" s="2127"/>
      <c r="M24" s="2117"/>
      <c r="N24" s="2117"/>
      <c r="O24" s="2126"/>
      <c r="P24" s="3411"/>
      <c r="Q24" s="1558"/>
      <c r="R24" s="1559"/>
      <c r="S24" s="1560"/>
      <c r="T24" s="1559"/>
      <c r="U24" s="1560"/>
      <c r="V24" s="1559"/>
      <c r="W24" s="1560"/>
      <c r="X24" s="1553"/>
      <c r="Y24" s="3411"/>
      <c r="Z24" s="1561"/>
      <c r="AA24" s="1562">
        <v>1</v>
      </c>
      <c r="AB24" s="1562">
        <v>1</v>
      </c>
      <c r="AC24" s="1562">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411"/>
      <c r="Q25" s="1558" t="str">
        <f t="shared" ref="Q25:Q39" si="8">B25</f>
        <v>区域土地利用方向</v>
      </c>
      <c r="R25" s="1559" t="s">
        <v>8</v>
      </c>
      <c r="S25" s="1560">
        <f>F25</f>
        <v>100</v>
      </c>
      <c r="T25" s="1559" t="s">
        <v>8</v>
      </c>
      <c r="U25" s="1560">
        <f>H25</f>
        <v>100</v>
      </c>
      <c r="V25" s="1559" t="s">
        <v>8</v>
      </c>
      <c r="W25" s="1560">
        <f>J25</f>
        <v>100</v>
      </c>
      <c r="X25" s="1553"/>
      <c r="Y25" s="3411"/>
      <c r="Z25" s="1561" t="str">
        <f>Q25</f>
        <v>区域土地利用方向</v>
      </c>
      <c r="AA25" s="1562">
        <f t="shared" si="3"/>
        <v>1</v>
      </c>
      <c r="AB25" s="1562">
        <f t="shared" si="4"/>
        <v>1</v>
      </c>
      <c r="AC25" s="1562">
        <f t="shared" si="5"/>
        <v>1</v>
      </c>
    </row>
    <row r="26" spans="1:29" ht="20.25">
      <c r="A26" s="514"/>
      <c r="B26" s="1006"/>
      <c r="C26" s="553" t="s">
        <v>3224</v>
      </c>
      <c r="D26" s="556"/>
      <c r="E26" s="578" t="s">
        <v>3224</v>
      </c>
      <c r="F26" s="554"/>
      <c r="G26" s="578" t="s">
        <v>3224</v>
      </c>
      <c r="H26" s="554"/>
      <c r="I26" s="578" t="s">
        <v>3224</v>
      </c>
      <c r="J26" s="554"/>
      <c r="K26" s="530"/>
      <c r="L26" s="2127"/>
      <c r="M26" s="2117"/>
      <c r="N26" s="2117"/>
      <c r="O26" s="2126"/>
      <c r="P26" s="3411"/>
      <c r="Q26" s="1558"/>
      <c r="R26" s="1559"/>
      <c r="S26" s="1560"/>
      <c r="T26" s="1559"/>
      <c r="U26" s="1560"/>
      <c r="V26" s="1559"/>
      <c r="W26" s="1560"/>
      <c r="X26" s="1553"/>
      <c r="Y26" s="3411"/>
      <c r="Z26" s="1561"/>
      <c r="AA26" s="1562"/>
      <c r="AB26" s="1562"/>
      <c r="AC26" s="1562"/>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27"/>
      <c r="M27" s="2117"/>
      <c r="N27" s="2117"/>
      <c r="O27" s="2126"/>
      <c r="P27" s="3411"/>
      <c r="Q27" s="1558" t="str">
        <f t="shared" si="8"/>
        <v>自然及人文环境状况</v>
      </c>
      <c r="R27" s="1559" t="s">
        <v>8</v>
      </c>
      <c r="S27" s="1560">
        <f>F27</f>
        <v>100</v>
      </c>
      <c r="T27" s="1559" t="s">
        <v>8</v>
      </c>
      <c r="U27" s="1560">
        <f>H27</f>
        <v>100</v>
      </c>
      <c r="V27" s="1559" t="s">
        <v>8</v>
      </c>
      <c r="W27" s="1560">
        <f>J27</f>
        <v>100</v>
      </c>
      <c r="X27" s="1553"/>
      <c r="Y27" s="3411"/>
      <c r="Z27" s="1561" t="str">
        <f>Q27</f>
        <v>自然及人文环境状况</v>
      </c>
      <c r="AA27" s="1562">
        <f t="shared" si="3"/>
        <v>1</v>
      </c>
      <c r="AB27" s="1562">
        <f t="shared" si="4"/>
        <v>1</v>
      </c>
      <c r="AC27" s="1562">
        <f t="shared" si="5"/>
        <v>1</v>
      </c>
    </row>
    <row r="28" spans="1:29" ht="20.25">
      <c r="A28" s="514"/>
      <c r="B28" s="565"/>
      <c r="C28" s="553" t="s">
        <v>3224</v>
      </c>
      <c r="D28" s="556"/>
      <c r="E28" s="578" t="s">
        <v>3224</v>
      </c>
      <c r="F28" s="554"/>
      <c r="G28" s="578" t="s">
        <v>3224</v>
      </c>
      <c r="H28" s="554"/>
      <c r="I28" s="578" t="s">
        <v>3224</v>
      </c>
      <c r="J28" s="554"/>
      <c r="K28" s="530"/>
      <c r="L28" s="2127"/>
      <c r="M28" s="2117"/>
      <c r="N28" s="2117"/>
      <c r="O28" s="2126"/>
      <c r="P28" s="3411"/>
      <c r="Q28" s="1558"/>
      <c r="R28" s="1559"/>
      <c r="S28" s="1560"/>
      <c r="T28" s="1559"/>
      <c r="U28" s="1560"/>
      <c r="V28" s="1559"/>
      <c r="W28" s="1560"/>
      <c r="X28" s="1553"/>
      <c r="Y28" s="3411"/>
      <c r="Z28" s="1561"/>
      <c r="AA28" s="1562">
        <v>1</v>
      </c>
      <c r="AB28" s="1562">
        <v>1</v>
      </c>
      <c r="AC28" s="1562">
        <v>1</v>
      </c>
    </row>
    <row r="29" spans="1:29" s="1215" customFormat="1" ht="42.75">
      <c r="A29" s="576"/>
      <c r="B29" s="2555" t="s">
        <v>2548</v>
      </c>
      <c r="C29" s="572" t="str">
        <f>估价对象房地状况!C21</f>
        <v>估价对象所在区域公共配套设施较齐备</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20"/>
      <c r="M29" s="2117"/>
      <c r="N29" s="2117"/>
      <c r="O29" s="2122"/>
      <c r="P29" s="3411"/>
      <c r="Q29" s="1146" t="str">
        <f t="shared" si="8"/>
        <v>公共配套设施</v>
      </c>
      <c r="R29" s="1554" t="s">
        <v>8</v>
      </c>
      <c r="S29" s="1555">
        <f>F29</f>
        <v>100</v>
      </c>
      <c r="T29" s="1554" t="s">
        <v>8</v>
      </c>
      <c r="U29" s="1555">
        <f>H29</f>
        <v>100</v>
      </c>
      <c r="V29" s="1554" t="s">
        <v>8</v>
      </c>
      <c r="W29" s="1555">
        <f>J29</f>
        <v>100</v>
      </c>
      <c r="X29" s="1556"/>
      <c r="Y29" s="3411"/>
      <c r="Z29" s="1145" t="str">
        <f>Q29</f>
        <v>公共配套设施</v>
      </c>
      <c r="AA29" s="1562">
        <f>D29/F29</f>
        <v>1</v>
      </c>
      <c r="AB29" s="1562">
        <f>D29/H29</f>
        <v>1</v>
      </c>
      <c r="AC29" s="1562">
        <f>D29/J29</f>
        <v>1</v>
      </c>
    </row>
    <row r="30" spans="1:29" s="1215" customFormat="1" ht="20.25">
      <c r="A30" s="576"/>
      <c r="B30" s="565"/>
      <c r="C30" s="578" t="s">
        <v>3224</v>
      </c>
      <c r="D30" s="556"/>
      <c r="E30" s="578" t="s">
        <v>3224</v>
      </c>
      <c r="F30" s="554"/>
      <c r="G30" s="578" t="s">
        <v>3224</v>
      </c>
      <c r="H30" s="554"/>
      <c r="I30" s="578" t="s">
        <v>3224</v>
      </c>
      <c r="J30" s="554"/>
      <c r="K30" s="530"/>
      <c r="L30" s="2120"/>
      <c r="M30" s="2117"/>
      <c r="N30" s="2117"/>
      <c r="O30" s="2122"/>
      <c r="P30" s="3411"/>
      <c r="Q30" s="1146"/>
      <c r="R30" s="1554"/>
      <c r="S30" s="1555"/>
      <c r="T30" s="1554"/>
      <c r="U30" s="1555"/>
      <c r="V30" s="1554"/>
      <c r="W30" s="1555"/>
      <c r="X30" s="1556"/>
      <c r="Y30" s="3411"/>
      <c r="Z30" s="1145"/>
      <c r="AA30" s="1562">
        <v>1</v>
      </c>
      <c r="AB30" s="1562">
        <v>1</v>
      </c>
      <c r="AC30" s="1562">
        <v>1</v>
      </c>
    </row>
    <row r="31" spans="1:29" s="1215" customFormat="1" ht="42.75">
      <c r="A31" s="576"/>
      <c r="B31" s="255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411"/>
      <c r="Q31" s="2542" t="str">
        <f t="shared" ref="Q31" si="9">B31</f>
        <v>基础设施水平</v>
      </c>
      <c r="R31" s="1554" t="s">
        <v>8</v>
      </c>
      <c r="S31" s="1555">
        <f>F31</f>
        <v>100</v>
      </c>
      <c r="T31" s="1554" t="s">
        <v>8</v>
      </c>
      <c r="U31" s="1555">
        <f>H31</f>
        <v>100</v>
      </c>
      <c r="V31" s="1554" t="s">
        <v>8</v>
      </c>
      <c r="W31" s="1555">
        <f>J31</f>
        <v>100</v>
      </c>
      <c r="X31" s="1556"/>
      <c r="Y31" s="3411"/>
      <c r="Z31" s="2539" t="str">
        <f>Q31</f>
        <v>基础设施水平</v>
      </c>
      <c r="AA31" s="1562">
        <f>D31/F31</f>
        <v>1</v>
      </c>
      <c r="AB31" s="1562">
        <f>D31/H31</f>
        <v>1</v>
      </c>
      <c r="AC31" s="1562">
        <f>D31/J31</f>
        <v>1</v>
      </c>
    </row>
    <row r="32" spans="1:29" s="1215" customFormat="1" ht="20.25">
      <c r="A32" s="576"/>
      <c r="B32" s="565"/>
      <c r="C32" s="578" t="s">
        <v>3227</v>
      </c>
      <c r="D32" s="556"/>
      <c r="E32" s="578" t="s">
        <v>3227</v>
      </c>
      <c r="F32" s="554"/>
      <c r="G32" s="578" t="s">
        <v>3227</v>
      </c>
      <c r="H32" s="554"/>
      <c r="I32" s="578" t="s">
        <v>3227</v>
      </c>
      <c r="J32" s="554"/>
      <c r="K32" s="530"/>
      <c r="L32" s="2120"/>
      <c r="M32" s="2117"/>
      <c r="N32" s="2117"/>
      <c r="O32" s="2122"/>
      <c r="P32" s="3411"/>
      <c r="Q32" s="2542"/>
      <c r="R32" s="1554"/>
      <c r="S32" s="1555"/>
      <c r="T32" s="1554"/>
      <c r="U32" s="1555"/>
      <c r="V32" s="1554"/>
      <c r="W32" s="1555"/>
      <c r="X32" s="1556"/>
      <c r="Y32" s="3411"/>
      <c r="Z32" s="2539"/>
      <c r="AA32" s="1562">
        <v>1</v>
      </c>
      <c r="AB32" s="1562">
        <v>1</v>
      </c>
      <c r="AC32" s="1562">
        <v>1</v>
      </c>
    </row>
    <row r="33" spans="1:29" ht="20.25">
      <c r="A33" s="531"/>
      <c r="B33" s="565" t="s">
        <v>547</v>
      </c>
      <c r="C33" s="579" t="s">
        <v>3223</v>
      </c>
      <c r="D33" s="574">
        <v>100</v>
      </c>
      <c r="E33" s="582" t="s">
        <v>3223</v>
      </c>
      <c r="F33" s="539">
        <f>SUMIF(106:106,E33,107:107)-SUMIF(106:106,C33,107:107)+100</f>
        <v>100</v>
      </c>
      <c r="G33" s="579" t="s">
        <v>3223</v>
      </c>
      <c r="H33" s="539">
        <f>SUMIF(106:106,G33,107:107)-SUMIF(106:106,C33,107:107)+100</f>
        <v>100</v>
      </c>
      <c r="I33" s="579" t="s">
        <v>3223</v>
      </c>
      <c r="J33" s="539">
        <f>SUMIF(106:106,I33,107:107)-SUMIF(106:106,C33,107:107)+100</f>
        <v>100</v>
      </c>
      <c r="K33" s="534">
        <v>2</v>
      </c>
      <c r="L33" s="2127"/>
      <c r="M33" s="2117"/>
      <c r="N33" s="2117"/>
      <c r="O33" s="2126"/>
      <c r="P33" s="341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1"/>
      <c r="Z33" s="1561" t="str">
        <f t="shared" ref="Z33:Z47" si="13">Q33</f>
        <v>临街状况</v>
      </c>
      <c r="AA33" s="1562">
        <f t="shared" si="3"/>
        <v>1</v>
      </c>
      <c r="AB33" s="1562">
        <f t="shared" si="4"/>
        <v>1</v>
      </c>
      <c r="AC33" s="1562">
        <f t="shared" si="5"/>
        <v>1</v>
      </c>
    </row>
    <row r="34" spans="1:29" ht="27">
      <c r="A34" s="531"/>
      <c r="B34" s="577" t="s">
        <v>548</v>
      </c>
      <c r="C34" s="3190" t="s">
        <v>3234</v>
      </c>
      <c r="D34" s="562">
        <v>100</v>
      </c>
      <c r="E34" s="3189" t="s">
        <v>3233</v>
      </c>
      <c r="F34" s="558">
        <f>SUMIF(108:108,E35,109:109)-SUMIF(108:108,C35,109:109)+100</f>
        <v>98</v>
      </c>
      <c r="G34" s="3190" t="s">
        <v>3232</v>
      </c>
      <c r="H34" s="558">
        <f>SUMIF(108:108,G35,109:109)-SUMIF(108:108,C35,109:109)+100</f>
        <v>96</v>
      </c>
      <c r="I34" s="3189" t="s">
        <v>3231</v>
      </c>
      <c r="J34" s="558">
        <f>SUMIF(108:108,I35,109:109)-SUMIF(108:108,C35,109:109)+100</f>
        <v>96</v>
      </c>
      <c r="K34" s="534">
        <v>2</v>
      </c>
      <c r="L34" s="2127"/>
      <c r="M34" s="2117"/>
      <c r="N34" s="2117"/>
      <c r="O34" s="2126"/>
      <c r="P34" s="3411"/>
      <c r="Q34" s="1558" t="str">
        <f t="shared" si="8"/>
        <v>毗邻道路的类型与等级</v>
      </c>
      <c r="R34" s="1559" t="s">
        <v>8</v>
      </c>
      <c r="S34" s="1560">
        <f t="shared" si="10"/>
        <v>98</v>
      </c>
      <c r="T34" s="1559" t="s">
        <v>8</v>
      </c>
      <c r="U34" s="1560">
        <f t="shared" si="11"/>
        <v>96</v>
      </c>
      <c r="V34" s="1559" t="s">
        <v>8</v>
      </c>
      <c r="W34" s="1560">
        <f t="shared" si="12"/>
        <v>96</v>
      </c>
      <c r="X34" s="1553"/>
      <c r="Y34" s="3411"/>
      <c r="Z34" s="1561" t="str">
        <f t="shared" si="13"/>
        <v>毗邻道路的类型与等级</v>
      </c>
      <c r="AA34" s="1562">
        <f t="shared" si="3"/>
        <v>1.0204081632653061</v>
      </c>
      <c r="AB34" s="1562">
        <f t="shared" si="4"/>
        <v>1.0416666666666667</v>
      </c>
      <c r="AC34" s="1562">
        <f t="shared" si="5"/>
        <v>1.0416666666666667</v>
      </c>
    </row>
    <row r="35" spans="1:29" ht="21" thickBot="1">
      <c r="A35" s="531"/>
      <c r="B35" s="565"/>
      <c r="C35" s="553" t="s">
        <v>3226</v>
      </c>
      <c r="D35" s="556"/>
      <c r="E35" s="575" t="s">
        <v>3229</v>
      </c>
      <c r="F35" s="554"/>
      <c r="G35" s="553" t="s">
        <v>3230</v>
      </c>
      <c r="H35" s="554"/>
      <c r="I35" s="575" t="s">
        <v>3230</v>
      </c>
      <c r="J35" s="554"/>
      <c r="K35" s="580"/>
      <c r="L35" s="2127"/>
      <c r="M35" s="2117"/>
      <c r="N35" s="2117"/>
      <c r="O35" s="2126"/>
      <c r="P35" s="3411"/>
      <c r="Q35" s="1558"/>
      <c r="R35" s="1559"/>
      <c r="S35" s="1560"/>
      <c r="T35" s="1559"/>
      <c r="U35" s="1560"/>
      <c r="V35" s="1559"/>
      <c r="W35" s="1560"/>
      <c r="X35" s="1553"/>
      <c r="Y35" s="3411"/>
      <c r="Z35" s="1561"/>
      <c r="AA35" s="1562">
        <v>1</v>
      </c>
      <c r="AB35" s="1562">
        <v>1</v>
      </c>
      <c r="AC35" s="1562">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11"/>
      <c r="Q36" s="1558" t="str">
        <f t="shared" si="8"/>
        <v>土地级别</v>
      </c>
      <c r="R36" s="1559" t="s">
        <v>8</v>
      </c>
      <c r="S36" s="1560">
        <f t="shared" si="10"/>
        <v>100</v>
      </c>
      <c r="T36" s="1559" t="s">
        <v>8</v>
      </c>
      <c r="U36" s="1560">
        <f t="shared" si="11"/>
        <v>100</v>
      </c>
      <c r="V36" s="1559" t="s">
        <v>8</v>
      </c>
      <c r="W36" s="1560">
        <f t="shared" si="12"/>
        <v>100</v>
      </c>
      <c r="X36" s="1553"/>
      <c r="Y36" s="3411"/>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11"/>
      <c r="Q37" s="1558">
        <f t="shared" si="8"/>
        <v>111</v>
      </c>
      <c r="R37" s="1559" t="s">
        <v>8</v>
      </c>
      <c r="S37" s="1560">
        <f t="shared" si="10"/>
        <v>100</v>
      </c>
      <c r="T37" s="1559" t="s">
        <v>8</v>
      </c>
      <c r="U37" s="1560">
        <f t="shared" si="11"/>
        <v>100</v>
      </c>
      <c r="V37" s="1559" t="s">
        <v>8</v>
      </c>
      <c r="W37" s="1560">
        <f t="shared" si="12"/>
        <v>100</v>
      </c>
      <c r="X37" s="1553"/>
      <c r="Y37" s="3411"/>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12" t="s">
        <v>550</v>
      </c>
      <c r="Q38" s="1558">
        <f t="shared" si="8"/>
        <v>111</v>
      </c>
      <c r="R38" s="1559" t="s">
        <v>8</v>
      </c>
      <c r="S38" s="1560">
        <f t="shared" si="10"/>
        <v>100</v>
      </c>
      <c r="T38" s="1559" t="s">
        <v>8</v>
      </c>
      <c r="U38" s="1560">
        <f t="shared" si="11"/>
        <v>100</v>
      </c>
      <c r="V38" s="1559" t="s">
        <v>8</v>
      </c>
      <c r="W38" s="1560">
        <f t="shared" si="12"/>
        <v>100</v>
      </c>
      <c r="X38" s="1553"/>
      <c r="Y38" s="3413"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3"/>
      <c r="Q39" s="1558">
        <f t="shared" si="8"/>
        <v>111</v>
      </c>
      <c r="R39" s="1563" t="s">
        <v>8</v>
      </c>
      <c r="S39" s="1564">
        <f t="shared" si="10"/>
        <v>100</v>
      </c>
      <c r="T39" s="1563" t="s">
        <v>8</v>
      </c>
      <c r="U39" s="1564">
        <f t="shared" si="11"/>
        <v>100</v>
      </c>
      <c r="V39" s="1563" t="s">
        <v>8</v>
      </c>
      <c r="W39" s="1564">
        <f t="shared" si="12"/>
        <v>100</v>
      </c>
      <c r="X39" s="1565"/>
      <c r="Y39" s="3413"/>
      <c r="Z39" s="1566">
        <f t="shared" si="13"/>
        <v>111</v>
      </c>
      <c r="AA39" s="1562">
        <f t="shared" si="3"/>
        <v>1</v>
      </c>
      <c r="AB39" s="1562">
        <f t="shared" si="4"/>
        <v>1</v>
      </c>
      <c r="AC39" s="1562">
        <f t="shared" si="5"/>
        <v>1</v>
      </c>
    </row>
    <row r="40" spans="1:29" ht="20.25">
      <c r="A40" s="2861" t="s">
        <v>2754</v>
      </c>
      <c r="B40" s="594" t="s">
        <v>552</v>
      </c>
      <c r="C40" s="595">
        <f>[1]土地案例!D95</f>
        <v>74195.899999999994</v>
      </c>
      <c r="D40" s="596">
        <v>100</v>
      </c>
      <c r="E40" s="595">
        <f>土地及房屋在售案例!$D$30</f>
        <v>16875.3</v>
      </c>
      <c r="F40" s="596">
        <f>LOOKUP(E40,119:119,120:120)-LOOKUP(C40,119:119,120:120)+100</f>
        <v>98</v>
      </c>
      <c r="G40" s="595">
        <f>土地及房屋在售案例!$D$33</f>
        <v>40816.9</v>
      </c>
      <c r="H40" s="596">
        <f>LOOKUP(G40,119:119,120:120)-LOOKUP(C40,119:119,120:120)+100</f>
        <v>99</v>
      </c>
      <c r="I40" s="597">
        <f>土地及房屋在售案例!$D$13</f>
        <v>66528.7</v>
      </c>
      <c r="J40" s="596">
        <f>LOOKUP(I40,119:119,120:120)-LOOKUP(C40,119:119,120:120)+100</f>
        <v>100</v>
      </c>
      <c r="K40" s="580"/>
      <c r="L40" s="2127"/>
      <c r="M40" s="2117"/>
      <c r="N40" s="2117"/>
      <c r="O40" s="2126"/>
      <c r="P40" s="3413"/>
      <c r="Q40" s="1558" t="str">
        <f>B40</f>
        <v>宗地面积</v>
      </c>
      <c r="R40" s="1559" t="s">
        <v>8</v>
      </c>
      <c r="S40" s="1560">
        <f t="shared" si="10"/>
        <v>98</v>
      </c>
      <c r="T40" s="1559" t="s">
        <v>8</v>
      </c>
      <c r="U40" s="1560">
        <f t="shared" si="11"/>
        <v>99</v>
      </c>
      <c r="V40" s="1559" t="s">
        <v>8</v>
      </c>
      <c r="W40" s="1560">
        <f t="shared" si="12"/>
        <v>100</v>
      </c>
      <c r="X40" s="1553"/>
      <c r="Y40" s="3413"/>
      <c r="Z40" s="1561" t="str">
        <f t="shared" si="13"/>
        <v>宗地面积</v>
      </c>
      <c r="AA40" s="1562">
        <f t="shared" si="3"/>
        <v>1.0204081632653061</v>
      </c>
      <c r="AB40" s="1562">
        <f t="shared" si="4"/>
        <v>1.0101010101010102</v>
      </c>
      <c r="AC40" s="1562">
        <f t="shared" si="5"/>
        <v>1</v>
      </c>
    </row>
    <row r="41" spans="1:29" ht="20.25">
      <c r="A41" s="593"/>
      <c r="B41" s="526" t="s">
        <v>553</v>
      </c>
      <c r="C41" s="598" t="s">
        <v>3235</v>
      </c>
      <c r="D41" s="539">
        <v>100</v>
      </c>
      <c r="E41" s="598" t="s">
        <v>3235</v>
      </c>
      <c r="F41" s="539">
        <f>SUMIF(121:121,E41,122:122)-SUMIF(121:121,C41,122:122)+100</f>
        <v>100</v>
      </c>
      <c r="G41" s="598" t="s">
        <v>3235</v>
      </c>
      <c r="H41" s="539">
        <f>SUMIF(121:121,G41,122:122)-SUMIF(121:121,C41,122:122)+100</f>
        <v>100</v>
      </c>
      <c r="I41" s="598" t="s">
        <v>3235</v>
      </c>
      <c r="J41" s="539">
        <f>SUMIF(121:121,I41,122:122)-SUMIF(121:121,C41,122:122)+100</f>
        <v>100</v>
      </c>
      <c r="K41" s="583"/>
      <c r="L41" s="2127"/>
      <c r="M41" s="2117"/>
      <c r="N41" s="2117"/>
      <c r="O41" s="2126"/>
      <c r="P41" s="3413"/>
      <c r="Q41" s="1558" t="str">
        <f t="shared" ref="Q41:Q47" si="14">B41</f>
        <v>宗地形状</v>
      </c>
      <c r="R41" s="1559" t="s">
        <v>8</v>
      </c>
      <c r="S41" s="1560">
        <f t="shared" si="10"/>
        <v>100</v>
      </c>
      <c r="T41" s="1559" t="s">
        <v>8</v>
      </c>
      <c r="U41" s="1560">
        <f t="shared" si="11"/>
        <v>100</v>
      </c>
      <c r="V41" s="1559" t="s">
        <v>8</v>
      </c>
      <c r="W41" s="1560">
        <f t="shared" si="12"/>
        <v>100</v>
      </c>
      <c r="X41" s="1553"/>
      <c r="Y41" s="3413"/>
      <c r="Z41" s="1561" t="str">
        <f t="shared" si="13"/>
        <v>宗地形状</v>
      </c>
      <c r="AA41" s="1562">
        <f t="shared" si="3"/>
        <v>1</v>
      </c>
      <c r="AB41" s="1562">
        <f t="shared" si="4"/>
        <v>1</v>
      </c>
      <c r="AC41" s="1562">
        <f t="shared" si="5"/>
        <v>1</v>
      </c>
    </row>
    <row r="42" spans="1:29" ht="20.25">
      <c r="A42" s="593"/>
      <c r="B42" s="526" t="s">
        <v>554</v>
      </c>
      <c r="C42" s="598" t="s">
        <v>3236</v>
      </c>
      <c r="D42" s="539">
        <v>100</v>
      </c>
      <c r="E42" s="598" t="s">
        <v>3236</v>
      </c>
      <c r="F42" s="539">
        <f>SUMIF(123:123,E42,124:124)-SUMIF(123:123,C42,124:124)+100</f>
        <v>100</v>
      </c>
      <c r="G42" s="598" t="s">
        <v>3236</v>
      </c>
      <c r="H42" s="539">
        <f>SUMIF(123:123,G42,124:124)-SUMIF(123:123,C42,124:124)+100</f>
        <v>100</v>
      </c>
      <c r="I42" s="598" t="s">
        <v>3236</v>
      </c>
      <c r="J42" s="539">
        <f>SUMIF(123:123,I42,124:124)-SUMIF(123:123,C42,124:124)+100</f>
        <v>100</v>
      </c>
      <c r="K42" s="583"/>
      <c r="L42" s="2127"/>
      <c r="M42" s="2117"/>
      <c r="N42" s="2117"/>
      <c r="O42" s="2126"/>
      <c r="P42" s="3413"/>
      <c r="Q42" s="1558" t="str">
        <f t="shared" si="14"/>
        <v>临街宽度及深度</v>
      </c>
      <c r="R42" s="1559" t="s">
        <v>8</v>
      </c>
      <c r="S42" s="1560">
        <f t="shared" si="10"/>
        <v>100</v>
      </c>
      <c r="T42" s="1559" t="s">
        <v>8</v>
      </c>
      <c r="U42" s="1560">
        <f t="shared" si="11"/>
        <v>100</v>
      </c>
      <c r="V42" s="1559" t="s">
        <v>8</v>
      </c>
      <c r="W42" s="1560">
        <f t="shared" si="12"/>
        <v>100</v>
      </c>
      <c r="X42" s="1553"/>
      <c r="Y42" s="3413"/>
      <c r="Z42" s="1561" t="str">
        <f t="shared" si="13"/>
        <v>临街宽度及深度</v>
      </c>
      <c r="AA42" s="1562">
        <f t="shared" si="3"/>
        <v>1</v>
      </c>
      <c r="AB42" s="1562">
        <f t="shared" si="4"/>
        <v>1</v>
      </c>
      <c r="AC42" s="1562">
        <f t="shared" si="5"/>
        <v>1</v>
      </c>
    </row>
    <row r="43" spans="1:29" s="1215" customFormat="1" ht="20.25">
      <c r="A43" s="599"/>
      <c r="B43" s="1880" t="s">
        <v>2424</v>
      </c>
      <c r="C43" s="600" t="s">
        <v>3227</v>
      </c>
      <c r="D43" s="254">
        <v>100</v>
      </c>
      <c r="E43" s="600" t="s">
        <v>3227</v>
      </c>
      <c r="F43" s="539">
        <f>SUMIF(125:125,E43,126:126)-SUMIF(125:125,C43,126:126)+100</f>
        <v>100</v>
      </c>
      <c r="G43" s="600" t="s">
        <v>3227</v>
      </c>
      <c r="H43" s="539">
        <f>SUMIF(125:125,G43,126:126)-SUMIF(125:125,C43,126:126)+100</f>
        <v>100</v>
      </c>
      <c r="I43" s="600" t="s">
        <v>3227</v>
      </c>
      <c r="J43" s="539">
        <f>SUMIF(125:125,I43,126:126)-SUMIF(125:125,C43,126:126)+100</f>
        <v>100</v>
      </c>
      <c r="K43" s="583"/>
      <c r="L43" s="2120"/>
      <c r="M43" s="2117"/>
      <c r="N43" s="2117"/>
      <c r="O43" s="2122"/>
      <c r="P43" s="3413"/>
      <c r="Q43" s="1558" t="str">
        <f t="shared" si="14"/>
        <v>宗地开发程度</v>
      </c>
      <c r="R43" s="1554" t="s">
        <v>8</v>
      </c>
      <c r="S43" s="1555">
        <f t="shared" si="10"/>
        <v>100</v>
      </c>
      <c r="T43" s="1554" t="s">
        <v>8</v>
      </c>
      <c r="U43" s="1555">
        <f t="shared" si="11"/>
        <v>100</v>
      </c>
      <c r="V43" s="1554" t="s">
        <v>8</v>
      </c>
      <c r="W43" s="1555">
        <f t="shared" si="12"/>
        <v>100</v>
      </c>
      <c r="X43" s="1556"/>
      <c r="Y43" s="3413"/>
      <c r="Z43" s="1145" t="str">
        <f t="shared" si="13"/>
        <v>宗地开发程度</v>
      </c>
      <c r="AA43" s="1557">
        <f t="shared" si="3"/>
        <v>1</v>
      </c>
      <c r="AB43" s="1557">
        <f t="shared" si="4"/>
        <v>1</v>
      </c>
      <c r="AC43" s="1557">
        <f t="shared" si="5"/>
        <v>1</v>
      </c>
    </row>
    <row r="44" spans="1:29" ht="21" thickBot="1">
      <c r="A44" s="593"/>
      <c r="B44" s="526" t="s">
        <v>555</v>
      </c>
      <c r="C44" s="598" t="s">
        <v>3224</v>
      </c>
      <c r="D44" s="539">
        <v>100</v>
      </c>
      <c r="E44" s="598" t="s">
        <v>3224</v>
      </c>
      <c r="F44" s="539">
        <f>SUMIF(127:127,E44,128:128)-SUMIF(127:127,C44,128:128)+100</f>
        <v>100</v>
      </c>
      <c r="G44" s="598" t="s">
        <v>3224</v>
      </c>
      <c r="H44" s="539">
        <f>SUMIF(127:127,G44,128:128)-SUMIF(127:127,C44,128:128)+100</f>
        <v>100</v>
      </c>
      <c r="I44" s="598" t="s">
        <v>3224</v>
      </c>
      <c r="J44" s="539">
        <f>SUMIF(127:127,I44,128:128)-SUMIF(127:127,C44,128:128)+100</f>
        <v>100</v>
      </c>
      <c r="K44" s="583"/>
      <c r="L44" s="2127"/>
      <c r="M44" s="2117"/>
      <c r="N44" s="2117"/>
      <c r="O44" s="2126"/>
      <c r="P44" s="3413" t="s">
        <v>550</v>
      </c>
      <c r="Q44" s="1558" t="str">
        <f t="shared" si="14"/>
        <v>工程地质条件</v>
      </c>
      <c r="R44" s="1559" t="s">
        <v>8</v>
      </c>
      <c r="S44" s="1560">
        <f t="shared" si="10"/>
        <v>100</v>
      </c>
      <c r="T44" s="1559" t="s">
        <v>8</v>
      </c>
      <c r="U44" s="1560">
        <f t="shared" si="11"/>
        <v>100</v>
      </c>
      <c r="V44" s="1559" t="s">
        <v>8</v>
      </c>
      <c r="W44" s="1560">
        <f t="shared" si="12"/>
        <v>100</v>
      </c>
      <c r="X44" s="1553"/>
      <c r="Y44" s="3413"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3"/>
      <c r="Q45" s="1558">
        <f t="shared" si="14"/>
        <v>111</v>
      </c>
      <c r="R45" s="1559" t="s">
        <v>8</v>
      </c>
      <c r="S45" s="1560">
        <f t="shared" si="10"/>
        <v>100</v>
      </c>
      <c r="T45" s="1559" t="s">
        <v>8</v>
      </c>
      <c r="U45" s="1560">
        <f t="shared" si="11"/>
        <v>100</v>
      </c>
      <c r="V45" s="1559" t="s">
        <v>8</v>
      </c>
      <c r="W45" s="1560">
        <f t="shared" si="12"/>
        <v>100</v>
      </c>
      <c r="X45" s="1553"/>
      <c r="Y45" s="3413"/>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3"/>
      <c r="Q46" s="1558">
        <f t="shared" si="14"/>
        <v>111</v>
      </c>
      <c r="R46" s="1559" t="s">
        <v>8</v>
      </c>
      <c r="S46" s="1560">
        <f t="shared" si="10"/>
        <v>100</v>
      </c>
      <c r="T46" s="1559" t="s">
        <v>8</v>
      </c>
      <c r="U46" s="1560">
        <f t="shared" si="11"/>
        <v>100</v>
      </c>
      <c r="V46" s="1559" t="s">
        <v>8</v>
      </c>
      <c r="W46" s="1560">
        <f t="shared" si="12"/>
        <v>100</v>
      </c>
      <c r="X46" s="1553"/>
      <c r="Y46" s="3413"/>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3"/>
      <c r="Q47" s="1558">
        <f t="shared" si="14"/>
        <v>111</v>
      </c>
      <c r="R47" s="1563" t="s">
        <v>8</v>
      </c>
      <c r="S47" s="1564">
        <f t="shared" si="10"/>
        <v>100</v>
      </c>
      <c r="T47" s="1563" t="s">
        <v>8</v>
      </c>
      <c r="U47" s="1564">
        <f t="shared" si="11"/>
        <v>100</v>
      </c>
      <c r="V47" s="1563" t="s">
        <v>8</v>
      </c>
      <c r="W47" s="1564">
        <f t="shared" si="12"/>
        <v>100</v>
      </c>
      <c r="X47" s="1565"/>
      <c r="Y47" s="3413"/>
      <c r="Z47" s="1566">
        <f t="shared" si="13"/>
        <v>111</v>
      </c>
      <c r="AA47" s="1562">
        <f t="shared" si="3"/>
        <v>1</v>
      </c>
      <c r="AB47" s="1562">
        <f t="shared" si="4"/>
        <v>1</v>
      </c>
      <c r="AC47" s="1562">
        <f t="shared" si="5"/>
        <v>1</v>
      </c>
    </row>
    <row r="48" spans="1:29" ht="20.25">
      <c r="A48" s="606" t="s">
        <v>556</v>
      </c>
      <c r="B48" s="607" t="s">
        <v>3228</v>
      </c>
      <c r="C48" s="608" t="s">
        <v>1</v>
      </c>
      <c r="D48" s="609"/>
      <c r="E48" s="3205">
        <v>26901</v>
      </c>
      <c r="F48" s="611"/>
      <c r="G48" s="612">
        <v>24462</v>
      </c>
      <c r="H48" s="613"/>
      <c r="I48" s="610">
        <v>21933</v>
      </c>
      <c r="J48" s="613"/>
      <c r="K48" s="1335"/>
      <c r="L48" s="2129"/>
      <c r="M48" s="2117"/>
      <c r="N48" s="2117"/>
      <c r="O48" s="2130"/>
      <c r="P48" s="3376" t="str">
        <f>A48</f>
        <v>成交单价</v>
      </c>
      <c r="Q48" s="3376"/>
      <c r="R48" s="3377">
        <f>E48</f>
        <v>26901</v>
      </c>
      <c r="S48" s="3377"/>
      <c r="T48" s="3377">
        <f>G48</f>
        <v>24462</v>
      </c>
      <c r="U48" s="3377"/>
      <c r="V48" s="3377">
        <f>I48</f>
        <v>21933</v>
      </c>
      <c r="W48" s="3377"/>
      <c r="X48" s="1545"/>
      <c r="Y48" s="1567"/>
      <c r="Z48" s="1545"/>
      <c r="AA48" s="1545"/>
      <c r="AB48" s="1545"/>
      <c r="AC48" s="1545"/>
    </row>
    <row r="49" spans="1:29" ht="21" thickBot="1">
      <c r="A49" s="614" t="s">
        <v>2692</v>
      </c>
      <c r="B49" s="615"/>
      <c r="C49" s="616">
        <f>R50</f>
        <v>27837</v>
      </c>
      <c r="D49" s="617"/>
      <c r="E49" s="616">
        <f>R49</f>
        <v>29878</v>
      </c>
      <c r="F49" s="618"/>
      <c r="G49" s="619">
        <f>T49</f>
        <v>28315</v>
      </c>
      <c r="H49" s="617"/>
      <c r="I49" s="616">
        <f>V49</f>
        <v>25317</v>
      </c>
      <c r="J49" s="617"/>
      <c r="K49" s="1336"/>
      <c r="L49" s="2129"/>
      <c r="M49" s="2117"/>
      <c r="N49" s="2117"/>
      <c r="O49" s="2130"/>
      <c r="P49" s="3376" t="str">
        <f>A49</f>
        <v>比较价格（元/平方米）</v>
      </c>
      <c r="Q49" s="3376"/>
      <c r="R49" s="3378">
        <f>ROUND(PRODUCT(R48,AA9:AA47),0)</f>
        <v>29878</v>
      </c>
      <c r="S49" s="3378"/>
      <c r="T49" s="3378">
        <f>ROUND(PRODUCT(T48,AB9:AB47),0)</f>
        <v>28315</v>
      </c>
      <c r="U49" s="3378"/>
      <c r="V49" s="3378">
        <f>ROUND(PRODUCT(V48,AC9:AC47),0)</f>
        <v>25317</v>
      </c>
      <c r="W49" s="3378"/>
      <c r="X49" s="1545"/>
      <c r="Y49" s="1545"/>
      <c r="Z49" s="1545"/>
      <c r="AA49" s="1545"/>
      <c r="AB49" s="1545"/>
      <c r="AC49" s="1545"/>
    </row>
    <row r="50" spans="1:29" ht="21" thickBot="1">
      <c r="A50" s="620" t="s">
        <v>2932</v>
      </c>
      <c r="B50" s="621"/>
      <c r="C50" s="622">
        <f>R50</f>
        <v>27837</v>
      </c>
      <c r="D50" s="622"/>
      <c r="E50" s="622"/>
      <c r="F50" s="622"/>
      <c r="G50" s="622"/>
      <c r="H50" s="622"/>
      <c r="I50" s="622"/>
      <c r="J50" s="622"/>
      <c r="K50" s="1337"/>
      <c r="L50" s="2129"/>
      <c r="M50" s="2117"/>
      <c r="N50" s="2117"/>
      <c r="O50" s="2130"/>
      <c r="P50" s="3373" t="str">
        <f>A50</f>
        <v>估价对象XX用房的比较价格（楼面单价，元/平方米）</v>
      </c>
      <c r="Q50" s="3374"/>
      <c r="R50" s="3375">
        <f>ROUND(AVERAGE(R49:V49),0)</f>
        <v>27837</v>
      </c>
      <c r="S50" s="3375"/>
      <c r="T50" s="3375"/>
      <c r="U50" s="3375"/>
      <c r="V50" s="3375"/>
      <c r="W50" s="337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0.11066503103973835</v>
      </c>
      <c r="F53" s="626" t="str">
        <f>IF(OR(E53&gt;=0.3,E53&lt;=-0.3),"超过30%","")</f>
        <v/>
      </c>
      <c r="G53" s="625">
        <f>IF(G48&lt;G49,G49/G48-1,G48/G49-1)</f>
        <v>0.15750960673697989</v>
      </c>
      <c r="H53" s="626" t="str">
        <f>IF(OR(G53&gt;=0.3,G53&lt;=-0.3),"超过30%","")</f>
        <v/>
      </c>
      <c r="I53" s="625">
        <f>IF(I48&lt;I49,I49/I48-1,I48/I49-1)</f>
        <v>0.15428805908904386</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5.5200423803637655E-2</v>
      </c>
      <c r="F54" s="626" t="str">
        <f>IF(OR(E54&gt;=0.2,E54&lt;=-0.2),"超过20%","")</f>
        <v/>
      </c>
      <c r="G54" s="625">
        <f>IF(G49&lt;I49,I49/G49-1,G49/I49-1)</f>
        <v>0.11841845400323892</v>
      </c>
      <c r="H54" s="626" t="str">
        <f>IF(OR(G54&gt;=0.2,G54&lt;=-0.2),"超过20%","")</f>
        <v/>
      </c>
      <c r="I54" s="625">
        <f>IF(I49&lt;E49,E49/I49-1,I49/E49-1)</f>
        <v>0.18015562665402696</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9.9705665930831522E-2</v>
      </c>
      <c r="F55" s="626" t="str">
        <f>IF(OR(E55&gt;=0.3,E55&lt;=-0.3),"超过30%","")</f>
        <v/>
      </c>
      <c r="G55" s="625">
        <f>IF(G48&lt;I48,I48/G48-1,G48/I48-1)</f>
        <v>0.11530570373409921</v>
      </c>
      <c r="H55" s="626" t="str">
        <f>IF(OR(G55&gt;=0.3,G55&lt;=-0.3),"超过30%","")</f>
        <v/>
      </c>
      <c r="I55" s="625">
        <f>IF(I48&lt;E48,E48/I48-1,I48/E48-1)</f>
        <v>0.22650800164136231</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2293</v>
      </c>
      <c r="E57" s="630" t="s">
        <v>562</v>
      </c>
      <c r="F57" s="631" t="s">
        <v>563</v>
      </c>
      <c r="G57" s="3402" t="s">
        <v>2281</v>
      </c>
      <c r="H57" s="340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27837</v>
      </c>
      <c r="C58" s="634">
        <v>1</v>
      </c>
      <c r="D58" s="2213">
        <v>1</v>
      </c>
      <c r="E58" s="634">
        <f>'数据-汇总表'!E8+'数据-汇总表'!E9</f>
        <v>12319.68</v>
      </c>
      <c r="F58" s="635">
        <f t="shared" ref="F58:F67" si="15">ROUND(B58*E58/10000,0)</f>
        <v>34294</v>
      </c>
      <c r="G58" s="3404"/>
      <c r="H58" s="340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406"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40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40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40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2328</v>
      </c>
      <c r="B63" s="637">
        <f t="shared" si="17"/>
        <v>0</v>
      </c>
      <c r="C63" s="377">
        <f t="shared" si="16"/>
        <v>0</v>
      </c>
      <c r="D63" s="2214">
        <v>0.25</v>
      </c>
      <c r="E63" s="640">
        <f>'数据-汇总表'!E11</f>
        <v>0</v>
      </c>
      <c r="F63" s="635">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7361.87</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2294</v>
      </c>
      <c r="E68" s="642">
        <f>IF(B48="楼面地价",SUM(E58:E67),'数据-汇总表'!D3)</f>
        <v>19681.55</v>
      </c>
      <c r="F68" s="643">
        <f>IF(B48="楼面地价",SUM(F58:F67),ROUND(C50*E68/10000,0))</f>
        <v>34294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2532</v>
      </c>
      <c r="B72" s="2533"/>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0" t="s">
        <v>923</v>
      </c>
      <c r="B73" s="478" t="str">
        <f>"北京市平均增长率"&amp;TEXT(SUMIF(基准地价!N21:N25,A73,基准地价!P21:P25),"0.00%")</f>
        <v>北京市平均增长率2.14%</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2646</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3185" t="s">
        <v>3202</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95</v>
      </c>
      <c r="E91" s="678">
        <f>D91-$K17</f>
        <v>90</v>
      </c>
      <c r="F91" s="678">
        <f>E91-$K17</f>
        <v>85</v>
      </c>
      <c r="G91" s="678">
        <f>F91-$K17</f>
        <v>80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97</v>
      </c>
      <c r="E93" s="678">
        <f>D93-$K19</f>
        <v>94</v>
      </c>
      <c r="F93" s="678">
        <f>E93-$K19</f>
        <v>91</v>
      </c>
      <c r="G93" s="678">
        <f>F93-$K19</f>
        <v>88</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97</v>
      </c>
      <c r="E97" s="678">
        <f>D97-$K23</f>
        <v>94</v>
      </c>
      <c r="F97" s="678">
        <f>E97-$K23</f>
        <v>91</v>
      </c>
      <c r="G97" s="678">
        <f>F97-$K23</f>
        <v>88</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2548</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2550</v>
      </c>
      <c r="C104" s="2562" t="s">
        <v>2551</v>
      </c>
      <c r="D104" s="2562" t="s">
        <v>2552</v>
      </c>
      <c r="E104" s="2562" t="s">
        <v>2553</v>
      </c>
      <c r="F104" s="2562" t="s">
        <v>2554</v>
      </c>
      <c r="G104" s="2562" t="s">
        <v>2555</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3186" t="s">
        <v>3203</v>
      </c>
      <c r="D108" s="3186" t="s">
        <v>3204</v>
      </c>
      <c r="E108" s="3186" t="s">
        <v>3205</v>
      </c>
      <c r="F108" s="3186" t="s">
        <v>3206</v>
      </c>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30000</v>
      </c>
      <c r="E119" s="729">
        <v>60000</v>
      </c>
      <c r="F119" s="729">
        <v>90000</v>
      </c>
      <c r="G119" s="729">
        <v>120000</v>
      </c>
      <c r="H119" s="729">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725">
        <v>102</v>
      </c>
      <c r="F120" s="725">
        <v>103</v>
      </c>
      <c r="G120" s="725">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7" t="s">
        <v>3207</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86" t="s">
        <v>3208</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2425</v>
      </c>
      <c r="C125" s="1371" t="s">
        <v>3209</v>
      </c>
      <c r="D125" s="1371" t="s">
        <v>3210</v>
      </c>
      <c r="E125" s="1371" t="s">
        <v>3211</v>
      </c>
      <c r="F125" s="1371" t="s">
        <v>3212</v>
      </c>
      <c r="G125" s="1371" t="s">
        <v>3213</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3186" t="s">
        <v>3214</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topLeftCell="G55" workbookViewId="0">
      <selection activeCell="P72" sqref="P72"/>
    </sheetView>
  </sheetViews>
  <sheetFormatPr defaultRowHeight="13.5"/>
  <cols>
    <col min="1" max="1" width="34" style="2893" customWidth="1"/>
    <col min="2" max="2" width="6.25" style="2893" customWidth="1"/>
    <col min="3" max="3" width="10.5" style="2893" customWidth="1"/>
    <col min="4" max="4" width="11.25" style="2893" customWidth="1"/>
    <col min="5" max="5" width="10.375" style="2893" customWidth="1"/>
    <col min="6" max="6" width="9.875" style="2893" customWidth="1"/>
    <col min="7" max="7" width="7.875" style="2893" customWidth="1"/>
    <col min="8" max="8" width="9" style="2893" customWidth="1"/>
    <col min="9" max="9" width="10.625" style="2893" hidden="1" customWidth="1"/>
    <col min="10" max="10" width="10.625" style="2893" customWidth="1"/>
    <col min="11" max="11" width="9.625" style="2893" customWidth="1"/>
    <col min="12" max="12" width="11.375" style="2893" customWidth="1"/>
    <col min="13" max="13" width="6.25" style="2893" customWidth="1"/>
    <col min="14" max="14" width="55.25" style="2893" customWidth="1"/>
    <col min="15" max="15" width="7.875" style="2893" customWidth="1"/>
    <col min="16" max="257" width="9" style="2893"/>
    <col min="258" max="258" width="34" style="2893" customWidth="1"/>
    <col min="259" max="259" width="6.25" style="2893" customWidth="1"/>
    <col min="260" max="260" width="10.5" style="2893" customWidth="1"/>
    <col min="261" max="262" width="13.875" style="2893" customWidth="1"/>
    <col min="263" max="263" width="9.875" style="2893" customWidth="1"/>
    <col min="264" max="264" width="7.875" style="2893" customWidth="1"/>
    <col min="265" max="265" width="9" style="2893" customWidth="1"/>
    <col min="266" max="267" width="10.625" style="2893" customWidth="1"/>
    <col min="268" max="268" width="14.375" style="2893" customWidth="1"/>
    <col min="269" max="269" width="6.25" style="2893" customWidth="1"/>
    <col min="270" max="270" width="55.25" style="2893" customWidth="1"/>
    <col min="271" max="271" width="7.875" style="2893" customWidth="1"/>
    <col min="272" max="513" width="9" style="2893"/>
    <col min="514" max="514" width="34" style="2893" customWidth="1"/>
    <col min="515" max="515" width="6.25" style="2893" customWidth="1"/>
    <col min="516" max="516" width="10.5" style="2893" customWidth="1"/>
    <col min="517" max="518" width="13.875" style="2893" customWidth="1"/>
    <col min="519" max="519" width="9.875" style="2893" customWidth="1"/>
    <col min="520" max="520" width="7.875" style="2893" customWidth="1"/>
    <col min="521" max="521" width="9" style="2893" customWidth="1"/>
    <col min="522" max="523" width="10.625" style="2893" customWidth="1"/>
    <col min="524" max="524" width="14.375" style="2893" customWidth="1"/>
    <col min="525" max="525" width="6.25" style="2893" customWidth="1"/>
    <col min="526" max="526" width="55.25" style="2893" customWidth="1"/>
    <col min="527" max="527" width="7.875" style="2893" customWidth="1"/>
    <col min="528" max="769" width="9" style="2893"/>
    <col min="770" max="770" width="34" style="2893" customWidth="1"/>
    <col min="771" max="771" width="6.25" style="2893" customWidth="1"/>
    <col min="772" max="772" width="10.5" style="2893" customWidth="1"/>
    <col min="773" max="774" width="13.875" style="2893" customWidth="1"/>
    <col min="775" max="775" width="9.875" style="2893" customWidth="1"/>
    <col min="776" max="776" width="7.875" style="2893" customWidth="1"/>
    <col min="777" max="777" width="9" style="2893" customWidth="1"/>
    <col min="778" max="779" width="10.625" style="2893" customWidth="1"/>
    <col min="780" max="780" width="14.375" style="2893" customWidth="1"/>
    <col min="781" max="781" width="6.25" style="2893" customWidth="1"/>
    <col min="782" max="782" width="55.25" style="2893" customWidth="1"/>
    <col min="783" max="783" width="7.875" style="2893" customWidth="1"/>
    <col min="784" max="1025" width="9" style="2893"/>
    <col min="1026" max="1026" width="34" style="2893" customWidth="1"/>
    <col min="1027" max="1027" width="6.25" style="2893" customWidth="1"/>
    <col min="1028" max="1028" width="10.5" style="2893" customWidth="1"/>
    <col min="1029" max="1030" width="13.875" style="2893" customWidth="1"/>
    <col min="1031" max="1031" width="9.875" style="2893" customWidth="1"/>
    <col min="1032" max="1032" width="7.875" style="2893" customWidth="1"/>
    <col min="1033" max="1033" width="9" style="2893" customWidth="1"/>
    <col min="1034" max="1035" width="10.625" style="2893" customWidth="1"/>
    <col min="1036" max="1036" width="14.375" style="2893" customWidth="1"/>
    <col min="1037" max="1037" width="6.25" style="2893" customWidth="1"/>
    <col min="1038" max="1038" width="55.25" style="2893" customWidth="1"/>
    <col min="1039" max="1039" width="7.875" style="2893" customWidth="1"/>
    <col min="1040" max="1281" width="9" style="2893"/>
    <col min="1282" max="1282" width="34" style="2893" customWidth="1"/>
    <col min="1283" max="1283" width="6.25" style="2893" customWidth="1"/>
    <col min="1284" max="1284" width="10.5" style="2893" customWidth="1"/>
    <col min="1285" max="1286" width="13.875" style="2893" customWidth="1"/>
    <col min="1287" max="1287" width="9.875" style="2893" customWidth="1"/>
    <col min="1288" max="1288" width="7.875" style="2893" customWidth="1"/>
    <col min="1289" max="1289" width="9" style="2893" customWidth="1"/>
    <col min="1290" max="1291" width="10.625" style="2893" customWidth="1"/>
    <col min="1292" max="1292" width="14.375" style="2893" customWidth="1"/>
    <col min="1293" max="1293" width="6.25" style="2893" customWidth="1"/>
    <col min="1294" max="1294" width="55.25" style="2893" customWidth="1"/>
    <col min="1295" max="1295" width="7.875" style="2893" customWidth="1"/>
    <col min="1296" max="1537" width="9" style="2893"/>
    <col min="1538" max="1538" width="34" style="2893" customWidth="1"/>
    <col min="1539" max="1539" width="6.25" style="2893" customWidth="1"/>
    <col min="1540" max="1540" width="10.5" style="2893" customWidth="1"/>
    <col min="1541" max="1542" width="13.875" style="2893" customWidth="1"/>
    <col min="1543" max="1543" width="9.875" style="2893" customWidth="1"/>
    <col min="1544" max="1544" width="7.875" style="2893" customWidth="1"/>
    <col min="1545" max="1545" width="9" style="2893" customWidth="1"/>
    <col min="1546" max="1547" width="10.625" style="2893" customWidth="1"/>
    <col min="1548" max="1548" width="14.375" style="2893" customWidth="1"/>
    <col min="1549" max="1549" width="6.25" style="2893" customWidth="1"/>
    <col min="1550" max="1550" width="55.25" style="2893" customWidth="1"/>
    <col min="1551" max="1551" width="7.875" style="2893" customWidth="1"/>
    <col min="1552" max="1793" width="9" style="2893"/>
    <col min="1794" max="1794" width="34" style="2893" customWidth="1"/>
    <col min="1795" max="1795" width="6.25" style="2893" customWidth="1"/>
    <col min="1796" max="1796" width="10.5" style="2893" customWidth="1"/>
    <col min="1797" max="1798" width="13.875" style="2893" customWidth="1"/>
    <col min="1799" max="1799" width="9.875" style="2893" customWidth="1"/>
    <col min="1800" max="1800" width="7.875" style="2893" customWidth="1"/>
    <col min="1801" max="1801" width="9" style="2893" customWidth="1"/>
    <col min="1802" max="1803" width="10.625" style="2893" customWidth="1"/>
    <col min="1804" max="1804" width="14.375" style="2893" customWidth="1"/>
    <col min="1805" max="1805" width="6.25" style="2893" customWidth="1"/>
    <col min="1806" max="1806" width="55.25" style="2893" customWidth="1"/>
    <col min="1807" max="1807" width="7.875" style="2893" customWidth="1"/>
    <col min="1808" max="2049" width="9" style="2893"/>
    <col min="2050" max="2050" width="34" style="2893" customWidth="1"/>
    <col min="2051" max="2051" width="6.25" style="2893" customWidth="1"/>
    <col min="2052" max="2052" width="10.5" style="2893" customWidth="1"/>
    <col min="2053" max="2054" width="13.875" style="2893" customWidth="1"/>
    <col min="2055" max="2055" width="9.875" style="2893" customWidth="1"/>
    <col min="2056" max="2056" width="7.875" style="2893" customWidth="1"/>
    <col min="2057" max="2057" width="9" style="2893" customWidth="1"/>
    <col min="2058" max="2059" width="10.625" style="2893" customWidth="1"/>
    <col min="2060" max="2060" width="14.375" style="2893" customWidth="1"/>
    <col min="2061" max="2061" width="6.25" style="2893" customWidth="1"/>
    <col min="2062" max="2062" width="55.25" style="2893" customWidth="1"/>
    <col min="2063" max="2063" width="7.875" style="2893" customWidth="1"/>
    <col min="2064" max="2305" width="9" style="2893"/>
    <col min="2306" max="2306" width="34" style="2893" customWidth="1"/>
    <col min="2307" max="2307" width="6.25" style="2893" customWidth="1"/>
    <col min="2308" max="2308" width="10.5" style="2893" customWidth="1"/>
    <col min="2309" max="2310" width="13.875" style="2893" customWidth="1"/>
    <col min="2311" max="2311" width="9.875" style="2893" customWidth="1"/>
    <col min="2312" max="2312" width="7.875" style="2893" customWidth="1"/>
    <col min="2313" max="2313" width="9" style="2893" customWidth="1"/>
    <col min="2314" max="2315" width="10.625" style="2893" customWidth="1"/>
    <col min="2316" max="2316" width="14.375" style="2893" customWidth="1"/>
    <col min="2317" max="2317" width="6.25" style="2893" customWidth="1"/>
    <col min="2318" max="2318" width="55.25" style="2893" customWidth="1"/>
    <col min="2319" max="2319" width="7.875" style="2893" customWidth="1"/>
    <col min="2320" max="2561" width="9" style="2893"/>
    <col min="2562" max="2562" width="34" style="2893" customWidth="1"/>
    <col min="2563" max="2563" width="6.25" style="2893" customWidth="1"/>
    <col min="2564" max="2564" width="10.5" style="2893" customWidth="1"/>
    <col min="2565" max="2566" width="13.875" style="2893" customWidth="1"/>
    <col min="2567" max="2567" width="9.875" style="2893" customWidth="1"/>
    <col min="2568" max="2568" width="7.875" style="2893" customWidth="1"/>
    <col min="2569" max="2569" width="9" style="2893" customWidth="1"/>
    <col min="2570" max="2571" width="10.625" style="2893" customWidth="1"/>
    <col min="2572" max="2572" width="14.375" style="2893" customWidth="1"/>
    <col min="2573" max="2573" width="6.25" style="2893" customWidth="1"/>
    <col min="2574" max="2574" width="55.25" style="2893" customWidth="1"/>
    <col min="2575" max="2575" width="7.875" style="2893" customWidth="1"/>
    <col min="2576" max="2817" width="9" style="2893"/>
    <col min="2818" max="2818" width="34" style="2893" customWidth="1"/>
    <col min="2819" max="2819" width="6.25" style="2893" customWidth="1"/>
    <col min="2820" max="2820" width="10.5" style="2893" customWidth="1"/>
    <col min="2821" max="2822" width="13.875" style="2893" customWidth="1"/>
    <col min="2823" max="2823" width="9.875" style="2893" customWidth="1"/>
    <col min="2824" max="2824" width="7.875" style="2893" customWidth="1"/>
    <col min="2825" max="2825" width="9" style="2893" customWidth="1"/>
    <col min="2826" max="2827" width="10.625" style="2893" customWidth="1"/>
    <col min="2828" max="2828" width="14.375" style="2893" customWidth="1"/>
    <col min="2829" max="2829" width="6.25" style="2893" customWidth="1"/>
    <col min="2830" max="2830" width="55.25" style="2893" customWidth="1"/>
    <col min="2831" max="2831" width="7.875" style="2893" customWidth="1"/>
    <col min="2832" max="3073" width="9" style="2893"/>
    <col min="3074" max="3074" width="34" style="2893" customWidth="1"/>
    <col min="3075" max="3075" width="6.25" style="2893" customWidth="1"/>
    <col min="3076" max="3076" width="10.5" style="2893" customWidth="1"/>
    <col min="3077" max="3078" width="13.875" style="2893" customWidth="1"/>
    <col min="3079" max="3079" width="9.875" style="2893" customWidth="1"/>
    <col min="3080" max="3080" width="7.875" style="2893" customWidth="1"/>
    <col min="3081" max="3081" width="9" style="2893" customWidth="1"/>
    <col min="3082" max="3083" width="10.625" style="2893" customWidth="1"/>
    <col min="3084" max="3084" width="14.375" style="2893" customWidth="1"/>
    <col min="3085" max="3085" width="6.25" style="2893" customWidth="1"/>
    <col min="3086" max="3086" width="55.25" style="2893" customWidth="1"/>
    <col min="3087" max="3087" width="7.875" style="2893" customWidth="1"/>
    <col min="3088" max="3329" width="9" style="2893"/>
    <col min="3330" max="3330" width="34" style="2893" customWidth="1"/>
    <col min="3331" max="3331" width="6.25" style="2893" customWidth="1"/>
    <col min="3332" max="3332" width="10.5" style="2893" customWidth="1"/>
    <col min="3333" max="3334" width="13.875" style="2893" customWidth="1"/>
    <col min="3335" max="3335" width="9.875" style="2893" customWidth="1"/>
    <col min="3336" max="3336" width="7.875" style="2893" customWidth="1"/>
    <col min="3337" max="3337" width="9" style="2893" customWidth="1"/>
    <col min="3338" max="3339" width="10.625" style="2893" customWidth="1"/>
    <col min="3340" max="3340" width="14.375" style="2893" customWidth="1"/>
    <col min="3341" max="3341" width="6.25" style="2893" customWidth="1"/>
    <col min="3342" max="3342" width="55.25" style="2893" customWidth="1"/>
    <col min="3343" max="3343" width="7.875" style="2893" customWidth="1"/>
    <col min="3344" max="3585" width="9" style="2893"/>
    <col min="3586" max="3586" width="34" style="2893" customWidth="1"/>
    <col min="3587" max="3587" width="6.25" style="2893" customWidth="1"/>
    <col min="3588" max="3588" width="10.5" style="2893" customWidth="1"/>
    <col min="3589" max="3590" width="13.875" style="2893" customWidth="1"/>
    <col min="3591" max="3591" width="9.875" style="2893" customWidth="1"/>
    <col min="3592" max="3592" width="7.875" style="2893" customWidth="1"/>
    <col min="3593" max="3593" width="9" style="2893" customWidth="1"/>
    <col min="3594" max="3595" width="10.625" style="2893" customWidth="1"/>
    <col min="3596" max="3596" width="14.375" style="2893" customWidth="1"/>
    <col min="3597" max="3597" width="6.25" style="2893" customWidth="1"/>
    <col min="3598" max="3598" width="55.25" style="2893" customWidth="1"/>
    <col min="3599" max="3599" width="7.875" style="2893" customWidth="1"/>
    <col min="3600" max="3841" width="9" style="2893"/>
    <col min="3842" max="3842" width="34" style="2893" customWidth="1"/>
    <col min="3843" max="3843" width="6.25" style="2893" customWidth="1"/>
    <col min="3844" max="3844" width="10.5" style="2893" customWidth="1"/>
    <col min="3845" max="3846" width="13.875" style="2893" customWidth="1"/>
    <col min="3847" max="3847" width="9.875" style="2893" customWidth="1"/>
    <col min="3848" max="3848" width="7.875" style="2893" customWidth="1"/>
    <col min="3849" max="3849" width="9" style="2893" customWidth="1"/>
    <col min="3850" max="3851" width="10.625" style="2893" customWidth="1"/>
    <col min="3852" max="3852" width="14.375" style="2893" customWidth="1"/>
    <col min="3853" max="3853" width="6.25" style="2893" customWidth="1"/>
    <col min="3854" max="3854" width="55.25" style="2893" customWidth="1"/>
    <col min="3855" max="3855" width="7.875" style="2893" customWidth="1"/>
    <col min="3856" max="4097" width="9" style="2893"/>
    <col min="4098" max="4098" width="34" style="2893" customWidth="1"/>
    <col min="4099" max="4099" width="6.25" style="2893" customWidth="1"/>
    <col min="4100" max="4100" width="10.5" style="2893" customWidth="1"/>
    <col min="4101" max="4102" width="13.875" style="2893" customWidth="1"/>
    <col min="4103" max="4103" width="9.875" style="2893" customWidth="1"/>
    <col min="4104" max="4104" width="7.875" style="2893" customWidth="1"/>
    <col min="4105" max="4105" width="9" style="2893" customWidth="1"/>
    <col min="4106" max="4107" width="10.625" style="2893" customWidth="1"/>
    <col min="4108" max="4108" width="14.375" style="2893" customWidth="1"/>
    <col min="4109" max="4109" width="6.25" style="2893" customWidth="1"/>
    <col min="4110" max="4110" width="55.25" style="2893" customWidth="1"/>
    <col min="4111" max="4111" width="7.875" style="2893" customWidth="1"/>
    <col min="4112" max="4353" width="9" style="2893"/>
    <col min="4354" max="4354" width="34" style="2893" customWidth="1"/>
    <col min="4355" max="4355" width="6.25" style="2893" customWidth="1"/>
    <col min="4356" max="4356" width="10.5" style="2893" customWidth="1"/>
    <col min="4357" max="4358" width="13.875" style="2893" customWidth="1"/>
    <col min="4359" max="4359" width="9.875" style="2893" customWidth="1"/>
    <col min="4360" max="4360" width="7.875" style="2893" customWidth="1"/>
    <col min="4361" max="4361" width="9" style="2893" customWidth="1"/>
    <col min="4362" max="4363" width="10.625" style="2893" customWidth="1"/>
    <col min="4364" max="4364" width="14.375" style="2893" customWidth="1"/>
    <col min="4365" max="4365" width="6.25" style="2893" customWidth="1"/>
    <col min="4366" max="4366" width="55.25" style="2893" customWidth="1"/>
    <col min="4367" max="4367" width="7.875" style="2893" customWidth="1"/>
    <col min="4368" max="4609" width="9" style="2893"/>
    <col min="4610" max="4610" width="34" style="2893" customWidth="1"/>
    <col min="4611" max="4611" width="6.25" style="2893" customWidth="1"/>
    <col min="4612" max="4612" width="10.5" style="2893" customWidth="1"/>
    <col min="4613" max="4614" width="13.875" style="2893" customWidth="1"/>
    <col min="4615" max="4615" width="9.875" style="2893" customWidth="1"/>
    <col min="4616" max="4616" width="7.875" style="2893" customWidth="1"/>
    <col min="4617" max="4617" width="9" style="2893" customWidth="1"/>
    <col min="4618" max="4619" width="10.625" style="2893" customWidth="1"/>
    <col min="4620" max="4620" width="14.375" style="2893" customWidth="1"/>
    <col min="4621" max="4621" width="6.25" style="2893" customWidth="1"/>
    <col min="4622" max="4622" width="55.25" style="2893" customWidth="1"/>
    <col min="4623" max="4623" width="7.875" style="2893" customWidth="1"/>
    <col min="4624" max="4865" width="9" style="2893"/>
    <col min="4866" max="4866" width="34" style="2893" customWidth="1"/>
    <col min="4867" max="4867" width="6.25" style="2893" customWidth="1"/>
    <col min="4868" max="4868" width="10.5" style="2893" customWidth="1"/>
    <col min="4869" max="4870" width="13.875" style="2893" customWidth="1"/>
    <col min="4871" max="4871" width="9.875" style="2893" customWidth="1"/>
    <col min="4872" max="4872" width="7.875" style="2893" customWidth="1"/>
    <col min="4873" max="4873" width="9" style="2893" customWidth="1"/>
    <col min="4874" max="4875" width="10.625" style="2893" customWidth="1"/>
    <col min="4876" max="4876" width="14.375" style="2893" customWidth="1"/>
    <col min="4877" max="4877" width="6.25" style="2893" customWidth="1"/>
    <col min="4878" max="4878" width="55.25" style="2893" customWidth="1"/>
    <col min="4879" max="4879" width="7.875" style="2893" customWidth="1"/>
    <col min="4880" max="5121" width="9" style="2893"/>
    <col min="5122" max="5122" width="34" style="2893" customWidth="1"/>
    <col min="5123" max="5123" width="6.25" style="2893" customWidth="1"/>
    <col min="5124" max="5124" width="10.5" style="2893" customWidth="1"/>
    <col min="5125" max="5126" width="13.875" style="2893" customWidth="1"/>
    <col min="5127" max="5127" width="9.875" style="2893" customWidth="1"/>
    <col min="5128" max="5128" width="7.875" style="2893" customWidth="1"/>
    <col min="5129" max="5129" width="9" style="2893" customWidth="1"/>
    <col min="5130" max="5131" width="10.625" style="2893" customWidth="1"/>
    <col min="5132" max="5132" width="14.375" style="2893" customWidth="1"/>
    <col min="5133" max="5133" width="6.25" style="2893" customWidth="1"/>
    <col min="5134" max="5134" width="55.25" style="2893" customWidth="1"/>
    <col min="5135" max="5135" width="7.875" style="2893" customWidth="1"/>
    <col min="5136" max="5377" width="9" style="2893"/>
    <col min="5378" max="5378" width="34" style="2893" customWidth="1"/>
    <col min="5379" max="5379" width="6.25" style="2893" customWidth="1"/>
    <col min="5380" max="5380" width="10.5" style="2893" customWidth="1"/>
    <col min="5381" max="5382" width="13.875" style="2893" customWidth="1"/>
    <col min="5383" max="5383" width="9.875" style="2893" customWidth="1"/>
    <col min="5384" max="5384" width="7.875" style="2893" customWidth="1"/>
    <col min="5385" max="5385" width="9" style="2893" customWidth="1"/>
    <col min="5386" max="5387" width="10.625" style="2893" customWidth="1"/>
    <col min="5388" max="5388" width="14.375" style="2893" customWidth="1"/>
    <col min="5389" max="5389" width="6.25" style="2893" customWidth="1"/>
    <col min="5390" max="5390" width="55.25" style="2893" customWidth="1"/>
    <col min="5391" max="5391" width="7.875" style="2893" customWidth="1"/>
    <col min="5392" max="5633" width="9" style="2893"/>
    <col min="5634" max="5634" width="34" style="2893" customWidth="1"/>
    <col min="5635" max="5635" width="6.25" style="2893" customWidth="1"/>
    <col min="5636" max="5636" width="10.5" style="2893" customWidth="1"/>
    <col min="5637" max="5638" width="13.875" style="2893" customWidth="1"/>
    <col min="5639" max="5639" width="9.875" style="2893" customWidth="1"/>
    <col min="5640" max="5640" width="7.875" style="2893" customWidth="1"/>
    <col min="5641" max="5641" width="9" style="2893" customWidth="1"/>
    <col min="5642" max="5643" width="10.625" style="2893" customWidth="1"/>
    <col min="5644" max="5644" width="14.375" style="2893" customWidth="1"/>
    <col min="5645" max="5645" width="6.25" style="2893" customWidth="1"/>
    <col min="5646" max="5646" width="55.25" style="2893" customWidth="1"/>
    <col min="5647" max="5647" width="7.875" style="2893" customWidth="1"/>
    <col min="5648" max="5889" width="9" style="2893"/>
    <col min="5890" max="5890" width="34" style="2893" customWidth="1"/>
    <col min="5891" max="5891" width="6.25" style="2893" customWidth="1"/>
    <col min="5892" max="5892" width="10.5" style="2893" customWidth="1"/>
    <col min="5893" max="5894" width="13.875" style="2893" customWidth="1"/>
    <col min="5895" max="5895" width="9.875" style="2893" customWidth="1"/>
    <col min="5896" max="5896" width="7.875" style="2893" customWidth="1"/>
    <col min="5897" max="5897" width="9" style="2893" customWidth="1"/>
    <col min="5898" max="5899" width="10.625" style="2893" customWidth="1"/>
    <col min="5900" max="5900" width="14.375" style="2893" customWidth="1"/>
    <col min="5901" max="5901" width="6.25" style="2893" customWidth="1"/>
    <col min="5902" max="5902" width="55.25" style="2893" customWidth="1"/>
    <col min="5903" max="5903" width="7.875" style="2893" customWidth="1"/>
    <col min="5904" max="6145" width="9" style="2893"/>
    <col min="6146" max="6146" width="34" style="2893" customWidth="1"/>
    <col min="6147" max="6147" width="6.25" style="2893" customWidth="1"/>
    <col min="6148" max="6148" width="10.5" style="2893" customWidth="1"/>
    <col min="6149" max="6150" width="13.875" style="2893" customWidth="1"/>
    <col min="6151" max="6151" width="9.875" style="2893" customWidth="1"/>
    <col min="6152" max="6152" width="7.875" style="2893" customWidth="1"/>
    <col min="6153" max="6153" width="9" style="2893" customWidth="1"/>
    <col min="6154" max="6155" width="10.625" style="2893" customWidth="1"/>
    <col min="6156" max="6156" width="14.375" style="2893" customWidth="1"/>
    <col min="6157" max="6157" width="6.25" style="2893" customWidth="1"/>
    <col min="6158" max="6158" width="55.25" style="2893" customWidth="1"/>
    <col min="6159" max="6159" width="7.875" style="2893" customWidth="1"/>
    <col min="6160" max="6401" width="9" style="2893"/>
    <col min="6402" max="6402" width="34" style="2893" customWidth="1"/>
    <col min="6403" max="6403" width="6.25" style="2893" customWidth="1"/>
    <col min="6404" max="6404" width="10.5" style="2893" customWidth="1"/>
    <col min="6405" max="6406" width="13.875" style="2893" customWidth="1"/>
    <col min="6407" max="6407" width="9.875" style="2893" customWidth="1"/>
    <col min="6408" max="6408" width="7.875" style="2893" customWidth="1"/>
    <col min="6409" max="6409" width="9" style="2893" customWidth="1"/>
    <col min="6410" max="6411" width="10.625" style="2893" customWidth="1"/>
    <col min="6412" max="6412" width="14.375" style="2893" customWidth="1"/>
    <col min="6413" max="6413" width="6.25" style="2893" customWidth="1"/>
    <col min="6414" max="6414" width="55.25" style="2893" customWidth="1"/>
    <col min="6415" max="6415" width="7.875" style="2893" customWidth="1"/>
    <col min="6416" max="6657" width="9" style="2893"/>
    <col min="6658" max="6658" width="34" style="2893" customWidth="1"/>
    <col min="6659" max="6659" width="6.25" style="2893" customWidth="1"/>
    <col min="6660" max="6660" width="10.5" style="2893" customWidth="1"/>
    <col min="6661" max="6662" width="13.875" style="2893" customWidth="1"/>
    <col min="6663" max="6663" width="9.875" style="2893" customWidth="1"/>
    <col min="6664" max="6664" width="7.875" style="2893" customWidth="1"/>
    <col min="6665" max="6665" width="9" style="2893" customWidth="1"/>
    <col min="6666" max="6667" width="10.625" style="2893" customWidth="1"/>
    <col min="6668" max="6668" width="14.375" style="2893" customWidth="1"/>
    <col min="6669" max="6669" width="6.25" style="2893" customWidth="1"/>
    <col min="6670" max="6670" width="55.25" style="2893" customWidth="1"/>
    <col min="6671" max="6671" width="7.875" style="2893" customWidth="1"/>
    <col min="6672" max="6913" width="9" style="2893"/>
    <col min="6914" max="6914" width="34" style="2893" customWidth="1"/>
    <col min="6915" max="6915" width="6.25" style="2893" customWidth="1"/>
    <col min="6916" max="6916" width="10.5" style="2893" customWidth="1"/>
    <col min="6917" max="6918" width="13.875" style="2893" customWidth="1"/>
    <col min="6919" max="6919" width="9.875" style="2893" customWidth="1"/>
    <col min="6920" max="6920" width="7.875" style="2893" customWidth="1"/>
    <col min="6921" max="6921" width="9" style="2893" customWidth="1"/>
    <col min="6922" max="6923" width="10.625" style="2893" customWidth="1"/>
    <col min="6924" max="6924" width="14.375" style="2893" customWidth="1"/>
    <col min="6925" max="6925" width="6.25" style="2893" customWidth="1"/>
    <col min="6926" max="6926" width="55.25" style="2893" customWidth="1"/>
    <col min="6927" max="6927" width="7.875" style="2893" customWidth="1"/>
    <col min="6928" max="7169" width="9" style="2893"/>
    <col min="7170" max="7170" width="34" style="2893" customWidth="1"/>
    <col min="7171" max="7171" width="6.25" style="2893" customWidth="1"/>
    <col min="7172" max="7172" width="10.5" style="2893" customWidth="1"/>
    <col min="7173" max="7174" width="13.875" style="2893" customWidth="1"/>
    <col min="7175" max="7175" width="9.875" style="2893" customWidth="1"/>
    <col min="7176" max="7176" width="7.875" style="2893" customWidth="1"/>
    <col min="7177" max="7177" width="9" style="2893" customWidth="1"/>
    <col min="7178" max="7179" width="10.625" style="2893" customWidth="1"/>
    <col min="7180" max="7180" width="14.375" style="2893" customWidth="1"/>
    <col min="7181" max="7181" width="6.25" style="2893" customWidth="1"/>
    <col min="7182" max="7182" width="55.25" style="2893" customWidth="1"/>
    <col min="7183" max="7183" width="7.875" style="2893" customWidth="1"/>
    <col min="7184" max="7425" width="9" style="2893"/>
    <col min="7426" max="7426" width="34" style="2893" customWidth="1"/>
    <col min="7427" max="7427" width="6.25" style="2893" customWidth="1"/>
    <col min="7428" max="7428" width="10.5" style="2893" customWidth="1"/>
    <col min="7429" max="7430" width="13.875" style="2893" customWidth="1"/>
    <col min="7431" max="7431" width="9.875" style="2893" customWidth="1"/>
    <col min="7432" max="7432" width="7.875" style="2893" customWidth="1"/>
    <col min="7433" max="7433" width="9" style="2893" customWidth="1"/>
    <col min="7434" max="7435" width="10.625" style="2893" customWidth="1"/>
    <col min="7436" max="7436" width="14.375" style="2893" customWidth="1"/>
    <col min="7437" max="7437" width="6.25" style="2893" customWidth="1"/>
    <col min="7438" max="7438" width="55.25" style="2893" customWidth="1"/>
    <col min="7439" max="7439" width="7.875" style="2893" customWidth="1"/>
    <col min="7440" max="7681" width="9" style="2893"/>
    <col min="7682" max="7682" width="34" style="2893" customWidth="1"/>
    <col min="7683" max="7683" width="6.25" style="2893" customWidth="1"/>
    <col min="7684" max="7684" width="10.5" style="2893" customWidth="1"/>
    <col min="7685" max="7686" width="13.875" style="2893" customWidth="1"/>
    <col min="7687" max="7687" width="9.875" style="2893" customWidth="1"/>
    <col min="7688" max="7688" width="7.875" style="2893" customWidth="1"/>
    <col min="7689" max="7689" width="9" style="2893" customWidth="1"/>
    <col min="7690" max="7691" width="10.625" style="2893" customWidth="1"/>
    <col min="7692" max="7692" width="14.375" style="2893" customWidth="1"/>
    <col min="7693" max="7693" width="6.25" style="2893" customWidth="1"/>
    <col min="7694" max="7694" width="55.25" style="2893" customWidth="1"/>
    <col min="7695" max="7695" width="7.875" style="2893" customWidth="1"/>
    <col min="7696" max="7937" width="9" style="2893"/>
    <col min="7938" max="7938" width="34" style="2893" customWidth="1"/>
    <col min="7939" max="7939" width="6.25" style="2893" customWidth="1"/>
    <col min="7940" max="7940" width="10.5" style="2893" customWidth="1"/>
    <col min="7941" max="7942" width="13.875" style="2893" customWidth="1"/>
    <col min="7943" max="7943" width="9.875" style="2893" customWidth="1"/>
    <col min="7944" max="7944" width="7.875" style="2893" customWidth="1"/>
    <col min="7945" max="7945" width="9" style="2893" customWidth="1"/>
    <col min="7946" max="7947" width="10.625" style="2893" customWidth="1"/>
    <col min="7948" max="7948" width="14.375" style="2893" customWidth="1"/>
    <col min="7949" max="7949" width="6.25" style="2893" customWidth="1"/>
    <col min="7950" max="7950" width="55.25" style="2893" customWidth="1"/>
    <col min="7951" max="7951" width="7.875" style="2893" customWidth="1"/>
    <col min="7952" max="8193" width="9" style="2893"/>
    <col min="8194" max="8194" width="34" style="2893" customWidth="1"/>
    <col min="8195" max="8195" width="6.25" style="2893" customWidth="1"/>
    <col min="8196" max="8196" width="10.5" style="2893" customWidth="1"/>
    <col min="8197" max="8198" width="13.875" style="2893" customWidth="1"/>
    <col min="8199" max="8199" width="9.875" style="2893" customWidth="1"/>
    <col min="8200" max="8200" width="7.875" style="2893" customWidth="1"/>
    <col min="8201" max="8201" width="9" style="2893" customWidth="1"/>
    <col min="8202" max="8203" width="10.625" style="2893" customWidth="1"/>
    <col min="8204" max="8204" width="14.375" style="2893" customWidth="1"/>
    <col min="8205" max="8205" width="6.25" style="2893" customWidth="1"/>
    <col min="8206" max="8206" width="55.25" style="2893" customWidth="1"/>
    <col min="8207" max="8207" width="7.875" style="2893" customWidth="1"/>
    <col min="8208" max="8449" width="9" style="2893"/>
    <col min="8450" max="8450" width="34" style="2893" customWidth="1"/>
    <col min="8451" max="8451" width="6.25" style="2893" customWidth="1"/>
    <col min="8452" max="8452" width="10.5" style="2893" customWidth="1"/>
    <col min="8453" max="8454" width="13.875" style="2893" customWidth="1"/>
    <col min="8455" max="8455" width="9.875" style="2893" customWidth="1"/>
    <col min="8456" max="8456" width="7.875" style="2893" customWidth="1"/>
    <col min="8457" max="8457" width="9" style="2893" customWidth="1"/>
    <col min="8458" max="8459" width="10.625" style="2893" customWidth="1"/>
    <col min="8460" max="8460" width="14.375" style="2893" customWidth="1"/>
    <col min="8461" max="8461" width="6.25" style="2893" customWidth="1"/>
    <col min="8462" max="8462" width="55.25" style="2893" customWidth="1"/>
    <col min="8463" max="8463" width="7.875" style="2893" customWidth="1"/>
    <col min="8464" max="8705" width="9" style="2893"/>
    <col min="8706" max="8706" width="34" style="2893" customWidth="1"/>
    <col min="8707" max="8707" width="6.25" style="2893" customWidth="1"/>
    <col min="8708" max="8708" width="10.5" style="2893" customWidth="1"/>
    <col min="8709" max="8710" width="13.875" style="2893" customWidth="1"/>
    <col min="8711" max="8711" width="9.875" style="2893" customWidth="1"/>
    <col min="8712" max="8712" width="7.875" style="2893" customWidth="1"/>
    <col min="8713" max="8713" width="9" style="2893" customWidth="1"/>
    <col min="8714" max="8715" width="10.625" style="2893" customWidth="1"/>
    <col min="8716" max="8716" width="14.375" style="2893" customWidth="1"/>
    <col min="8717" max="8717" width="6.25" style="2893" customWidth="1"/>
    <col min="8718" max="8718" width="55.25" style="2893" customWidth="1"/>
    <col min="8719" max="8719" width="7.875" style="2893" customWidth="1"/>
    <col min="8720" max="8961" width="9" style="2893"/>
    <col min="8962" max="8962" width="34" style="2893" customWidth="1"/>
    <col min="8963" max="8963" width="6.25" style="2893" customWidth="1"/>
    <col min="8964" max="8964" width="10.5" style="2893" customWidth="1"/>
    <col min="8965" max="8966" width="13.875" style="2893" customWidth="1"/>
    <col min="8967" max="8967" width="9.875" style="2893" customWidth="1"/>
    <col min="8968" max="8968" width="7.875" style="2893" customWidth="1"/>
    <col min="8969" max="8969" width="9" style="2893" customWidth="1"/>
    <col min="8970" max="8971" width="10.625" style="2893" customWidth="1"/>
    <col min="8972" max="8972" width="14.375" style="2893" customWidth="1"/>
    <col min="8973" max="8973" width="6.25" style="2893" customWidth="1"/>
    <col min="8974" max="8974" width="55.25" style="2893" customWidth="1"/>
    <col min="8975" max="8975" width="7.875" style="2893" customWidth="1"/>
    <col min="8976" max="9217" width="9" style="2893"/>
    <col min="9218" max="9218" width="34" style="2893" customWidth="1"/>
    <col min="9219" max="9219" width="6.25" style="2893" customWidth="1"/>
    <col min="9220" max="9220" width="10.5" style="2893" customWidth="1"/>
    <col min="9221" max="9222" width="13.875" style="2893" customWidth="1"/>
    <col min="9223" max="9223" width="9.875" style="2893" customWidth="1"/>
    <col min="9224" max="9224" width="7.875" style="2893" customWidth="1"/>
    <col min="9225" max="9225" width="9" style="2893" customWidth="1"/>
    <col min="9226" max="9227" width="10.625" style="2893" customWidth="1"/>
    <col min="9228" max="9228" width="14.375" style="2893" customWidth="1"/>
    <col min="9229" max="9229" width="6.25" style="2893" customWidth="1"/>
    <col min="9230" max="9230" width="55.25" style="2893" customWidth="1"/>
    <col min="9231" max="9231" width="7.875" style="2893" customWidth="1"/>
    <col min="9232" max="9473" width="9" style="2893"/>
    <col min="9474" max="9474" width="34" style="2893" customWidth="1"/>
    <col min="9475" max="9475" width="6.25" style="2893" customWidth="1"/>
    <col min="9476" max="9476" width="10.5" style="2893" customWidth="1"/>
    <col min="9477" max="9478" width="13.875" style="2893" customWidth="1"/>
    <col min="9479" max="9479" width="9.875" style="2893" customWidth="1"/>
    <col min="9480" max="9480" width="7.875" style="2893" customWidth="1"/>
    <col min="9481" max="9481" width="9" style="2893" customWidth="1"/>
    <col min="9482" max="9483" width="10.625" style="2893" customWidth="1"/>
    <col min="9484" max="9484" width="14.375" style="2893" customWidth="1"/>
    <col min="9485" max="9485" width="6.25" style="2893" customWidth="1"/>
    <col min="9486" max="9486" width="55.25" style="2893" customWidth="1"/>
    <col min="9487" max="9487" width="7.875" style="2893" customWidth="1"/>
    <col min="9488" max="9729" width="9" style="2893"/>
    <col min="9730" max="9730" width="34" style="2893" customWidth="1"/>
    <col min="9731" max="9731" width="6.25" style="2893" customWidth="1"/>
    <col min="9732" max="9732" width="10.5" style="2893" customWidth="1"/>
    <col min="9733" max="9734" width="13.875" style="2893" customWidth="1"/>
    <col min="9735" max="9735" width="9.875" style="2893" customWidth="1"/>
    <col min="9736" max="9736" width="7.875" style="2893" customWidth="1"/>
    <col min="9737" max="9737" width="9" style="2893" customWidth="1"/>
    <col min="9738" max="9739" width="10.625" style="2893" customWidth="1"/>
    <col min="9740" max="9740" width="14.375" style="2893" customWidth="1"/>
    <col min="9741" max="9741" width="6.25" style="2893" customWidth="1"/>
    <col min="9742" max="9742" width="55.25" style="2893" customWidth="1"/>
    <col min="9743" max="9743" width="7.875" style="2893" customWidth="1"/>
    <col min="9744" max="9985" width="9" style="2893"/>
    <col min="9986" max="9986" width="34" style="2893" customWidth="1"/>
    <col min="9987" max="9987" width="6.25" style="2893" customWidth="1"/>
    <col min="9988" max="9988" width="10.5" style="2893" customWidth="1"/>
    <col min="9989" max="9990" width="13.875" style="2893" customWidth="1"/>
    <col min="9991" max="9991" width="9.875" style="2893" customWidth="1"/>
    <col min="9992" max="9992" width="7.875" style="2893" customWidth="1"/>
    <col min="9993" max="9993" width="9" style="2893" customWidth="1"/>
    <col min="9994" max="9995" width="10.625" style="2893" customWidth="1"/>
    <col min="9996" max="9996" width="14.375" style="2893" customWidth="1"/>
    <col min="9997" max="9997" width="6.25" style="2893" customWidth="1"/>
    <col min="9998" max="9998" width="55.25" style="2893" customWidth="1"/>
    <col min="9999" max="9999" width="7.875" style="2893" customWidth="1"/>
    <col min="10000" max="10241" width="9" style="2893"/>
    <col min="10242" max="10242" width="34" style="2893" customWidth="1"/>
    <col min="10243" max="10243" width="6.25" style="2893" customWidth="1"/>
    <col min="10244" max="10244" width="10.5" style="2893" customWidth="1"/>
    <col min="10245" max="10246" width="13.875" style="2893" customWidth="1"/>
    <col min="10247" max="10247" width="9.875" style="2893" customWidth="1"/>
    <col min="10248" max="10248" width="7.875" style="2893" customWidth="1"/>
    <col min="10249" max="10249" width="9" style="2893" customWidth="1"/>
    <col min="10250" max="10251" width="10.625" style="2893" customWidth="1"/>
    <col min="10252" max="10252" width="14.375" style="2893" customWidth="1"/>
    <col min="10253" max="10253" width="6.25" style="2893" customWidth="1"/>
    <col min="10254" max="10254" width="55.25" style="2893" customWidth="1"/>
    <col min="10255" max="10255" width="7.875" style="2893" customWidth="1"/>
    <col min="10256" max="10497" width="9" style="2893"/>
    <col min="10498" max="10498" width="34" style="2893" customWidth="1"/>
    <col min="10499" max="10499" width="6.25" style="2893" customWidth="1"/>
    <col min="10500" max="10500" width="10.5" style="2893" customWidth="1"/>
    <col min="10501" max="10502" width="13.875" style="2893" customWidth="1"/>
    <col min="10503" max="10503" width="9.875" style="2893" customWidth="1"/>
    <col min="10504" max="10504" width="7.875" style="2893" customWidth="1"/>
    <col min="10505" max="10505" width="9" style="2893" customWidth="1"/>
    <col min="10506" max="10507" width="10.625" style="2893" customWidth="1"/>
    <col min="10508" max="10508" width="14.375" style="2893" customWidth="1"/>
    <col min="10509" max="10509" width="6.25" style="2893" customWidth="1"/>
    <col min="10510" max="10510" width="55.25" style="2893" customWidth="1"/>
    <col min="10511" max="10511" width="7.875" style="2893" customWidth="1"/>
    <col min="10512" max="10753" width="9" style="2893"/>
    <col min="10754" max="10754" width="34" style="2893" customWidth="1"/>
    <col min="10755" max="10755" width="6.25" style="2893" customWidth="1"/>
    <col min="10756" max="10756" width="10.5" style="2893" customWidth="1"/>
    <col min="10757" max="10758" width="13.875" style="2893" customWidth="1"/>
    <col min="10759" max="10759" width="9.875" style="2893" customWidth="1"/>
    <col min="10760" max="10760" width="7.875" style="2893" customWidth="1"/>
    <col min="10761" max="10761" width="9" style="2893" customWidth="1"/>
    <col min="10762" max="10763" width="10.625" style="2893" customWidth="1"/>
    <col min="10764" max="10764" width="14.375" style="2893" customWidth="1"/>
    <col min="10765" max="10765" width="6.25" style="2893" customWidth="1"/>
    <col min="10766" max="10766" width="55.25" style="2893" customWidth="1"/>
    <col min="10767" max="10767" width="7.875" style="2893" customWidth="1"/>
    <col min="10768" max="11009" width="9" style="2893"/>
    <col min="11010" max="11010" width="34" style="2893" customWidth="1"/>
    <col min="11011" max="11011" width="6.25" style="2893" customWidth="1"/>
    <col min="11012" max="11012" width="10.5" style="2893" customWidth="1"/>
    <col min="11013" max="11014" width="13.875" style="2893" customWidth="1"/>
    <col min="11015" max="11015" width="9.875" style="2893" customWidth="1"/>
    <col min="11016" max="11016" width="7.875" style="2893" customWidth="1"/>
    <col min="11017" max="11017" width="9" style="2893" customWidth="1"/>
    <col min="11018" max="11019" width="10.625" style="2893" customWidth="1"/>
    <col min="11020" max="11020" width="14.375" style="2893" customWidth="1"/>
    <col min="11021" max="11021" width="6.25" style="2893" customWidth="1"/>
    <col min="11022" max="11022" width="55.25" style="2893" customWidth="1"/>
    <col min="11023" max="11023" width="7.875" style="2893" customWidth="1"/>
    <col min="11024" max="11265" width="9" style="2893"/>
    <col min="11266" max="11266" width="34" style="2893" customWidth="1"/>
    <col min="11267" max="11267" width="6.25" style="2893" customWidth="1"/>
    <col min="11268" max="11268" width="10.5" style="2893" customWidth="1"/>
    <col min="11269" max="11270" width="13.875" style="2893" customWidth="1"/>
    <col min="11271" max="11271" width="9.875" style="2893" customWidth="1"/>
    <col min="11272" max="11272" width="7.875" style="2893" customWidth="1"/>
    <col min="11273" max="11273" width="9" style="2893" customWidth="1"/>
    <col min="11274" max="11275" width="10.625" style="2893" customWidth="1"/>
    <col min="11276" max="11276" width="14.375" style="2893" customWidth="1"/>
    <col min="11277" max="11277" width="6.25" style="2893" customWidth="1"/>
    <col min="11278" max="11278" width="55.25" style="2893" customWidth="1"/>
    <col min="11279" max="11279" width="7.875" style="2893" customWidth="1"/>
    <col min="11280" max="11521" width="9" style="2893"/>
    <col min="11522" max="11522" width="34" style="2893" customWidth="1"/>
    <col min="11523" max="11523" width="6.25" style="2893" customWidth="1"/>
    <col min="11524" max="11524" width="10.5" style="2893" customWidth="1"/>
    <col min="11525" max="11526" width="13.875" style="2893" customWidth="1"/>
    <col min="11527" max="11527" width="9.875" style="2893" customWidth="1"/>
    <col min="11528" max="11528" width="7.875" style="2893" customWidth="1"/>
    <col min="11529" max="11529" width="9" style="2893" customWidth="1"/>
    <col min="11530" max="11531" width="10.625" style="2893" customWidth="1"/>
    <col min="11532" max="11532" width="14.375" style="2893" customWidth="1"/>
    <col min="11533" max="11533" width="6.25" style="2893" customWidth="1"/>
    <col min="11534" max="11534" width="55.25" style="2893" customWidth="1"/>
    <col min="11535" max="11535" width="7.875" style="2893" customWidth="1"/>
    <col min="11536" max="11777" width="9" style="2893"/>
    <col min="11778" max="11778" width="34" style="2893" customWidth="1"/>
    <col min="11779" max="11779" width="6.25" style="2893" customWidth="1"/>
    <col min="11780" max="11780" width="10.5" style="2893" customWidth="1"/>
    <col min="11781" max="11782" width="13.875" style="2893" customWidth="1"/>
    <col min="11783" max="11783" width="9.875" style="2893" customWidth="1"/>
    <col min="11784" max="11784" width="7.875" style="2893" customWidth="1"/>
    <col min="11785" max="11785" width="9" style="2893" customWidth="1"/>
    <col min="11786" max="11787" width="10.625" style="2893" customWidth="1"/>
    <col min="11788" max="11788" width="14.375" style="2893" customWidth="1"/>
    <col min="11789" max="11789" width="6.25" style="2893" customWidth="1"/>
    <col min="11790" max="11790" width="55.25" style="2893" customWidth="1"/>
    <col min="11791" max="11791" width="7.875" style="2893" customWidth="1"/>
    <col min="11792" max="12033" width="9" style="2893"/>
    <col min="12034" max="12034" width="34" style="2893" customWidth="1"/>
    <col min="12035" max="12035" width="6.25" style="2893" customWidth="1"/>
    <col min="12036" max="12036" width="10.5" style="2893" customWidth="1"/>
    <col min="12037" max="12038" width="13.875" style="2893" customWidth="1"/>
    <col min="12039" max="12039" width="9.875" style="2893" customWidth="1"/>
    <col min="12040" max="12040" width="7.875" style="2893" customWidth="1"/>
    <col min="12041" max="12041" width="9" style="2893" customWidth="1"/>
    <col min="12042" max="12043" width="10.625" style="2893" customWidth="1"/>
    <col min="12044" max="12044" width="14.375" style="2893" customWidth="1"/>
    <col min="12045" max="12045" width="6.25" style="2893" customWidth="1"/>
    <col min="12046" max="12046" width="55.25" style="2893" customWidth="1"/>
    <col min="12047" max="12047" width="7.875" style="2893" customWidth="1"/>
    <col min="12048" max="12289" width="9" style="2893"/>
    <col min="12290" max="12290" width="34" style="2893" customWidth="1"/>
    <col min="12291" max="12291" width="6.25" style="2893" customWidth="1"/>
    <col min="12292" max="12292" width="10.5" style="2893" customWidth="1"/>
    <col min="12293" max="12294" width="13.875" style="2893" customWidth="1"/>
    <col min="12295" max="12295" width="9.875" style="2893" customWidth="1"/>
    <col min="12296" max="12296" width="7.875" style="2893" customWidth="1"/>
    <col min="12297" max="12297" width="9" style="2893" customWidth="1"/>
    <col min="12298" max="12299" width="10.625" style="2893" customWidth="1"/>
    <col min="12300" max="12300" width="14.375" style="2893" customWidth="1"/>
    <col min="12301" max="12301" width="6.25" style="2893" customWidth="1"/>
    <col min="12302" max="12302" width="55.25" style="2893" customWidth="1"/>
    <col min="12303" max="12303" width="7.875" style="2893" customWidth="1"/>
    <col min="12304" max="12545" width="9" style="2893"/>
    <col min="12546" max="12546" width="34" style="2893" customWidth="1"/>
    <col min="12547" max="12547" width="6.25" style="2893" customWidth="1"/>
    <col min="12548" max="12548" width="10.5" style="2893" customWidth="1"/>
    <col min="12549" max="12550" width="13.875" style="2893" customWidth="1"/>
    <col min="12551" max="12551" width="9.875" style="2893" customWidth="1"/>
    <col min="12552" max="12552" width="7.875" style="2893" customWidth="1"/>
    <col min="12553" max="12553" width="9" style="2893" customWidth="1"/>
    <col min="12554" max="12555" width="10.625" style="2893" customWidth="1"/>
    <col min="12556" max="12556" width="14.375" style="2893" customWidth="1"/>
    <col min="12557" max="12557" width="6.25" style="2893" customWidth="1"/>
    <col min="12558" max="12558" width="55.25" style="2893" customWidth="1"/>
    <col min="12559" max="12559" width="7.875" style="2893" customWidth="1"/>
    <col min="12560" max="12801" width="9" style="2893"/>
    <col min="12802" max="12802" width="34" style="2893" customWidth="1"/>
    <col min="12803" max="12803" width="6.25" style="2893" customWidth="1"/>
    <col min="12804" max="12804" width="10.5" style="2893" customWidth="1"/>
    <col min="12805" max="12806" width="13.875" style="2893" customWidth="1"/>
    <col min="12807" max="12807" width="9.875" style="2893" customWidth="1"/>
    <col min="12808" max="12808" width="7.875" style="2893" customWidth="1"/>
    <col min="12809" max="12809" width="9" style="2893" customWidth="1"/>
    <col min="12810" max="12811" width="10.625" style="2893" customWidth="1"/>
    <col min="12812" max="12812" width="14.375" style="2893" customWidth="1"/>
    <col min="12813" max="12813" width="6.25" style="2893" customWidth="1"/>
    <col min="12814" max="12814" width="55.25" style="2893" customWidth="1"/>
    <col min="12815" max="12815" width="7.875" style="2893" customWidth="1"/>
    <col min="12816" max="13057" width="9" style="2893"/>
    <col min="13058" max="13058" width="34" style="2893" customWidth="1"/>
    <col min="13059" max="13059" width="6.25" style="2893" customWidth="1"/>
    <col min="13060" max="13060" width="10.5" style="2893" customWidth="1"/>
    <col min="13061" max="13062" width="13.875" style="2893" customWidth="1"/>
    <col min="13063" max="13063" width="9.875" style="2893" customWidth="1"/>
    <col min="13064" max="13064" width="7.875" style="2893" customWidth="1"/>
    <col min="13065" max="13065" width="9" style="2893" customWidth="1"/>
    <col min="13066" max="13067" width="10.625" style="2893" customWidth="1"/>
    <col min="13068" max="13068" width="14.375" style="2893" customWidth="1"/>
    <col min="13069" max="13069" width="6.25" style="2893" customWidth="1"/>
    <col min="13070" max="13070" width="55.25" style="2893" customWidth="1"/>
    <col min="13071" max="13071" width="7.875" style="2893" customWidth="1"/>
    <col min="13072" max="13313" width="9" style="2893"/>
    <col min="13314" max="13314" width="34" style="2893" customWidth="1"/>
    <col min="13315" max="13315" width="6.25" style="2893" customWidth="1"/>
    <col min="13316" max="13316" width="10.5" style="2893" customWidth="1"/>
    <col min="13317" max="13318" width="13.875" style="2893" customWidth="1"/>
    <col min="13319" max="13319" width="9.875" style="2893" customWidth="1"/>
    <col min="13320" max="13320" width="7.875" style="2893" customWidth="1"/>
    <col min="13321" max="13321" width="9" style="2893" customWidth="1"/>
    <col min="13322" max="13323" width="10.625" style="2893" customWidth="1"/>
    <col min="13324" max="13324" width="14.375" style="2893" customWidth="1"/>
    <col min="13325" max="13325" width="6.25" style="2893" customWidth="1"/>
    <col min="13326" max="13326" width="55.25" style="2893" customWidth="1"/>
    <col min="13327" max="13327" width="7.875" style="2893" customWidth="1"/>
    <col min="13328" max="13569" width="9" style="2893"/>
    <col min="13570" max="13570" width="34" style="2893" customWidth="1"/>
    <col min="13571" max="13571" width="6.25" style="2893" customWidth="1"/>
    <col min="13572" max="13572" width="10.5" style="2893" customWidth="1"/>
    <col min="13573" max="13574" width="13.875" style="2893" customWidth="1"/>
    <col min="13575" max="13575" width="9.875" style="2893" customWidth="1"/>
    <col min="13576" max="13576" width="7.875" style="2893" customWidth="1"/>
    <col min="13577" max="13577" width="9" style="2893" customWidth="1"/>
    <col min="13578" max="13579" width="10.625" style="2893" customWidth="1"/>
    <col min="13580" max="13580" width="14.375" style="2893" customWidth="1"/>
    <col min="13581" max="13581" width="6.25" style="2893" customWidth="1"/>
    <col min="13582" max="13582" width="55.25" style="2893" customWidth="1"/>
    <col min="13583" max="13583" width="7.875" style="2893" customWidth="1"/>
    <col min="13584" max="13825" width="9" style="2893"/>
    <col min="13826" max="13826" width="34" style="2893" customWidth="1"/>
    <col min="13827" max="13827" width="6.25" style="2893" customWidth="1"/>
    <col min="13828" max="13828" width="10.5" style="2893" customWidth="1"/>
    <col min="13829" max="13830" width="13.875" style="2893" customWidth="1"/>
    <col min="13831" max="13831" width="9.875" style="2893" customWidth="1"/>
    <col min="13832" max="13832" width="7.875" style="2893" customWidth="1"/>
    <col min="13833" max="13833" width="9" style="2893" customWidth="1"/>
    <col min="13834" max="13835" width="10.625" style="2893" customWidth="1"/>
    <col min="13836" max="13836" width="14.375" style="2893" customWidth="1"/>
    <col min="13837" max="13837" width="6.25" style="2893" customWidth="1"/>
    <col min="13838" max="13838" width="55.25" style="2893" customWidth="1"/>
    <col min="13839" max="13839" width="7.875" style="2893" customWidth="1"/>
    <col min="13840" max="14081" width="9" style="2893"/>
    <col min="14082" max="14082" width="34" style="2893" customWidth="1"/>
    <col min="14083" max="14083" width="6.25" style="2893" customWidth="1"/>
    <col min="14084" max="14084" width="10.5" style="2893" customWidth="1"/>
    <col min="14085" max="14086" width="13.875" style="2893" customWidth="1"/>
    <col min="14087" max="14087" width="9.875" style="2893" customWidth="1"/>
    <col min="14088" max="14088" width="7.875" style="2893" customWidth="1"/>
    <col min="14089" max="14089" width="9" style="2893" customWidth="1"/>
    <col min="14090" max="14091" width="10.625" style="2893" customWidth="1"/>
    <col min="14092" max="14092" width="14.375" style="2893" customWidth="1"/>
    <col min="14093" max="14093" width="6.25" style="2893" customWidth="1"/>
    <col min="14094" max="14094" width="55.25" style="2893" customWidth="1"/>
    <col min="14095" max="14095" width="7.875" style="2893" customWidth="1"/>
    <col min="14096" max="14337" width="9" style="2893"/>
    <col min="14338" max="14338" width="34" style="2893" customWidth="1"/>
    <col min="14339" max="14339" width="6.25" style="2893" customWidth="1"/>
    <col min="14340" max="14340" width="10.5" style="2893" customWidth="1"/>
    <col min="14341" max="14342" width="13.875" style="2893" customWidth="1"/>
    <col min="14343" max="14343" width="9.875" style="2893" customWidth="1"/>
    <col min="14344" max="14344" width="7.875" style="2893" customWidth="1"/>
    <col min="14345" max="14345" width="9" style="2893" customWidth="1"/>
    <col min="14346" max="14347" width="10.625" style="2893" customWidth="1"/>
    <col min="14348" max="14348" width="14.375" style="2893" customWidth="1"/>
    <col min="14349" max="14349" width="6.25" style="2893" customWidth="1"/>
    <col min="14350" max="14350" width="55.25" style="2893" customWidth="1"/>
    <col min="14351" max="14351" width="7.875" style="2893" customWidth="1"/>
    <col min="14352" max="14593" width="9" style="2893"/>
    <col min="14594" max="14594" width="34" style="2893" customWidth="1"/>
    <col min="14595" max="14595" width="6.25" style="2893" customWidth="1"/>
    <col min="14596" max="14596" width="10.5" style="2893" customWidth="1"/>
    <col min="14597" max="14598" width="13.875" style="2893" customWidth="1"/>
    <col min="14599" max="14599" width="9.875" style="2893" customWidth="1"/>
    <col min="14600" max="14600" width="7.875" style="2893" customWidth="1"/>
    <col min="14601" max="14601" width="9" style="2893" customWidth="1"/>
    <col min="14602" max="14603" width="10.625" style="2893" customWidth="1"/>
    <col min="14604" max="14604" width="14.375" style="2893" customWidth="1"/>
    <col min="14605" max="14605" width="6.25" style="2893" customWidth="1"/>
    <col min="14606" max="14606" width="55.25" style="2893" customWidth="1"/>
    <col min="14607" max="14607" width="7.875" style="2893" customWidth="1"/>
    <col min="14608" max="14849" width="9" style="2893"/>
    <col min="14850" max="14850" width="34" style="2893" customWidth="1"/>
    <col min="14851" max="14851" width="6.25" style="2893" customWidth="1"/>
    <col min="14852" max="14852" width="10.5" style="2893" customWidth="1"/>
    <col min="14853" max="14854" width="13.875" style="2893" customWidth="1"/>
    <col min="14855" max="14855" width="9.875" style="2893" customWidth="1"/>
    <col min="14856" max="14856" width="7.875" style="2893" customWidth="1"/>
    <col min="14857" max="14857" width="9" style="2893" customWidth="1"/>
    <col min="14858" max="14859" width="10.625" style="2893" customWidth="1"/>
    <col min="14860" max="14860" width="14.375" style="2893" customWidth="1"/>
    <col min="14861" max="14861" width="6.25" style="2893" customWidth="1"/>
    <col min="14862" max="14862" width="55.25" style="2893" customWidth="1"/>
    <col min="14863" max="14863" width="7.875" style="2893" customWidth="1"/>
    <col min="14864" max="15105" width="9" style="2893"/>
    <col min="15106" max="15106" width="34" style="2893" customWidth="1"/>
    <col min="15107" max="15107" width="6.25" style="2893" customWidth="1"/>
    <col min="15108" max="15108" width="10.5" style="2893" customWidth="1"/>
    <col min="15109" max="15110" width="13.875" style="2893" customWidth="1"/>
    <col min="15111" max="15111" width="9.875" style="2893" customWidth="1"/>
    <col min="15112" max="15112" width="7.875" style="2893" customWidth="1"/>
    <col min="15113" max="15113" width="9" style="2893" customWidth="1"/>
    <col min="15114" max="15115" width="10.625" style="2893" customWidth="1"/>
    <col min="15116" max="15116" width="14.375" style="2893" customWidth="1"/>
    <col min="15117" max="15117" width="6.25" style="2893" customWidth="1"/>
    <col min="15118" max="15118" width="55.25" style="2893" customWidth="1"/>
    <col min="15119" max="15119" width="7.875" style="2893" customWidth="1"/>
    <col min="15120" max="15361" width="9" style="2893"/>
    <col min="15362" max="15362" width="34" style="2893" customWidth="1"/>
    <col min="15363" max="15363" width="6.25" style="2893" customWidth="1"/>
    <col min="15364" max="15364" width="10.5" style="2893" customWidth="1"/>
    <col min="15365" max="15366" width="13.875" style="2893" customWidth="1"/>
    <col min="15367" max="15367" width="9.875" style="2893" customWidth="1"/>
    <col min="15368" max="15368" width="7.875" style="2893" customWidth="1"/>
    <col min="15369" max="15369" width="9" style="2893" customWidth="1"/>
    <col min="15370" max="15371" width="10.625" style="2893" customWidth="1"/>
    <col min="15372" max="15372" width="14.375" style="2893" customWidth="1"/>
    <col min="15373" max="15373" width="6.25" style="2893" customWidth="1"/>
    <col min="15374" max="15374" width="55.25" style="2893" customWidth="1"/>
    <col min="15375" max="15375" width="7.875" style="2893" customWidth="1"/>
    <col min="15376" max="15617" width="9" style="2893"/>
    <col min="15618" max="15618" width="34" style="2893" customWidth="1"/>
    <col min="15619" max="15619" width="6.25" style="2893" customWidth="1"/>
    <col min="15620" max="15620" width="10.5" style="2893" customWidth="1"/>
    <col min="15621" max="15622" width="13.875" style="2893" customWidth="1"/>
    <col min="15623" max="15623" width="9.875" style="2893" customWidth="1"/>
    <col min="15624" max="15624" width="7.875" style="2893" customWidth="1"/>
    <col min="15625" max="15625" width="9" style="2893" customWidth="1"/>
    <col min="15626" max="15627" width="10.625" style="2893" customWidth="1"/>
    <col min="15628" max="15628" width="14.375" style="2893" customWidth="1"/>
    <col min="15629" max="15629" width="6.25" style="2893" customWidth="1"/>
    <col min="15630" max="15630" width="55.25" style="2893" customWidth="1"/>
    <col min="15631" max="15631" width="7.875" style="2893" customWidth="1"/>
    <col min="15632" max="15873" width="9" style="2893"/>
    <col min="15874" max="15874" width="34" style="2893" customWidth="1"/>
    <col min="15875" max="15875" width="6.25" style="2893" customWidth="1"/>
    <col min="15876" max="15876" width="10.5" style="2893" customWidth="1"/>
    <col min="15877" max="15878" width="13.875" style="2893" customWidth="1"/>
    <col min="15879" max="15879" width="9.875" style="2893" customWidth="1"/>
    <col min="15880" max="15880" width="7.875" style="2893" customWidth="1"/>
    <col min="15881" max="15881" width="9" style="2893" customWidth="1"/>
    <col min="15882" max="15883" width="10.625" style="2893" customWidth="1"/>
    <col min="15884" max="15884" width="14.375" style="2893" customWidth="1"/>
    <col min="15885" max="15885" width="6.25" style="2893" customWidth="1"/>
    <col min="15886" max="15886" width="55.25" style="2893" customWidth="1"/>
    <col min="15887" max="15887" width="7.875" style="2893" customWidth="1"/>
    <col min="15888" max="16129" width="9" style="2893"/>
    <col min="16130" max="16130" width="34" style="2893" customWidth="1"/>
    <col min="16131" max="16131" width="6.25" style="2893" customWidth="1"/>
    <col min="16132" max="16132" width="10.5" style="2893" customWidth="1"/>
    <col min="16133" max="16134" width="13.875" style="2893" customWidth="1"/>
    <col min="16135" max="16135" width="9.875" style="2893" customWidth="1"/>
    <col min="16136" max="16136" width="7.875" style="2893" customWidth="1"/>
    <col min="16137" max="16137" width="9" style="2893" customWidth="1"/>
    <col min="16138" max="16139" width="10.625" style="2893" customWidth="1"/>
    <col min="16140" max="16140" width="14.375" style="2893" customWidth="1"/>
    <col min="16141" max="16141" width="6.25" style="2893" customWidth="1"/>
    <col min="16142" max="16142" width="55.25" style="2893" customWidth="1"/>
    <col min="16143" max="16143" width="7.875" style="2893" customWidth="1"/>
    <col min="16144" max="16384" width="9" style="2893"/>
  </cols>
  <sheetData>
    <row r="1" spans="1:15">
      <c r="A1" s="2893" t="s">
        <v>3023</v>
      </c>
      <c r="B1" s="2893" t="s">
        <v>3024</v>
      </c>
      <c r="C1" s="2893" t="s">
        <v>3025</v>
      </c>
      <c r="D1" s="2893" t="s">
        <v>3026</v>
      </c>
      <c r="E1" s="2893" t="s">
        <v>3027</v>
      </c>
      <c r="F1" s="2893" t="s">
        <v>2032</v>
      </c>
      <c r="G1" s="2893" t="s">
        <v>3028</v>
      </c>
      <c r="H1" s="2893" t="s">
        <v>3029</v>
      </c>
      <c r="I1" s="2893" t="s">
        <v>3030</v>
      </c>
      <c r="J1" s="2893" t="s">
        <v>3031</v>
      </c>
      <c r="K1" s="2893" t="s">
        <v>3032</v>
      </c>
      <c r="L1" s="3182" t="s">
        <v>3200</v>
      </c>
      <c r="M1" s="2893" t="s">
        <v>3033</v>
      </c>
      <c r="N1" s="2893" t="s">
        <v>3034</v>
      </c>
      <c r="O1" s="2893" t="s">
        <v>3035</v>
      </c>
    </row>
    <row r="2" spans="1:15" s="3183" customFormat="1">
      <c r="A2" s="3183" t="s">
        <v>3036</v>
      </c>
      <c r="B2" s="3183" t="s">
        <v>3037</v>
      </c>
      <c r="C2" s="3183" t="s">
        <v>3038</v>
      </c>
      <c r="D2" s="3183">
        <v>32348.7</v>
      </c>
      <c r="E2" s="3183">
        <v>64697.4</v>
      </c>
      <c r="F2" s="3183" t="s">
        <v>3039</v>
      </c>
      <c r="G2" s="3183" t="s">
        <v>3040</v>
      </c>
      <c r="H2" s="3183" t="s">
        <v>3041</v>
      </c>
      <c r="I2" s="3183">
        <v>89502</v>
      </c>
      <c r="J2" s="3183">
        <v>99502</v>
      </c>
      <c r="K2" s="3183">
        <v>15379.6</v>
      </c>
      <c r="L2" s="3183">
        <f>ROUND(J2*10000/D2,0)</f>
        <v>30759</v>
      </c>
      <c r="M2" s="3183">
        <v>11.17</v>
      </c>
      <c r="N2" s="3183" t="s">
        <v>3042</v>
      </c>
      <c r="O2" s="3183" t="s">
        <v>3043</v>
      </c>
    </row>
    <row r="3" spans="1:15">
      <c r="A3" s="2893" t="s">
        <v>3044</v>
      </c>
      <c r="B3" s="2893" t="s">
        <v>3037</v>
      </c>
      <c r="C3" s="2893" t="s">
        <v>3045</v>
      </c>
      <c r="D3" s="2893">
        <v>66407.199999999997</v>
      </c>
      <c r="E3" s="2893">
        <v>99610.8</v>
      </c>
      <c r="F3" s="2893" t="s">
        <v>3046</v>
      </c>
      <c r="G3" s="2893" t="s">
        <v>3040</v>
      </c>
      <c r="H3" s="2893" t="s">
        <v>3041</v>
      </c>
      <c r="I3" s="2893">
        <v>89650</v>
      </c>
      <c r="J3" s="2893">
        <v>89650</v>
      </c>
      <c r="K3" s="2893">
        <v>9000.0300000000007</v>
      </c>
      <c r="L3" s="2893">
        <f t="shared" ref="L3:L51" si="0">ROUND(J3*10000/D3,0)</f>
        <v>13500</v>
      </c>
      <c r="M3" s="2893">
        <v>0</v>
      </c>
      <c r="N3" s="2893" t="s">
        <v>3047</v>
      </c>
      <c r="O3" s="2893" t="s">
        <v>3048</v>
      </c>
    </row>
    <row r="4" spans="1:15">
      <c r="A4" s="2893" t="s">
        <v>3049</v>
      </c>
      <c r="B4" s="2893" t="s">
        <v>3037</v>
      </c>
      <c r="C4" s="2893" t="s">
        <v>3038</v>
      </c>
      <c r="D4" s="2893">
        <v>27920.77</v>
      </c>
      <c r="E4" s="2893">
        <v>67009.850000000006</v>
      </c>
      <c r="F4" s="2893" t="s">
        <v>3050</v>
      </c>
      <c r="G4" s="2893" t="s">
        <v>3040</v>
      </c>
      <c r="H4" s="2893" t="s">
        <v>3051</v>
      </c>
      <c r="I4" s="2893">
        <v>56107</v>
      </c>
      <c r="J4" s="2893">
        <v>62107</v>
      </c>
      <c r="K4" s="2893">
        <v>9268.34</v>
      </c>
      <c r="L4" s="2893">
        <f t="shared" si="0"/>
        <v>22244</v>
      </c>
      <c r="M4" s="2893">
        <v>10.69</v>
      </c>
      <c r="N4" s="2893" t="s">
        <v>3052</v>
      </c>
      <c r="O4" s="2893" t="s">
        <v>3048</v>
      </c>
    </row>
    <row r="5" spans="1:15">
      <c r="A5" s="2893" t="s">
        <v>3053</v>
      </c>
      <c r="B5" s="2893" t="s">
        <v>3037</v>
      </c>
      <c r="C5" s="2893" t="s">
        <v>3038</v>
      </c>
      <c r="D5" s="2893">
        <v>62204.3</v>
      </c>
      <c r="E5" s="2893">
        <v>93306.45</v>
      </c>
      <c r="F5" s="2893" t="s">
        <v>3054</v>
      </c>
      <c r="G5" s="2893" t="s">
        <v>3040</v>
      </c>
      <c r="H5" s="2893" t="s">
        <v>3055</v>
      </c>
      <c r="I5" s="2893">
        <v>114926</v>
      </c>
      <c r="J5" s="2893">
        <v>140126</v>
      </c>
      <c r="K5" s="2893">
        <v>15017.82</v>
      </c>
      <c r="L5" s="2893">
        <f t="shared" si="0"/>
        <v>22527</v>
      </c>
      <c r="M5" s="2893">
        <v>21.93</v>
      </c>
      <c r="N5" s="2893" t="s">
        <v>3056</v>
      </c>
      <c r="O5" s="2893" t="s">
        <v>3043</v>
      </c>
    </row>
    <row r="6" spans="1:15">
      <c r="A6" s="2893" t="s">
        <v>3057</v>
      </c>
      <c r="B6" s="2893" t="s">
        <v>3037</v>
      </c>
      <c r="C6" s="2893" t="s">
        <v>3038</v>
      </c>
      <c r="D6" s="2893">
        <v>124355.4</v>
      </c>
      <c r="E6" s="2893">
        <v>198968.6</v>
      </c>
      <c r="F6" s="2893" t="s">
        <v>3058</v>
      </c>
      <c r="G6" s="2893" t="s">
        <v>3040</v>
      </c>
      <c r="H6" s="2893" t="s">
        <v>3055</v>
      </c>
      <c r="I6" s="2893">
        <v>157822</v>
      </c>
      <c r="J6" s="2893">
        <v>185822</v>
      </c>
      <c r="K6" s="2893">
        <v>9339.26</v>
      </c>
      <c r="L6" s="2893">
        <f t="shared" si="0"/>
        <v>14943</v>
      </c>
      <c r="M6" s="2893">
        <v>17.739999999999998</v>
      </c>
      <c r="N6" s="2893" t="s">
        <v>3059</v>
      </c>
      <c r="O6" s="2893" t="s">
        <v>3060</v>
      </c>
    </row>
    <row r="7" spans="1:15">
      <c r="A7" s="2893" t="s">
        <v>3061</v>
      </c>
      <c r="B7" s="2893" t="s">
        <v>3037</v>
      </c>
      <c r="C7" s="2893" t="s">
        <v>3045</v>
      </c>
      <c r="D7" s="2893">
        <v>118623.1</v>
      </c>
      <c r="E7" s="2893">
        <v>160141.20000000001</v>
      </c>
      <c r="F7" s="2893" t="s">
        <v>3062</v>
      </c>
      <c r="G7" s="2893" t="s">
        <v>3040</v>
      </c>
      <c r="H7" s="2893" t="s">
        <v>3055</v>
      </c>
      <c r="I7" s="2893">
        <v>112099</v>
      </c>
      <c r="J7" s="2893">
        <v>112799</v>
      </c>
      <c r="K7" s="2893">
        <v>7043.72</v>
      </c>
      <c r="L7" s="2893">
        <f t="shared" si="0"/>
        <v>9509</v>
      </c>
      <c r="M7" s="2893">
        <v>0.62</v>
      </c>
      <c r="N7" s="2893" t="s">
        <v>3063</v>
      </c>
      <c r="O7" s="2893" t="s">
        <v>3064</v>
      </c>
    </row>
    <row r="8" spans="1:15">
      <c r="A8" s="2893" t="s">
        <v>3065</v>
      </c>
      <c r="B8" s="2893" t="s">
        <v>3037</v>
      </c>
      <c r="C8" s="2893" t="s">
        <v>3038</v>
      </c>
      <c r="D8" s="2893">
        <v>88002.4</v>
      </c>
      <c r="E8" s="2893">
        <v>158404.29999999999</v>
      </c>
      <c r="F8" s="2893" t="s">
        <v>3066</v>
      </c>
      <c r="G8" s="2893" t="s">
        <v>3040</v>
      </c>
      <c r="H8" s="2893" t="s">
        <v>3055</v>
      </c>
      <c r="I8" s="2893">
        <v>238874</v>
      </c>
      <c r="J8" s="2893">
        <v>289874</v>
      </c>
      <c r="K8" s="2893">
        <v>18299.63</v>
      </c>
      <c r="L8" s="2893">
        <f t="shared" si="0"/>
        <v>32939</v>
      </c>
      <c r="M8" s="2893">
        <v>21.35</v>
      </c>
      <c r="N8" s="2893" t="s">
        <v>3067</v>
      </c>
      <c r="O8" s="2893" t="s">
        <v>3048</v>
      </c>
    </row>
    <row r="9" spans="1:15">
      <c r="A9" s="2893" t="s">
        <v>3068</v>
      </c>
      <c r="B9" s="2893" t="s">
        <v>3037</v>
      </c>
      <c r="C9" s="2893" t="s">
        <v>3045</v>
      </c>
      <c r="D9" s="2893">
        <v>78025.399999999994</v>
      </c>
      <c r="E9" s="2893">
        <v>171655.9</v>
      </c>
      <c r="F9" s="2893" t="s">
        <v>3069</v>
      </c>
      <c r="G9" s="2893" t="s">
        <v>3040</v>
      </c>
      <c r="H9" s="2893" t="s">
        <v>3055</v>
      </c>
      <c r="I9" s="2893">
        <v>291815</v>
      </c>
      <c r="J9" s="2893">
        <v>311315</v>
      </c>
      <c r="K9" s="2893">
        <v>18135.990000000002</v>
      </c>
      <c r="L9" s="2893">
        <f t="shared" si="0"/>
        <v>39899</v>
      </c>
      <c r="M9" s="2893">
        <v>6.68</v>
      </c>
      <c r="N9" s="2893" t="s">
        <v>3070</v>
      </c>
      <c r="O9" s="2893" t="s">
        <v>3048</v>
      </c>
    </row>
    <row r="10" spans="1:15" s="3183" customFormat="1">
      <c r="A10" s="3183" t="s">
        <v>3071</v>
      </c>
      <c r="B10" s="3183" t="s">
        <v>3037</v>
      </c>
      <c r="C10" s="3183" t="s">
        <v>3045</v>
      </c>
      <c r="D10" s="3183">
        <v>35588.9</v>
      </c>
      <c r="E10" s="3183">
        <v>78295.58</v>
      </c>
      <c r="F10" s="3183" t="s">
        <v>3072</v>
      </c>
      <c r="G10" s="3183" t="s">
        <v>3040</v>
      </c>
      <c r="H10" s="3183" t="s">
        <v>3073</v>
      </c>
      <c r="I10" s="3183">
        <v>91794</v>
      </c>
      <c r="J10" s="3183">
        <v>134294</v>
      </c>
      <c r="K10" s="3183">
        <v>17152.18</v>
      </c>
      <c r="L10" s="3183">
        <f t="shared" si="0"/>
        <v>37735</v>
      </c>
      <c r="M10" s="3183">
        <v>46.3</v>
      </c>
      <c r="N10" s="3183" t="s">
        <v>3074</v>
      </c>
      <c r="O10" s="3183" t="s">
        <v>3043</v>
      </c>
    </row>
    <row r="11" spans="1:15">
      <c r="A11" s="2893" t="s">
        <v>3075</v>
      </c>
      <c r="B11" s="2893" t="s">
        <v>3037</v>
      </c>
      <c r="C11" s="2893" t="s">
        <v>3045</v>
      </c>
      <c r="D11" s="2893">
        <v>34414.800000000003</v>
      </c>
      <c r="E11" s="2893">
        <v>61946.64</v>
      </c>
      <c r="F11" s="2893" t="s">
        <v>3076</v>
      </c>
      <c r="G11" s="2893" t="s">
        <v>3040</v>
      </c>
      <c r="H11" s="2893" t="s">
        <v>3073</v>
      </c>
      <c r="I11" s="2893">
        <v>52655</v>
      </c>
      <c r="J11" s="2893">
        <v>88355</v>
      </c>
      <c r="K11" s="2893">
        <v>14263.07</v>
      </c>
      <c r="L11" s="2893">
        <f t="shared" si="0"/>
        <v>25674</v>
      </c>
      <c r="M11" s="2893">
        <v>67.8</v>
      </c>
      <c r="N11" s="2893" t="s">
        <v>3077</v>
      </c>
      <c r="O11" s="2893" t="s">
        <v>3048</v>
      </c>
    </row>
    <row r="12" spans="1:15">
      <c r="A12" s="2893" t="s">
        <v>3078</v>
      </c>
      <c r="B12" s="2893" t="s">
        <v>3037</v>
      </c>
      <c r="C12" s="2893" t="s">
        <v>3045</v>
      </c>
      <c r="D12" s="2893">
        <v>77914.600000000006</v>
      </c>
      <c r="E12" s="2893">
        <v>155829.20000000001</v>
      </c>
      <c r="F12" s="2893" t="s">
        <v>3079</v>
      </c>
      <c r="G12" s="2893" t="s">
        <v>3040</v>
      </c>
      <c r="H12" s="2893" t="s">
        <v>3080</v>
      </c>
      <c r="I12" s="2893">
        <v>249327</v>
      </c>
      <c r="J12" s="2893">
        <v>325827</v>
      </c>
      <c r="K12" s="2893">
        <v>20909.240000000002</v>
      </c>
      <c r="L12" s="2893">
        <f t="shared" si="0"/>
        <v>41818</v>
      </c>
      <c r="M12" s="2893">
        <v>30.68</v>
      </c>
      <c r="N12" s="2893" t="s">
        <v>3081</v>
      </c>
      <c r="O12" s="2893" t="s">
        <v>3043</v>
      </c>
    </row>
    <row r="13" spans="1:15" s="3184" customFormat="1">
      <c r="A13" s="3184" t="s">
        <v>3082</v>
      </c>
      <c r="B13" s="3184" t="s">
        <v>3037</v>
      </c>
      <c r="C13" s="3184" t="s">
        <v>3045</v>
      </c>
      <c r="D13" s="3184">
        <v>66528.7</v>
      </c>
      <c r="E13" s="3184">
        <v>119751.7</v>
      </c>
      <c r="F13" s="3184" t="s">
        <v>3076</v>
      </c>
      <c r="G13" s="3184" t="s">
        <v>3040</v>
      </c>
      <c r="H13" s="3184" t="s">
        <v>3080</v>
      </c>
      <c r="I13" s="3184">
        <v>167652</v>
      </c>
      <c r="J13" s="3184">
        <v>262652</v>
      </c>
      <c r="K13" s="3184">
        <v>21933.040000000001</v>
      </c>
      <c r="L13" s="3184">
        <f t="shared" si="0"/>
        <v>39480</v>
      </c>
      <c r="M13" s="3184">
        <v>56.66</v>
      </c>
      <c r="N13" s="3184" t="s">
        <v>3083</v>
      </c>
      <c r="O13" s="3184" t="s">
        <v>3043</v>
      </c>
    </row>
    <row r="14" spans="1:15" s="3183" customFormat="1">
      <c r="A14" s="3183" t="s">
        <v>3084</v>
      </c>
      <c r="B14" s="3183" t="s">
        <v>3037</v>
      </c>
      <c r="C14" s="3183" t="s">
        <v>3045</v>
      </c>
      <c r="D14" s="3183">
        <v>32005.5</v>
      </c>
      <c r="E14" s="3183">
        <v>48008.5</v>
      </c>
      <c r="F14" s="3183" t="s">
        <v>3085</v>
      </c>
      <c r="G14" s="3183" t="s">
        <v>3040</v>
      </c>
      <c r="H14" s="3183" t="s">
        <v>3086</v>
      </c>
      <c r="I14" s="3183">
        <v>62411</v>
      </c>
      <c r="J14" s="3183">
        <v>89111</v>
      </c>
      <c r="K14" s="3183">
        <v>18561.5</v>
      </c>
      <c r="L14" s="3183">
        <f t="shared" si="0"/>
        <v>27842</v>
      </c>
      <c r="M14" s="3183">
        <v>42.78</v>
      </c>
      <c r="N14" s="3183" t="s">
        <v>3087</v>
      </c>
      <c r="O14" s="3183" t="s">
        <v>3088</v>
      </c>
    </row>
    <row r="15" spans="1:15">
      <c r="A15" s="2893" t="s">
        <v>3089</v>
      </c>
      <c r="B15" s="2893" t="s">
        <v>3037</v>
      </c>
      <c r="C15" s="2893" t="s">
        <v>3045</v>
      </c>
      <c r="D15" s="2893">
        <v>45112</v>
      </c>
      <c r="E15" s="2893">
        <v>99246.399999999994</v>
      </c>
      <c r="F15" s="2893" t="s">
        <v>3090</v>
      </c>
      <c r="G15" s="2893" t="s">
        <v>3040</v>
      </c>
      <c r="H15" s="2893" t="s">
        <v>3091</v>
      </c>
      <c r="I15" s="2893">
        <v>89322</v>
      </c>
      <c r="J15" s="2893">
        <v>111322</v>
      </c>
      <c r="K15" s="2893">
        <v>11216.72</v>
      </c>
      <c r="L15" s="2893">
        <f t="shared" si="0"/>
        <v>24677</v>
      </c>
      <c r="M15" s="2893">
        <v>24.63</v>
      </c>
      <c r="N15" s="2893" t="s">
        <v>3092</v>
      </c>
      <c r="O15" s="2893" t="s">
        <v>3048</v>
      </c>
    </row>
    <row r="16" spans="1:15">
      <c r="A16" s="2893" t="s">
        <v>3093</v>
      </c>
      <c r="B16" s="2893" t="s">
        <v>3037</v>
      </c>
      <c r="C16" s="2893" t="s">
        <v>3045</v>
      </c>
      <c r="D16" s="2893">
        <v>103319.3</v>
      </c>
      <c r="E16" s="2893">
        <v>227302.5</v>
      </c>
      <c r="F16" s="2893" t="s">
        <v>3090</v>
      </c>
      <c r="G16" s="2893" t="s">
        <v>3040</v>
      </c>
      <c r="H16" s="2893" t="s">
        <v>3091</v>
      </c>
      <c r="I16" s="2893">
        <v>315155</v>
      </c>
      <c r="J16" s="2893">
        <v>406155</v>
      </c>
      <c r="K16" s="2893">
        <v>17868.47</v>
      </c>
      <c r="L16" s="2893">
        <f t="shared" si="0"/>
        <v>39311</v>
      </c>
      <c r="M16" s="2893">
        <v>28.87</v>
      </c>
      <c r="N16" s="2893" t="s">
        <v>3094</v>
      </c>
      <c r="O16" s="2893" t="s">
        <v>3043</v>
      </c>
    </row>
    <row r="17" spans="1:15" s="3183" customFormat="1">
      <c r="A17" s="3183" t="s">
        <v>3095</v>
      </c>
      <c r="B17" s="3183" t="s">
        <v>3037</v>
      </c>
      <c r="C17" s="3183" t="s">
        <v>3045</v>
      </c>
      <c r="D17" s="3183">
        <v>46613.7</v>
      </c>
      <c r="E17" s="3183">
        <v>102550.1</v>
      </c>
      <c r="F17" s="3183" t="s">
        <v>3090</v>
      </c>
      <c r="G17" s="3183" t="s">
        <v>3040</v>
      </c>
      <c r="H17" s="3183" t="s">
        <v>3091</v>
      </c>
      <c r="I17" s="3183">
        <v>123060</v>
      </c>
      <c r="J17" s="3183">
        <v>145560</v>
      </c>
      <c r="K17" s="3183">
        <v>14194.04</v>
      </c>
      <c r="L17" s="3183">
        <f t="shared" si="0"/>
        <v>31227</v>
      </c>
      <c r="M17" s="3183">
        <v>18.28</v>
      </c>
      <c r="N17" s="3183" t="s">
        <v>3096</v>
      </c>
      <c r="O17" s="3183" t="s">
        <v>3043</v>
      </c>
    </row>
    <row r="18" spans="1:15">
      <c r="A18" s="2893" t="s">
        <v>3097</v>
      </c>
      <c r="B18" s="2893" t="s">
        <v>3037</v>
      </c>
      <c r="C18" s="2893" t="s">
        <v>3045</v>
      </c>
      <c r="D18" s="2893">
        <v>45156.85</v>
      </c>
      <c r="E18" s="2893">
        <v>76766.649999999994</v>
      </c>
      <c r="F18" s="2893" t="s">
        <v>3098</v>
      </c>
      <c r="G18" s="2893" t="s">
        <v>3040</v>
      </c>
      <c r="H18" s="2893" t="s">
        <v>3099</v>
      </c>
      <c r="I18" s="2893">
        <v>61413</v>
      </c>
      <c r="J18" s="2893">
        <v>71913</v>
      </c>
      <c r="K18" s="2893">
        <v>9367.73</v>
      </c>
      <c r="L18" s="2893">
        <f t="shared" si="0"/>
        <v>15925</v>
      </c>
      <c r="M18" s="2893">
        <v>17.100000000000001</v>
      </c>
      <c r="N18" s="2893" t="s">
        <v>3092</v>
      </c>
      <c r="O18" s="2893" t="s">
        <v>3048</v>
      </c>
    </row>
    <row r="19" spans="1:15">
      <c r="A19" s="2893" t="s">
        <v>3100</v>
      </c>
      <c r="B19" s="2893" t="s">
        <v>3037</v>
      </c>
      <c r="C19" s="2893" t="s">
        <v>3038</v>
      </c>
      <c r="D19" s="2893">
        <v>90890.8</v>
      </c>
      <c r="E19" s="2893">
        <v>133623.6</v>
      </c>
      <c r="F19" s="2893" t="s">
        <v>3101</v>
      </c>
      <c r="G19" s="2893" t="s">
        <v>3040</v>
      </c>
      <c r="H19" s="2893" t="s">
        <v>3099</v>
      </c>
      <c r="I19" s="2893">
        <v>99189</v>
      </c>
      <c r="J19" s="2893">
        <v>119689</v>
      </c>
      <c r="K19" s="2893">
        <v>8957.18</v>
      </c>
      <c r="L19" s="2893">
        <f t="shared" si="0"/>
        <v>13168</v>
      </c>
      <c r="M19" s="2893">
        <v>20.67</v>
      </c>
      <c r="N19" s="2893" t="s">
        <v>3102</v>
      </c>
      <c r="O19" s="2893" t="s">
        <v>3060</v>
      </c>
    </row>
    <row r="20" spans="1:15">
      <c r="A20" s="2893" t="s">
        <v>3103</v>
      </c>
      <c r="B20" s="2893" t="s">
        <v>3037</v>
      </c>
      <c r="C20" s="2893" t="s">
        <v>3045</v>
      </c>
      <c r="D20" s="2893">
        <v>62126.45</v>
      </c>
      <c r="E20" s="2893">
        <v>155316.1</v>
      </c>
      <c r="F20" s="2893" t="s">
        <v>3104</v>
      </c>
      <c r="G20" s="2893" t="s">
        <v>3040</v>
      </c>
      <c r="H20" s="2893" t="s">
        <v>3099</v>
      </c>
      <c r="I20" s="2893">
        <v>209677</v>
      </c>
      <c r="J20" s="2893">
        <v>260077</v>
      </c>
      <c r="K20" s="2893">
        <v>16745</v>
      </c>
      <c r="L20" s="2893">
        <f t="shared" si="0"/>
        <v>41863</v>
      </c>
      <c r="M20" s="2893">
        <v>24.04</v>
      </c>
      <c r="N20" s="2893" t="s">
        <v>3105</v>
      </c>
      <c r="O20" s="2893" t="s">
        <v>3088</v>
      </c>
    </row>
    <row r="21" spans="1:15">
      <c r="A21" s="2893" t="s">
        <v>3106</v>
      </c>
      <c r="B21" s="2893" t="s">
        <v>3037</v>
      </c>
      <c r="C21" s="2893" t="s">
        <v>3038</v>
      </c>
      <c r="D21" s="2893">
        <v>85284.4</v>
      </c>
      <c r="E21" s="2893">
        <v>340572.5</v>
      </c>
      <c r="F21" s="2893" t="s">
        <v>3107</v>
      </c>
      <c r="G21" s="2893" t="s">
        <v>3040</v>
      </c>
      <c r="H21" s="2893" t="s">
        <v>3108</v>
      </c>
      <c r="I21" s="2893">
        <v>274740</v>
      </c>
      <c r="J21" s="2893">
        <v>274740</v>
      </c>
      <c r="K21" s="2893">
        <v>8067</v>
      </c>
      <c r="L21" s="2893">
        <f t="shared" si="0"/>
        <v>32215</v>
      </c>
      <c r="M21" s="2893">
        <v>0</v>
      </c>
      <c r="N21" s="2893" t="s">
        <v>3109</v>
      </c>
      <c r="O21" s="2893" t="s">
        <v>3043</v>
      </c>
    </row>
    <row r="22" spans="1:15">
      <c r="A22" s="2893" t="s">
        <v>3110</v>
      </c>
      <c r="B22" s="2893" t="s">
        <v>3037</v>
      </c>
      <c r="C22" s="2893" t="s">
        <v>3045</v>
      </c>
      <c r="D22" s="2893">
        <v>44983.1</v>
      </c>
      <c r="E22" s="2893">
        <v>98962.82</v>
      </c>
      <c r="F22" s="2893" t="s">
        <v>3111</v>
      </c>
      <c r="G22" s="2893" t="s">
        <v>3040</v>
      </c>
      <c r="H22" s="2893" t="s">
        <v>3112</v>
      </c>
      <c r="I22" s="2893">
        <v>96984</v>
      </c>
      <c r="J22" s="2893">
        <v>114444</v>
      </c>
      <c r="K22" s="2893">
        <v>11564.34</v>
      </c>
      <c r="L22" s="2893">
        <f t="shared" si="0"/>
        <v>25442</v>
      </c>
      <c r="M22" s="2893">
        <v>18</v>
      </c>
      <c r="N22" s="2893" t="s">
        <v>3113</v>
      </c>
      <c r="O22" s="2893" t="s">
        <v>3043</v>
      </c>
    </row>
    <row r="23" spans="1:15">
      <c r="A23" s="2893" t="s">
        <v>3114</v>
      </c>
      <c r="B23" s="2893" t="s">
        <v>3037</v>
      </c>
      <c r="C23" s="2893" t="s">
        <v>3045</v>
      </c>
      <c r="D23" s="2893">
        <v>50773</v>
      </c>
      <c r="E23" s="2893">
        <v>91391.4</v>
      </c>
      <c r="F23" s="2893" t="s">
        <v>3115</v>
      </c>
      <c r="G23" s="2893" t="s">
        <v>3040</v>
      </c>
      <c r="H23" s="2893" t="s">
        <v>3116</v>
      </c>
      <c r="I23" s="2893">
        <v>63974</v>
      </c>
      <c r="J23" s="2893">
        <v>81974</v>
      </c>
      <c r="K23" s="2893">
        <v>8969.5400000000009</v>
      </c>
      <c r="L23" s="2893">
        <f t="shared" si="0"/>
        <v>16145</v>
      </c>
      <c r="M23" s="2893">
        <v>28.14</v>
      </c>
      <c r="N23" s="2893" t="s">
        <v>3117</v>
      </c>
      <c r="O23" s="2893" t="s">
        <v>3048</v>
      </c>
    </row>
    <row r="24" spans="1:15">
      <c r="A24" s="2893" t="s">
        <v>3118</v>
      </c>
      <c r="B24" s="2893" t="s">
        <v>3037</v>
      </c>
      <c r="C24" s="2893" t="s">
        <v>3045</v>
      </c>
      <c r="D24" s="2893">
        <v>120830.1</v>
      </c>
      <c r="E24" s="2893">
        <v>217494.2</v>
      </c>
      <c r="F24" s="2893" t="s">
        <v>3115</v>
      </c>
      <c r="G24" s="2893" t="s">
        <v>3040</v>
      </c>
      <c r="H24" s="2893" t="s">
        <v>3119</v>
      </c>
      <c r="I24" s="2893">
        <v>173995</v>
      </c>
      <c r="J24" s="2893">
        <v>241663</v>
      </c>
      <c r="K24" s="2893">
        <v>11111.23</v>
      </c>
      <c r="L24" s="2893">
        <f t="shared" si="0"/>
        <v>20000</v>
      </c>
      <c r="M24" s="2893">
        <v>38.89</v>
      </c>
      <c r="N24" s="2893" t="s">
        <v>3120</v>
      </c>
      <c r="O24" s="2893" t="s">
        <v>3060</v>
      </c>
    </row>
    <row r="25" spans="1:15">
      <c r="A25" s="2893" t="s">
        <v>3121</v>
      </c>
      <c r="B25" s="2893" t="s">
        <v>3037</v>
      </c>
      <c r="C25" s="2893" t="s">
        <v>3045</v>
      </c>
      <c r="D25" s="2893">
        <v>82203.5</v>
      </c>
      <c r="E25" s="2893">
        <v>147966.29999999999</v>
      </c>
      <c r="F25" s="2893" t="s">
        <v>3115</v>
      </c>
      <c r="G25" s="2893" t="s">
        <v>3040</v>
      </c>
      <c r="H25" s="2893" t="s">
        <v>3119</v>
      </c>
      <c r="I25" s="2893">
        <v>118373</v>
      </c>
      <c r="J25" s="2893">
        <v>165466</v>
      </c>
      <c r="K25" s="2893">
        <v>11182.68</v>
      </c>
      <c r="L25" s="2893">
        <f t="shared" si="0"/>
        <v>20129</v>
      </c>
      <c r="M25" s="2893">
        <v>39.78</v>
      </c>
      <c r="N25" s="2893" t="s">
        <v>3122</v>
      </c>
      <c r="O25" s="2893" t="s">
        <v>3048</v>
      </c>
    </row>
    <row r="26" spans="1:15">
      <c r="A26" s="2893" t="s">
        <v>3123</v>
      </c>
      <c r="B26" s="2893" t="s">
        <v>3037</v>
      </c>
      <c r="C26" s="2893" t="s">
        <v>3038</v>
      </c>
      <c r="D26" s="2893">
        <v>59573.4</v>
      </c>
      <c r="E26" s="2893">
        <v>268080.3</v>
      </c>
      <c r="F26" s="2893" t="s">
        <v>3124</v>
      </c>
      <c r="G26" s="2893" t="s">
        <v>3040</v>
      </c>
      <c r="H26" s="2893" t="s">
        <v>3119</v>
      </c>
      <c r="I26" s="2893">
        <v>219514</v>
      </c>
      <c r="J26" s="2893">
        <v>272014</v>
      </c>
      <c r="K26" s="2893">
        <v>10146.73</v>
      </c>
      <c r="L26" s="2893">
        <f t="shared" si="0"/>
        <v>45660</v>
      </c>
      <c r="M26" s="2893">
        <v>23.92</v>
      </c>
      <c r="N26" s="2893" t="s">
        <v>3125</v>
      </c>
      <c r="O26" s="2893" t="s">
        <v>3088</v>
      </c>
    </row>
    <row r="27" spans="1:15">
      <c r="A27" s="2893" t="s">
        <v>3126</v>
      </c>
      <c r="B27" s="2893" t="s">
        <v>3037</v>
      </c>
      <c r="C27" s="2893" t="s">
        <v>3045</v>
      </c>
      <c r="D27" s="2893">
        <v>33715</v>
      </c>
      <c r="E27" s="2893">
        <v>74173</v>
      </c>
      <c r="F27" s="2893" t="s">
        <v>3127</v>
      </c>
      <c r="G27" s="2893" t="s">
        <v>3040</v>
      </c>
      <c r="H27" s="2893" t="s">
        <v>3119</v>
      </c>
      <c r="I27" s="2893">
        <v>118677</v>
      </c>
      <c r="J27" s="2893">
        <v>120677</v>
      </c>
      <c r="K27" s="2893">
        <v>16269.67</v>
      </c>
      <c r="L27" s="2893">
        <f t="shared" si="0"/>
        <v>35793</v>
      </c>
      <c r="M27" s="2893">
        <v>1.69</v>
      </c>
      <c r="N27" s="2893" t="s">
        <v>3128</v>
      </c>
      <c r="O27" s="2893" t="s">
        <v>3048</v>
      </c>
    </row>
    <row r="28" spans="1:15">
      <c r="A28" s="2893" t="s">
        <v>3129</v>
      </c>
      <c r="B28" s="2893" t="s">
        <v>3037</v>
      </c>
      <c r="C28" s="2893" t="s">
        <v>3038</v>
      </c>
      <c r="D28" s="2893">
        <v>149064.20000000001</v>
      </c>
      <c r="E28" s="2893">
        <v>470814</v>
      </c>
      <c r="F28" s="2893" t="s">
        <v>3130</v>
      </c>
      <c r="G28" s="2893" t="s">
        <v>3040</v>
      </c>
      <c r="H28" s="2893" t="s">
        <v>3131</v>
      </c>
      <c r="I28" s="2893">
        <v>369078</v>
      </c>
      <c r="J28" s="2893">
        <v>369078</v>
      </c>
      <c r="K28" s="2893">
        <v>7839.14</v>
      </c>
      <c r="L28" s="2893">
        <f t="shared" si="0"/>
        <v>24760</v>
      </c>
      <c r="M28" s="2893">
        <v>0</v>
      </c>
      <c r="N28" s="2893" t="s">
        <v>3132</v>
      </c>
      <c r="O28" s="2893" t="s">
        <v>3043</v>
      </c>
    </row>
    <row r="29" spans="1:15">
      <c r="A29" s="2893" t="s">
        <v>3133</v>
      </c>
      <c r="B29" s="2893" t="s">
        <v>3037</v>
      </c>
      <c r="C29" s="2893" t="s">
        <v>3045</v>
      </c>
      <c r="D29" s="2893">
        <v>60032.800000000003</v>
      </c>
      <c r="E29" s="2893">
        <v>132072.16</v>
      </c>
      <c r="F29" s="2893" t="s">
        <v>3127</v>
      </c>
      <c r="G29" s="2893" t="s">
        <v>3040</v>
      </c>
      <c r="H29" s="2893" t="s">
        <v>3131</v>
      </c>
      <c r="I29" s="2893">
        <v>125469</v>
      </c>
      <c r="J29" s="2893">
        <v>152769</v>
      </c>
      <c r="K29" s="2893">
        <v>11567.09</v>
      </c>
      <c r="L29" s="2893">
        <f t="shared" si="0"/>
        <v>25448</v>
      </c>
      <c r="M29" s="2893">
        <v>21.76</v>
      </c>
      <c r="N29" s="2893" t="s">
        <v>3134</v>
      </c>
      <c r="O29" s="2893" t="s">
        <v>3048</v>
      </c>
    </row>
    <row r="30" spans="1:15" s="3184" customFormat="1">
      <c r="A30" s="3184" t="s">
        <v>3135</v>
      </c>
      <c r="B30" s="3184" t="s">
        <v>3037</v>
      </c>
      <c r="C30" s="3184" t="s">
        <v>3045</v>
      </c>
      <c r="D30" s="3184">
        <v>16875.3</v>
      </c>
      <c r="E30" s="3184">
        <v>30375.54</v>
      </c>
      <c r="F30" s="3184" t="s">
        <v>3115</v>
      </c>
      <c r="G30" s="3184" t="s">
        <v>3040</v>
      </c>
      <c r="H30" s="3184" t="s">
        <v>3136</v>
      </c>
      <c r="I30" s="3184">
        <v>57714</v>
      </c>
      <c r="J30" s="3184">
        <v>81713</v>
      </c>
      <c r="K30" s="3184">
        <v>26900.91</v>
      </c>
      <c r="L30" s="3184">
        <f t="shared" si="0"/>
        <v>48422</v>
      </c>
      <c r="M30" s="3184">
        <v>41.58</v>
      </c>
      <c r="N30" s="3184" t="s">
        <v>3137</v>
      </c>
      <c r="O30" s="3184" t="s">
        <v>3088</v>
      </c>
    </row>
    <row r="31" spans="1:15">
      <c r="A31" s="2893" t="s">
        <v>3138</v>
      </c>
      <c r="B31" s="2893" t="s">
        <v>3037</v>
      </c>
      <c r="C31" s="2893" t="s">
        <v>3038</v>
      </c>
      <c r="D31" s="2893">
        <v>173252.9</v>
      </c>
      <c r="E31" s="2893">
        <v>346505.8</v>
      </c>
      <c r="F31" s="2893" t="s">
        <v>3139</v>
      </c>
      <c r="G31" s="2893" t="s">
        <v>3040</v>
      </c>
      <c r="H31" s="2893" t="s">
        <v>3136</v>
      </c>
      <c r="I31" s="2893">
        <v>275472</v>
      </c>
      <c r="J31" s="2893">
        <v>331472</v>
      </c>
      <c r="K31" s="2893">
        <v>9566.1200000000008</v>
      </c>
      <c r="L31" s="2893">
        <f t="shared" si="0"/>
        <v>19132</v>
      </c>
      <c r="M31" s="2893">
        <v>20.329999999999998</v>
      </c>
      <c r="N31" s="2893" t="s">
        <v>3140</v>
      </c>
      <c r="O31" s="2893" t="s">
        <v>3060</v>
      </c>
    </row>
    <row r="32" spans="1:15">
      <c r="A32" s="2893" t="s">
        <v>3141</v>
      </c>
      <c r="B32" s="2893" t="s">
        <v>3037</v>
      </c>
      <c r="C32" s="2893" t="s">
        <v>3045</v>
      </c>
      <c r="D32" s="2893">
        <v>28575.8</v>
      </c>
      <c r="E32" s="2893">
        <v>42863.7</v>
      </c>
      <c r="F32" s="2893" t="s">
        <v>3142</v>
      </c>
      <c r="G32" s="2893" t="s">
        <v>3040</v>
      </c>
      <c r="H32" s="2893" t="s">
        <v>3143</v>
      </c>
      <c r="I32" s="2893">
        <v>35148</v>
      </c>
      <c r="J32" s="2893">
        <v>54570</v>
      </c>
      <c r="K32" s="2893">
        <v>12731.04</v>
      </c>
      <c r="L32" s="2893">
        <f t="shared" si="0"/>
        <v>19097</v>
      </c>
      <c r="M32" s="2893">
        <v>55.26</v>
      </c>
      <c r="N32" s="2893" t="s">
        <v>3144</v>
      </c>
      <c r="O32" s="2893" t="s">
        <v>3048</v>
      </c>
    </row>
    <row r="33" spans="1:15" s="3184" customFormat="1">
      <c r="A33" s="3184" t="s">
        <v>3145</v>
      </c>
      <c r="B33" s="3184" t="s">
        <v>3037</v>
      </c>
      <c r="C33" s="3184" t="s">
        <v>3045</v>
      </c>
      <c r="D33" s="3184">
        <v>40816.9</v>
      </c>
      <c r="E33" s="3184">
        <v>89797.18</v>
      </c>
      <c r="F33" s="3184" t="s">
        <v>3146</v>
      </c>
      <c r="G33" s="3184" t="s">
        <v>3040</v>
      </c>
      <c r="H33" s="3184" t="s">
        <v>3143</v>
      </c>
      <c r="I33" s="3184">
        <v>144124</v>
      </c>
      <c r="J33" s="3184">
        <v>219660</v>
      </c>
      <c r="K33" s="3184">
        <v>24461.79</v>
      </c>
      <c r="L33" s="3184">
        <f t="shared" si="0"/>
        <v>53816</v>
      </c>
      <c r="M33" s="3184">
        <v>52.41</v>
      </c>
      <c r="N33" s="3184" t="s">
        <v>3147</v>
      </c>
      <c r="O33" s="3184" t="s">
        <v>3088</v>
      </c>
    </row>
    <row r="34" spans="1:15">
      <c r="A34" s="2893" t="s">
        <v>3148</v>
      </c>
      <c r="B34" s="2893" t="s">
        <v>3037</v>
      </c>
      <c r="C34" s="2893" t="s">
        <v>3038</v>
      </c>
      <c r="D34" s="2893">
        <v>62582.400000000001</v>
      </c>
      <c r="E34" s="2893">
        <v>167104.6</v>
      </c>
      <c r="F34" s="2893" t="s">
        <v>3149</v>
      </c>
      <c r="G34" s="2893" t="s">
        <v>3040</v>
      </c>
      <c r="H34" s="2893" t="s">
        <v>3150</v>
      </c>
      <c r="I34" s="2893">
        <v>166206</v>
      </c>
      <c r="J34" s="2893">
        <v>242666</v>
      </c>
      <c r="K34" s="2893">
        <v>14521.79</v>
      </c>
      <c r="L34" s="2893">
        <f t="shared" si="0"/>
        <v>38775</v>
      </c>
      <c r="M34" s="2893">
        <v>46</v>
      </c>
      <c r="N34" s="2893" t="s">
        <v>3151</v>
      </c>
      <c r="O34" s="2893" t="s">
        <v>3043</v>
      </c>
    </row>
    <row r="35" spans="1:15">
      <c r="A35" s="2893" t="s">
        <v>3152</v>
      </c>
      <c r="B35" s="2893" t="s">
        <v>3037</v>
      </c>
      <c r="C35" s="2893" t="s">
        <v>3038</v>
      </c>
      <c r="D35" s="2893">
        <v>88806.1</v>
      </c>
      <c r="E35" s="2893">
        <v>133209.20000000001</v>
      </c>
      <c r="F35" s="2893" t="s">
        <v>3085</v>
      </c>
      <c r="G35" s="2893" t="s">
        <v>3040</v>
      </c>
      <c r="H35" s="2893" t="s">
        <v>3150</v>
      </c>
      <c r="I35" s="2893">
        <v>69802</v>
      </c>
      <c r="J35" s="2893">
        <v>87802</v>
      </c>
      <c r="K35" s="2893">
        <v>6591.28</v>
      </c>
      <c r="L35" s="2893">
        <f t="shared" si="0"/>
        <v>9887</v>
      </c>
      <c r="M35" s="2893">
        <v>25.79</v>
      </c>
      <c r="N35" s="2893" t="s">
        <v>3153</v>
      </c>
      <c r="O35" s="2893" t="s">
        <v>3048</v>
      </c>
    </row>
    <row r="36" spans="1:15">
      <c r="A36" s="2893" t="s">
        <v>3154</v>
      </c>
      <c r="B36" s="2893" t="s">
        <v>3037</v>
      </c>
      <c r="C36" s="2893" t="s">
        <v>3045</v>
      </c>
      <c r="D36" s="2893">
        <v>35441</v>
      </c>
      <c r="E36" s="2893">
        <v>70882</v>
      </c>
      <c r="F36" s="2893" t="s">
        <v>3155</v>
      </c>
      <c r="G36" s="2893" t="s">
        <v>3040</v>
      </c>
      <c r="H36" s="2893" t="s">
        <v>3150</v>
      </c>
      <c r="I36" s="2893">
        <v>38631</v>
      </c>
      <c r="J36" s="2893">
        <v>55206</v>
      </c>
      <c r="K36" s="2893">
        <v>7788.43</v>
      </c>
      <c r="L36" s="2893">
        <f t="shared" si="0"/>
        <v>15577</v>
      </c>
      <c r="M36" s="2893">
        <v>42.91</v>
      </c>
      <c r="N36" s="2893" t="s">
        <v>3156</v>
      </c>
      <c r="O36" s="2893" t="s">
        <v>3060</v>
      </c>
    </row>
    <row r="37" spans="1:15">
      <c r="A37" s="2893" t="s">
        <v>3157</v>
      </c>
      <c r="B37" s="2893" t="s">
        <v>3037</v>
      </c>
      <c r="C37" s="2893" t="s">
        <v>3045</v>
      </c>
      <c r="D37" s="2893">
        <v>48511.8</v>
      </c>
      <c r="E37" s="2893">
        <v>121279.5</v>
      </c>
      <c r="F37" s="2893" t="s">
        <v>3158</v>
      </c>
      <c r="G37" s="2893" t="s">
        <v>3040</v>
      </c>
      <c r="H37" s="2893" t="s">
        <v>3150</v>
      </c>
      <c r="I37" s="2893">
        <v>97024</v>
      </c>
      <c r="J37" s="2893">
        <v>144232</v>
      </c>
      <c r="K37" s="2893">
        <v>11892.53</v>
      </c>
      <c r="L37" s="2893">
        <f t="shared" si="0"/>
        <v>29731</v>
      </c>
      <c r="M37" s="2893">
        <v>48.66</v>
      </c>
      <c r="N37" s="2893" t="s">
        <v>3159</v>
      </c>
      <c r="O37" s="2893" t="s">
        <v>3043</v>
      </c>
    </row>
    <row r="38" spans="1:15">
      <c r="A38" s="2893" t="s">
        <v>3160</v>
      </c>
      <c r="B38" s="2893" t="s">
        <v>3037</v>
      </c>
      <c r="C38" s="2893" t="s">
        <v>3038</v>
      </c>
      <c r="D38" s="2893">
        <v>98056.7</v>
      </c>
      <c r="E38" s="2893">
        <v>147085</v>
      </c>
      <c r="F38" s="2893" t="s">
        <v>3161</v>
      </c>
      <c r="G38" s="2893" t="s">
        <v>3040</v>
      </c>
      <c r="H38" s="2893" t="s">
        <v>3162</v>
      </c>
      <c r="I38" s="2893">
        <v>116197</v>
      </c>
      <c r="J38" s="2893">
        <v>134197</v>
      </c>
      <c r="K38" s="2893">
        <v>9123.77</v>
      </c>
      <c r="L38" s="2893">
        <f t="shared" si="0"/>
        <v>13686</v>
      </c>
      <c r="M38" s="2893">
        <v>15.49</v>
      </c>
      <c r="N38" s="2893" t="s">
        <v>3163</v>
      </c>
      <c r="O38" s="2893" t="s">
        <v>3060</v>
      </c>
    </row>
    <row r="39" spans="1:15">
      <c r="A39" s="2893" t="s">
        <v>3164</v>
      </c>
      <c r="B39" s="2893" t="s">
        <v>3037</v>
      </c>
      <c r="C39" s="2893" t="s">
        <v>3038</v>
      </c>
      <c r="D39" s="2893">
        <v>33136.5</v>
      </c>
      <c r="E39" s="2893">
        <v>59645.7</v>
      </c>
      <c r="F39" s="2893" t="s">
        <v>3165</v>
      </c>
      <c r="G39" s="2893" t="s">
        <v>3040</v>
      </c>
      <c r="H39" s="2893" t="s">
        <v>3166</v>
      </c>
      <c r="I39" s="2893">
        <v>42083</v>
      </c>
      <c r="J39" s="2893">
        <v>78083</v>
      </c>
      <c r="K39" s="2893">
        <v>13091.13</v>
      </c>
      <c r="L39" s="2893">
        <f t="shared" si="0"/>
        <v>23564</v>
      </c>
      <c r="M39" s="2893">
        <v>85.55</v>
      </c>
      <c r="N39" s="2893" t="s">
        <v>3167</v>
      </c>
      <c r="O39" s="2893" t="s">
        <v>3060</v>
      </c>
    </row>
    <row r="40" spans="1:15">
      <c r="A40" s="2893" t="s">
        <v>3168</v>
      </c>
      <c r="B40" s="2893" t="s">
        <v>3037</v>
      </c>
      <c r="C40" s="2893" t="s">
        <v>3038</v>
      </c>
      <c r="D40" s="2893">
        <v>38838.6</v>
      </c>
      <c r="E40" s="2893">
        <v>62141.760000000002</v>
      </c>
      <c r="F40" s="2893" t="s">
        <v>3169</v>
      </c>
      <c r="G40" s="2893" t="s">
        <v>3040</v>
      </c>
      <c r="H40" s="2893" t="s">
        <v>3166</v>
      </c>
      <c r="I40" s="2893">
        <v>44664</v>
      </c>
      <c r="J40" s="2893">
        <v>86664</v>
      </c>
      <c r="K40" s="2893">
        <v>13946.18</v>
      </c>
      <c r="L40" s="2893">
        <f t="shared" si="0"/>
        <v>22314</v>
      </c>
      <c r="M40" s="2893">
        <v>94.04</v>
      </c>
      <c r="N40" s="2893" t="s">
        <v>3167</v>
      </c>
      <c r="O40" s="2893" t="s">
        <v>3060</v>
      </c>
    </row>
    <row r="41" spans="1:15">
      <c r="A41" s="2893" t="s">
        <v>3170</v>
      </c>
      <c r="B41" s="2893" t="s">
        <v>3037</v>
      </c>
      <c r="C41" s="2893" t="s">
        <v>3045</v>
      </c>
      <c r="D41" s="2893">
        <v>32044.3</v>
      </c>
      <c r="E41" s="2893">
        <v>64088.6</v>
      </c>
      <c r="F41" s="2893" t="s">
        <v>3155</v>
      </c>
      <c r="G41" s="2893" t="s">
        <v>3040</v>
      </c>
      <c r="H41" s="2893" t="s">
        <v>3166</v>
      </c>
      <c r="I41" s="2893">
        <v>25635</v>
      </c>
      <c r="J41" s="2893">
        <v>52135</v>
      </c>
      <c r="K41" s="2893">
        <v>8134.82</v>
      </c>
      <c r="L41" s="2893">
        <f t="shared" si="0"/>
        <v>16270</v>
      </c>
      <c r="M41" s="2893">
        <v>103.37</v>
      </c>
      <c r="N41" s="2893" t="s">
        <v>3156</v>
      </c>
      <c r="O41" s="2893" t="s">
        <v>3060</v>
      </c>
    </row>
    <row r="42" spans="1:15">
      <c r="A42" s="2893" t="s">
        <v>3171</v>
      </c>
      <c r="B42" s="2893" t="s">
        <v>3037</v>
      </c>
      <c r="C42" s="2893" t="s">
        <v>3045</v>
      </c>
      <c r="D42" s="2893">
        <v>49189.2</v>
      </c>
      <c r="E42" s="2893">
        <v>72258.710000000006</v>
      </c>
      <c r="F42" s="2893" t="s">
        <v>3172</v>
      </c>
      <c r="G42" s="2893" t="s">
        <v>3040</v>
      </c>
      <c r="H42" s="2893" t="s">
        <v>3166</v>
      </c>
      <c r="I42" s="2893">
        <v>83725</v>
      </c>
      <c r="J42" s="2893">
        <v>186066</v>
      </c>
      <c r="K42" s="2893">
        <v>25749.97</v>
      </c>
      <c r="L42" s="2893">
        <f t="shared" si="0"/>
        <v>37827</v>
      </c>
      <c r="M42" s="2893">
        <v>122.23</v>
      </c>
      <c r="N42" s="2893" t="s">
        <v>3173</v>
      </c>
      <c r="O42" s="2893" t="s">
        <v>3043</v>
      </c>
    </row>
    <row r="43" spans="1:15">
      <c r="A43" s="2893" t="s">
        <v>3174</v>
      </c>
      <c r="B43" s="2893" t="s">
        <v>3037</v>
      </c>
      <c r="C43" s="2893" t="s">
        <v>3045</v>
      </c>
      <c r="D43" s="2893">
        <v>61584.4</v>
      </c>
      <c r="E43" s="2893">
        <v>123168.8</v>
      </c>
      <c r="F43" s="2893" t="s">
        <v>3155</v>
      </c>
      <c r="G43" s="2893" t="s">
        <v>3040</v>
      </c>
      <c r="H43" s="2893" t="s">
        <v>3166</v>
      </c>
      <c r="I43" s="2893">
        <v>184753</v>
      </c>
      <c r="J43" s="2893">
        <v>356753</v>
      </c>
      <c r="K43" s="2893">
        <v>28964.560000000001</v>
      </c>
      <c r="L43" s="2893">
        <f t="shared" si="0"/>
        <v>57929</v>
      </c>
      <c r="M43" s="2893">
        <v>93.1</v>
      </c>
      <c r="N43" s="2893" t="s">
        <v>3173</v>
      </c>
      <c r="O43" s="2893" t="s">
        <v>3043</v>
      </c>
    </row>
    <row r="44" spans="1:15">
      <c r="A44" s="2893" t="s">
        <v>3175</v>
      </c>
      <c r="B44" s="2893" t="s">
        <v>3037</v>
      </c>
      <c r="C44" s="2893" t="s">
        <v>3045</v>
      </c>
      <c r="D44" s="2893">
        <v>27655.200000000001</v>
      </c>
      <c r="E44" s="2893">
        <v>41482.800000000003</v>
      </c>
      <c r="F44" s="2893" t="s">
        <v>3085</v>
      </c>
      <c r="G44" s="2893" t="s">
        <v>3040</v>
      </c>
      <c r="H44" s="2893" t="s">
        <v>3166</v>
      </c>
      <c r="I44" s="2893">
        <v>45631</v>
      </c>
      <c r="J44" s="2893">
        <v>54631</v>
      </c>
      <c r="K44" s="2893">
        <v>13169.54</v>
      </c>
      <c r="L44" s="2893">
        <f t="shared" si="0"/>
        <v>19754</v>
      </c>
      <c r="M44" s="2893">
        <v>19.72</v>
      </c>
      <c r="N44" s="2893" t="s">
        <v>3176</v>
      </c>
      <c r="O44" s="2893" t="s">
        <v>3043</v>
      </c>
    </row>
    <row r="45" spans="1:15">
      <c r="A45" s="2893" t="s">
        <v>3177</v>
      </c>
      <c r="B45" s="2893" t="s">
        <v>3037</v>
      </c>
      <c r="C45" s="2893" t="s">
        <v>3045</v>
      </c>
      <c r="D45" s="2893">
        <v>6567.4</v>
      </c>
      <c r="E45" s="2893">
        <v>7880.9</v>
      </c>
      <c r="F45" s="2893" t="s">
        <v>3178</v>
      </c>
      <c r="G45" s="2893" t="s">
        <v>3040</v>
      </c>
      <c r="H45" s="2893" t="s">
        <v>3179</v>
      </c>
      <c r="I45" s="2893">
        <v>5714</v>
      </c>
      <c r="J45" s="2893">
        <v>8314</v>
      </c>
      <c r="K45" s="2893">
        <v>10549.55</v>
      </c>
      <c r="L45" s="2893">
        <f t="shared" si="0"/>
        <v>12659</v>
      </c>
      <c r="M45" s="2893">
        <v>45.5</v>
      </c>
      <c r="N45" s="2893" t="s">
        <v>3180</v>
      </c>
      <c r="O45" s="2893" t="s">
        <v>3043</v>
      </c>
    </row>
    <row r="46" spans="1:15">
      <c r="A46" s="2893" t="s">
        <v>3181</v>
      </c>
      <c r="B46" s="2893" t="s">
        <v>3037</v>
      </c>
      <c r="C46" s="2893" t="s">
        <v>3038</v>
      </c>
      <c r="D46" s="2893">
        <v>63219.9</v>
      </c>
      <c r="E46" s="2893">
        <v>185093</v>
      </c>
      <c r="F46" s="2893" t="s">
        <v>3182</v>
      </c>
      <c r="G46" s="2893" t="s">
        <v>3040</v>
      </c>
      <c r="H46" s="2893" t="s">
        <v>3179</v>
      </c>
      <c r="I46" s="2893">
        <v>141894</v>
      </c>
      <c r="J46" s="2893">
        <v>309894</v>
      </c>
      <c r="K46" s="2893">
        <v>16742.61</v>
      </c>
      <c r="L46" s="2893">
        <f t="shared" si="0"/>
        <v>49018</v>
      </c>
      <c r="M46" s="2893">
        <v>118.4</v>
      </c>
      <c r="N46" s="2893" t="s">
        <v>3183</v>
      </c>
      <c r="O46" s="2893" t="s">
        <v>3043</v>
      </c>
    </row>
    <row r="47" spans="1:15">
      <c r="A47" s="2893" t="s">
        <v>3184</v>
      </c>
      <c r="B47" s="2893" t="s">
        <v>3037</v>
      </c>
      <c r="C47" s="2893" t="s">
        <v>3038</v>
      </c>
      <c r="D47" s="2893">
        <v>100485.6</v>
      </c>
      <c r="E47" s="2893">
        <v>211851.1</v>
      </c>
      <c r="F47" s="2893" t="s">
        <v>3185</v>
      </c>
      <c r="G47" s="2893" t="s">
        <v>3040</v>
      </c>
      <c r="H47" s="2893" t="s">
        <v>3186</v>
      </c>
      <c r="I47" s="2893">
        <v>157105</v>
      </c>
      <c r="J47" s="2893">
        <v>387105</v>
      </c>
      <c r="K47" s="2893">
        <v>18272.5</v>
      </c>
      <c r="L47" s="2893">
        <f t="shared" si="0"/>
        <v>38523</v>
      </c>
      <c r="M47" s="2893">
        <v>146.4</v>
      </c>
      <c r="N47" s="2893" t="s">
        <v>3187</v>
      </c>
      <c r="O47" s="2893" t="s">
        <v>3088</v>
      </c>
    </row>
    <row r="48" spans="1:15">
      <c r="A48" s="2893" t="s">
        <v>3188</v>
      </c>
      <c r="B48" s="2893" t="s">
        <v>3037</v>
      </c>
      <c r="C48" s="2893" t="s">
        <v>3045</v>
      </c>
      <c r="D48" s="2893">
        <v>74195.899999999994</v>
      </c>
      <c r="E48" s="2893">
        <v>163231</v>
      </c>
      <c r="F48" s="2893" t="s">
        <v>3189</v>
      </c>
      <c r="G48" s="2893" t="s">
        <v>3040</v>
      </c>
      <c r="H48" s="2893" t="s">
        <v>3186</v>
      </c>
      <c r="I48" s="2893">
        <v>115894</v>
      </c>
      <c r="J48" s="2893">
        <v>403894</v>
      </c>
      <c r="K48" s="2893">
        <v>24743.7</v>
      </c>
      <c r="L48" s="2893">
        <f t="shared" si="0"/>
        <v>54436</v>
      </c>
      <c r="M48" s="2893">
        <v>248.5</v>
      </c>
      <c r="N48" s="2893" t="s">
        <v>2995</v>
      </c>
      <c r="O48" s="2893" t="s">
        <v>3088</v>
      </c>
    </row>
    <row r="49" spans="1:15">
      <c r="A49" s="2893" t="s">
        <v>3190</v>
      </c>
      <c r="B49" s="2893" t="s">
        <v>3037</v>
      </c>
      <c r="C49" s="2893" t="s">
        <v>3045</v>
      </c>
      <c r="D49" s="2893">
        <v>60960.5</v>
      </c>
      <c r="E49" s="2893">
        <v>109728.9</v>
      </c>
      <c r="F49" s="2893" t="s">
        <v>3191</v>
      </c>
      <c r="G49" s="2893" t="s">
        <v>3040</v>
      </c>
      <c r="H49" s="2893" t="s">
        <v>3186</v>
      </c>
      <c r="I49" s="2893">
        <v>45720</v>
      </c>
      <c r="J49" s="2893">
        <v>155720</v>
      </c>
      <c r="K49" s="2893">
        <v>14191.34</v>
      </c>
      <c r="L49" s="2893">
        <f t="shared" si="0"/>
        <v>25544</v>
      </c>
      <c r="M49" s="2893">
        <v>240.59</v>
      </c>
      <c r="N49" s="2893" t="s">
        <v>3192</v>
      </c>
      <c r="O49" s="2893" t="s">
        <v>3048</v>
      </c>
    </row>
    <row r="50" spans="1:15">
      <c r="A50" s="2893" t="s">
        <v>3193</v>
      </c>
      <c r="B50" s="2893" t="s">
        <v>3037</v>
      </c>
      <c r="C50" s="2893" t="s">
        <v>3038</v>
      </c>
      <c r="D50" s="2893">
        <v>70947.100000000006</v>
      </c>
      <c r="E50" s="2893">
        <v>141894.20000000001</v>
      </c>
      <c r="F50" s="2893" t="s">
        <v>3194</v>
      </c>
      <c r="G50" s="2893" t="s">
        <v>3040</v>
      </c>
      <c r="H50" s="2893" t="s">
        <v>3195</v>
      </c>
      <c r="I50" s="2893">
        <v>85137</v>
      </c>
      <c r="J50" s="2893">
        <v>138837</v>
      </c>
      <c r="K50" s="2893">
        <v>9784.5400000000009</v>
      </c>
      <c r="L50" s="2893">
        <f t="shared" si="0"/>
        <v>19569</v>
      </c>
      <c r="M50" s="2893">
        <v>63.07</v>
      </c>
      <c r="N50" s="2893" t="s">
        <v>3196</v>
      </c>
      <c r="O50" s="2893" t="s">
        <v>3043</v>
      </c>
    </row>
    <row r="51" spans="1:15">
      <c r="A51" s="2893" t="s">
        <v>3197</v>
      </c>
      <c r="B51" s="2893" t="s">
        <v>3037</v>
      </c>
      <c r="C51" s="2893" t="s">
        <v>3045</v>
      </c>
      <c r="D51" s="2893">
        <v>41010.699999999997</v>
      </c>
      <c r="E51" s="2893">
        <v>77920.33</v>
      </c>
      <c r="F51" s="2893" t="s">
        <v>3198</v>
      </c>
      <c r="G51" s="2893" t="s">
        <v>3040</v>
      </c>
      <c r="H51" s="2893" t="s">
        <v>3195</v>
      </c>
      <c r="I51" s="2893">
        <v>65617</v>
      </c>
      <c r="J51" s="2893">
        <v>123617</v>
      </c>
      <c r="K51" s="2893">
        <v>15864.54</v>
      </c>
      <c r="L51" s="2893">
        <f t="shared" si="0"/>
        <v>30143</v>
      </c>
      <c r="M51" s="2893">
        <v>88.39</v>
      </c>
      <c r="N51" s="2893" t="s">
        <v>3199</v>
      </c>
      <c r="O51" s="2893" t="s">
        <v>3088</v>
      </c>
    </row>
    <row r="67" spans="14:16">
      <c r="N67" s="3182" t="s">
        <v>3278</v>
      </c>
      <c r="O67" s="2893">
        <v>24671</v>
      </c>
    </row>
    <row r="68" spans="14:16">
      <c r="N68" s="3182" t="s">
        <v>3280</v>
      </c>
      <c r="O68" s="2893">
        <v>23881</v>
      </c>
      <c r="P68" s="2893">
        <f>O67/O68</f>
        <v>1.0330806917633264</v>
      </c>
    </row>
    <row r="69" spans="14:16">
      <c r="N69" s="3182" t="s">
        <v>3281</v>
      </c>
      <c r="O69" s="2893">
        <v>19737</v>
      </c>
      <c r="P69" s="2893">
        <f>O67/O69</f>
        <v>1.2499873334346658</v>
      </c>
    </row>
    <row r="70" spans="14:16">
      <c r="N70" s="3182" t="s">
        <v>3279</v>
      </c>
      <c r="O70" s="2893">
        <v>29869</v>
      </c>
      <c r="P70" s="2893">
        <f>O67/O70</f>
        <v>0.82597341725534834</v>
      </c>
    </row>
    <row r="71" spans="14:16">
      <c r="N71" s="3182" t="s">
        <v>3282</v>
      </c>
      <c r="O71" s="2893">
        <v>26506</v>
      </c>
      <c r="P71" s="2893">
        <f>O67/O71</f>
        <v>0.93077039160944697</v>
      </c>
    </row>
  </sheetData>
  <phoneticPr fontId="228"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8" t="str">
        <f>项目基本情况!B1</f>
        <v>出让国有建设用地使用权抵押价格预评估</v>
      </c>
      <c r="C37" s="3208"/>
      <c r="D37" s="3208"/>
      <c r="E37" s="3208"/>
      <c r="F37" s="3208"/>
      <c r="G37" s="3208"/>
      <c r="H37" s="3208"/>
      <c r="I37" s="3208"/>
    </row>
    <row r="38" spans="1:9">
      <c r="A38" s="1641"/>
      <c r="B38" s="1641"/>
    </row>
    <row r="39" spans="1:9">
      <c r="A39" s="1639" t="s">
        <v>1901</v>
      </c>
      <c r="B39" s="1639" t="s">
        <v>2046</v>
      </c>
    </row>
    <row r="40" spans="1:9">
      <c r="A40" s="1639"/>
      <c r="B40" s="1639" t="str">
        <f>项目基本情况!B5</f>
        <v>北京国瑞兴业房地产控股有限公司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6" sqref="E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1">
        <f>MATCH(B1,'数据-取费表'!A6:A16,0)+5</f>
        <v>9</v>
      </c>
    </row>
    <row r="2" spans="1:31" s="2026" customFormat="1" ht="18" customHeight="1">
      <c r="A2" s="2086" t="s">
        <v>467</v>
      </c>
      <c r="B2" s="2090">
        <f ca="1">C36</f>
        <v>36879</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13565</v>
      </c>
      <c r="C3" s="2089"/>
      <c r="D3" s="2089"/>
      <c r="E3" s="2089"/>
      <c r="F3" s="2089"/>
      <c r="G3" s="2089"/>
      <c r="H3" s="2089"/>
      <c r="I3" s="2089"/>
      <c r="J3" s="2089"/>
      <c r="K3" s="2089"/>
    </row>
    <row r="4" spans="1:31" s="2026" customFormat="1" ht="18" customHeight="1">
      <c r="A4" s="425" t="s">
        <v>468</v>
      </c>
      <c r="B4" s="426">
        <f ca="1">ROUND(B2*10000/IF(B1="",'数据-汇总表'!D3,INDIRECT("'数据-取费表'!R"&amp;$K$1)),0)</f>
        <v>42898</v>
      </c>
      <c r="C4" s="427"/>
      <c r="D4" s="421"/>
      <c r="E4" s="421"/>
      <c r="F4" s="421"/>
      <c r="G4" s="421"/>
      <c r="H4" s="421"/>
      <c r="I4" s="421"/>
      <c r="J4" s="421"/>
      <c r="K4" s="421"/>
    </row>
    <row r="5" spans="1:31" s="2026" customFormat="1" ht="18" customHeight="1" thickBot="1">
      <c r="A5" s="428"/>
      <c r="B5" s="429">
        <f ca="1">ROUND(B2/(IF(B1="",'数据-汇总表'!D3,INDIRECT("'数据-取费表'!R"&amp;$K$1))/666.67),0)</f>
        <v>2860</v>
      </c>
      <c r="C5" s="430" t="s">
        <v>469</v>
      </c>
      <c r="D5" s="421"/>
      <c r="E5" s="421"/>
      <c r="F5" s="421"/>
      <c r="G5" s="421"/>
      <c r="H5" s="421"/>
      <c r="I5" s="421"/>
      <c r="J5" s="421"/>
      <c r="K5" s="421"/>
    </row>
    <row r="6" spans="1:31" s="2096" customFormat="1" ht="16.5" customHeight="1">
      <c r="A6" s="2782" t="s">
        <v>1842</v>
      </c>
      <c r="B6" s="2783"/>
      <c r="C6" s="2784">
        <f ca="1">SUM(C10:K10)</f>
        <v>57217</v>
      </c>
      <c r="D6" s="2783"/>
      <c r="E6" s="2783"/>
      <c r="F6" s="2783"/>
      <c r="G6" s="2783"/>
      <c r="H6" s="2783"/>
      <c r="I6" s="2783"/>
      <c r="J6" s="2783"/>
      <c r="K6" s="2785"/>
    </row>
    <row r="7" spans="1:31" s="2098" customFormat="1" ht="15">
      <c r="A7" s="2786" t="s">
        <v>470</v>
      </c>
      <c r="B7" s="2787" t="s">
        <v>471</v>
      </c>
      <c r="C7" s="435" t="s">
        <v>3285</v>
      </c>
      <c r="D7" s="435" t="s">
        <v>3287</v>
      </c>
      <c r="E7" s="435" t="s">
        <v>35</v>
      </c>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8">
        <f>'不动产比较法-住宅'!C49</f>
        <v>30808</v>
      </c>
      <c r="D8" s="2788">
        <f>'不动产比较法-住宅'!C49</f>
        <v>30808</v>
      </c>
      <c r="E8" s="2788">
        <f ca="1">不动产收益法!C43</f>
        <v>2293</v>
      </c>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12319.68</v>
      </c>
      <c r="D9" s="440">
        <f>SUMIF('数据-汇总表'!$C19:$C33,'剩余法-待开发'!D7,'数据-汇总表'!$E19:$E33)</f>
        <v>5704.79</v>
      </c>
      <c r="E9" s="440">
        <f>SUMIF('数据-汇总表'!$C19:$C33,'剩余法-待开发'!E7,'数据-汇总表'!$E19:$E33)</f>
        <v>7361.87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79">
        <f>ROUND(C9*C8/10000,0)</f>
        <v>37954</v>
      </c>
      <c r="D10" s="2979">
        <f>ROUND(D9*D8/10000,0)</f>
        <v>17575</v>
      </c>
      <c r="E10" s="2979">
        <f ca="1">不动产收益法!C40</f>
        <v>1688</v>
      </c>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49">
        <f ca="1">IF(B1="",'数据-取费表'!P16,INDIRECT("'数据-取费表'!p"&amp;$K$1)+INDIRECT("'数据-取费表'!t"&amp;$K$1))</f>
        <v>5432</v>
      </c>
      <c r="D13" s="2798"/>
      <c r="E13" s="2799"/>
      <c r="F13" s="2800"/>
      <c r="G13" s="2766"/>
      <c r="H13" s="2767"/>
      <c r="I13" s="2767"/>
      <c r="J13" s="2767"/>
      <c r="K13" s="2768"/>
    </row>
    <row r="14" spans="1:31" s="2101" customFormat="1" ht="13.5" customHeight="1">
      <c r="A14" s="2796" t="s">
        <v>1849</v>
      </c>
      <c r="B14" s="2797" t="s">
        <v>480</v>
      </c>
      <c r="C14" s="52">
        <f ca="1">ROUND(C13*F14,0)</f>
        <v>163</v>
      </c>
      <c r="D14" s="2798"/>
      <c r="E14" s="2799"/>
      <c r="F14" s="2801">
        <f>'数据-取费表'!B33</f>
        <v>0.03</v>
      </c>
      <c r="G14" s="2766" t="s">
        <v>481</v>
      </c>
      <c r="H14" s="2767"/>
      <c r="I14" s="2767"/>
      <c r="J14" s="2767"/>
      <c r="K14" s="2768"/>
    </row>
    <row r="15" spans="1:31" s="2101" customFormat="1" ht="13.5" customHeight="1">
      <c r="A15" s="2796" t="s">
        <v>1850</v>
      </c>
      <c r="B15" s="2797" t="s">
        <v>482</v>
      </c>
      <c r="C15" s="52">
        <f ca="1">ROUND(IF(B1="",SUMIF('数据-取费表'!C:C,"住宅",'数据-取费表'!P:P)*F15,IF(INDIRECT("'数据-取费表'!c"&amp;$K$1)="住宅",INDIRECT("'数据-取费表'!P"&amp;$K$1)*F15,0)),0)</f>
        <v>82</v>
      </c>
      <c r="D15" s="2798"/>
      <c r="E15" s="2799"/>
      <c r="F15" s="2801">
        <f>'数据-取费表'!B34</f>
        <v>0.02</v>
      </c>
      <c r="G15" s="2766" t="s">
        <v>483</v>
      </c>
      <c r="H15" s="2767"/>
      <c r="I15" s="2767"/>
      <c r="J15" s="2767"/>
      <c r="K15" s="2768"/>
    </row>
    <row r="16" spans="1:31" s="2102" customFormat="1" ht="13.5" customHeight="1">
      <c r="A16" s="2796" t="s">
        <v>1851</v>
      </c>
      <c r="B16" s="2797" t="s">
        <v>484</v>
      </c>
      <c r="C16" s="52">
        <f ca="1">ROUND(D16*E16/10000,0)</f>
        <v>408</v>
      </c>
      <c r="D16" s="2798">
        <f ca="1">IF(B1="",'数据-汇总表'!E3,INDIRECT("'数据-取费表'!K"&amp;$K$1)+INDIRECT("'数据-取费表'!S"&amp;$K$1))</f>
        <v>27186.68</v>
      </c>
      <c r="E16" s="52">
        <f>'数据-取费表'!B35</f>
        <v>150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81</v>
      </c>
      <c r="D17" s="474"/>
      <c r="E17" s="2802"/>
      <c r="F17" s="2803">
        <f>'数据-取费表'!B36</f>
        <v>1.4999999999999999E-2</v>
      </c>
      <c r="G17" s="260" t="s">
        <v>486</v>
      </c>
      <c r="H17" s="2769"/>
      <c r="I17" s="2769"/>
      <c r="J17" s="2769"/>
      <c r="K17" s="278"/>
    </row>
    <row r="18" spans="1:14" s="2101" customFormat="1" ht="13.5" customHeight="1">
      <c r="A18" s="2804" t="s">
        <v>1853</v>
      </c>
      <c r="B18" s="2805" t="s">
        <v>487</v>
      </c>
      <c r="C18" s="2806">
        <f ca="1">SUM(C13:C17)</f>
        <v>6166</v>
      </c>
      <c r="D18" s="2807"/>
      <c r="E18" s="467"/>
      <c r="F18" s="467"/>
      <c r="G18" s="2770" t="s">
        <v>2430</v>
      </c>
      <c r="H18" s="2771"/>
      <c r="I18" s="2771"/>
      <c r="J18" s="2771"/>
      <c r="K18" s="2772"/>
    </row>
    <row r="19" spans="1:14" s="2101" customFormat="1" ht="13.5" customHeight="1">
      <c r="A19" s="2804" t="s">
        <v>1854</v>
      </c>
      <c r="B19" s="2805" t="s">
        <v>488</v>
      </c>
      <c r="C19" s="2762">
        <f ca="1">ROUND(D19*E19/10000,0)</f>
        <v>0</v>
      </c>
      <c r="D19" s="2808">
        <f ca="1">D16</f>
        <v>27186.68</v>
      </c>
      <c r="E19" s="2762">
        <f>'数据-取费表'!B32</f>
        <v>0</v>
      </c>
      <c r="F19" s="467"/>
      <c r="G19" s="2766" t="s">
        <v>489</v>
      </c>
      <c r="H19" s="2767"/>
      <c r="I19" s="2771"/>
      <c r="J19" s="2771"/>
      <c r="K19" s="2772"/>
    </row>
    <row r="20" spans="1:14" s="2101" customFormat="1" ht="13.5" customHeight="1">
      <c r="A20" s="2804" t="s">
        <v>1855</v>
      </c>
      <c r="B20" s="2805" t="s">
        <v>490</v>
      </c>
      <c r="C20" s="2762">
        <f ca="1">C21+C22-IF(B1="",'数据-取费表'!B29,IF(G20="已全部缴纳",C21+C22,H20))</f>
        <v>285</v>
      </c>
      <c r="D20" s="2808"/>
      <c r="E20" s="2762"/>
      <c r="F20" s="2809"/>
      <c r="G20" s="3038" t="s">
        <v>3276</v>
      </c>
      <c r="H20" s="2764"/>
      <c r="I20" s="2765" t="s">
        <v>2650</v>
      </c>
      <c r="J20" s="2771"/>
      <c r="K20" s="2772"/>
    </row>
    <row r="21" spans="1:14" s="2101" customFormat="1" ht="13.5" customHeight="1">
      <c r="A21" s="2796" t="s">
        <v>1856</v>
      </c>
      <c r="B21" s="2797" t="s">
        <v>491</v>
      </c>
      <c r="C21" s="52">
        <f ca="1">ROUND(D21*E21/10000,0)</f>
        <v>189</v>
      </c>
      <c r="D21" s="2798">
        <f ca="1">IF(B1="",'数据-汇总表'!E5,IF(INDIRECT("'数据-取费表'!c"&amp;$K$1)="住宅",INDIRECT("'数据-取费表'!k"&amp;$K$1),0))</f>
        <v>18024.47</v>
      </c>
      <c r="E21" s="52">
        <f>'数据-取费表'!B27</f>
        <v>105</v>
      </c>
      <c r="F21" s="2801"/>
      <c r="G21" s="25"/>
      <c r="H21" s="50"/>
      <c r="I21" s="50"/>
      <c r="J21" s="50"/>
      <c r="K21" s="2773"/>
    </row>
    <row r="22" spans="1:14" s="2101" customFormat="1" ht="13.5" customHeight="1">
      <c r="A22" s="2796" t="s">
        <v>1857</v>
      </c>
      <c r="B22" s="2797" t="s">
        <v>492</v>
      </c>
      <c r="C22" s="52">
        <f ca="1">ROUND(D22*E22/10000,0)</f>
        <v>96</v>
      </c>
      <c r="D22" s="2798">
        <f ca="1">IF(B1="",'数据-汇总表'!E6,IF(INDIRECT("'数据-取费表'!c"&amp;$K$1)="住宅",INDIRECT("'数据-取费表'!s"&amp;$K$1),INDIRECT("'数据-取费表'!k"&amp;$K$1)+INDIRECT("'数据-取费表'!s"&amp;$K$1)))</f>
        <v>9162.2099999999991</v>
      </c>
      <c r="E22" s="52">
        <f>'数据-取费表'!B28</f>
        <v>105</v>
      </c>
      <c r="F22" s="2801"/>
      <c r="G22" s="25"/>
      <c r="H22" s="50"/>
      <c r="I22" s="50"/>
      <c r="J22" s="50"/>
      <c r="K22" s="2773"/>
    </row>
    <row r="23" spans="1:14" s="2101" customFormat="1" ht="13.5" customHeight="1">
      <c r="A23" s="2804" t="s">
        <v>1858</v>
      </c>
      <c r="B23" s="2985" t="s">
        <v>2833</v>
      </c>
      <c r="C23" s="2806">
        <f ca="1">ROUND((C18+C19+C20)*F23,0)</f>
        <v>129</v>
      </c>
      <c r="D23" s="467"/>
      <c r="E23" s="467"/>
      <c r="F23" s="2810">
        <f>'数据-取费表'!B37</f>
        <v>0.02</v>
      </c>
      <c r="G23" s="2766" t="s">
        <v>2431</v>
      </c>
      <c r="H23" s="2767"/>
      <c r="I23" s="2767"/>
      <c r="J23" s="2767"/>
      <c r="K23" s="2768"/>
      <c r="L23" s="2103"/>
      <c r="M23" s="2103"/>
      <c r="N23" s="2103"/>
    </row>
    <row r="24" spans="1:14" s="2101" customFormat="1" ht="13.5" customHeight="1">
      <c r="A24" s="2804" t="s">
        <v>1859</v>
      </c>
      <c r="B24" s="2985" t="s">
        <v>2836</v>
      </c>
      <c r="C24" s="2806">
        <f ca="1">ROUND(C6*F24,0)</f>
        <v>1144</v>
      </c>
      <c r="D24" s="474"/>
      <c r="E24" s="472"/>
      <c r="F24" s="2810">
        <f>'数据-取费表'!B38</f>
        <v>0.02</v>
      </c>
      <c r="G24" s="2775" t="s">
        <v>499</v>
      </c>
      <c r="H24" s="2769"/>
      <c r="I24" s="2769"/>
      <c r="J24" s="2769"/>
      <c r="K24" s="278"/>
      <c r="L24" s="2103"/>
      <c r="M24" s="2103"/>
      <c r="N24" s="2103"/>
    </row>
    <row r="25" spans="1:14" s="2104" customFormat="1" ht="13.5" customHeight="1">
      <c r="A25" s="2804" t="s">
        <v>1860</v>
      </c>
      <c r="B25" s="2985"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3" customFormat="1" ht="13.5" customHeight="1">
      <c r="A26" s="2804" t="s">
        <v>1861</v>
      </c>
      <c r="B26" s="2986" t="s">
        <v>2835</v>
      </c>
      <c r="C26" s="2811">
        <f ca="1">C28</f>
        <v>274</v>
      </c>
      <c r="D26" s="466">
        <f ca="1">C27</f>
        <v>7.4200000000000002E-2</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2" t="s">
        <v>1856</v>
      </c>
      <c r="B27" s="2812" t="s">
        <v>496</v>
      </c>
      <c r="C27" s="2813">
        <f ca="1">ROUND(IF('数据-取费表'!B22&lt;=1,(1+C25)*F26*'数据-取费表'!B24,(1+C25)*(POWER((1+F26),'数据-取费表'!B24)-1)),4)</f>
        <v>7.4200000000000002E-2</v>
      </c>
      <c r="D27" s="471"/>
      <c r="E27" s="472"/>
      <c r="F27" s="473"/>
      <c r="G27" s="2536" t="str">
        <f>IF('数据-取费表'!B22&lt;=1,"（1+取得税费率/(1+5%)）×年利率×建设期","（1+取得税费率）/(1+5%)×((1+年利率)^建设期-1)")</f>
        <v>（1+取得税费率）/(1+5%)×((1+年利率)^建设期-1)</v>
      </c>
      <c r="H27" s="2769"/>
      <c r="I27" s="2769"/>
      <c r="J27" s="2769"/>
      <c r="K27" s="278"/>
    </row>
    <row r="28" spans="1:14" s="2105" customFormat="1" ht="13.5" customHeight="1">
      <c r="A28" s="802" t="s">
        <v>1857</v>
      </c>
      <c r="B28" s="2812" t="s">
        <v>2837</v>
      </c>
      <c r="C28" s="2814">
        <f ca="1">ROUND(IF('数据-取费表'!B22&lt;=1,(C18+C19+C20+C23+C24)*F26*'数据-取费表'!B24/2,(C18+C19+C20+C23+C24)*(POWER((1+F26),'数据-取费表'!B24/2)-1)),0)</f>
        <v>274</v>
      </c>
      <c r="D28" s="471"/>
      <c r="E28" s="472"/>
      <c r="F28" s="473"/>
      <c r="G28" s="2536" t="str">
        <f>IF('数据-取费表'!B22&lt;=1,"（1）-（4）项×年利率×建设期÷2","（1）-（4）项×((1+年利率)^(建设期÷2)-1)")</f>
        <v>（1）-（4）项×((1+年利率)^(建设期÷2)-1)</v>
      </c>
      <c r="H28" s="2769"/>
      <c r="I28" s="2769"/>
      <c r="J28" s="2769"/>
      <c r="K28" s="278"/>
    </row>
    <row r="29" spans="1:14" s="2105" customFormat="1" ht="13.5" customHeight="1">
      <c r="A29" s="2815" t="s">
        <v>1862</v>
      </c>
      <c r="B29" s="2805" t="s">
        <v>497</v>
      </c>
      <c r="C29" s="2806">
        <f ca="1">ROUND(C6*F29/(1+'数据-取费表'!C42),0)</f>
        <v>3052</v>
      </c>
      <c r="D29" s="467"/>
      <c r="E29" s="467"/>
      <c r="F29" s="2987">
        <f>'数据-取费表'!B41</f>
        <v>5.6000000000000001E-2</v>
      </c>
      <c r="G29" s="2775" t="s">
        <v>498</v>
      </c>
      <c r="H29" s="2767"/>
      <c r="I29" s="2767"/>
      <c r="J29" s="2767"/>
      <c r="K29" s="2768"/>
    </row>
    <row r="30" spans="1:14" s="2106" customFormat="1" ht="13.5" customHeight="1">
      <c r="A30" s="1620" t="s">
        <v>1863</v>
      </c>
      <c r="B30" s="2816" t="s">
        <v>500</v>
      </c>
      <c r="C30" s="2811">
        <f ca="1">C31</f>
        <v>11050</v>
      </c>
      <c r="D30" s="476">
        <f ca="1">C32</f>
        <v>0.1032</v>
      </c>
      <c r="E30" s="468" t="s">
        <v>495</v>
      </c>
      <c r="F30" s="470"/>
      <c r="G30" s="2774" t="s">
        <v>2968</v>
      </c>
      <c r="H30" s="2767"/>
      <c r="I30" s="2767"/>
      <c r="J30" s="2767"/>
      <c r="K30" s="2768"/>
    </row>
    <row r="31" spans="1:14" s="2105" customFormat="1" ht="13.5" customHeight="1">
      <c r="A31" s="802" t="s">
        <v>1856</v>
      </c>
      <c r="B31" s="2812"/>
      <c r="C31" s="449">
        <f ca="1">C18+C19+C20+C23+C24+C26+C29</f>
        <v>11050</v>
      </c>
      <c r="D31" s="471"/>
      <c r="E31" s="472"/>
      <c r="F31" s="473"/>
      <c r="G31" s="260"/>
      <c r="H31" s="2769"/>
      <c r="I31" s="2769"/>
      <c r="J31" s="2769"/>
      <c r="K31" s="278"/>
    </row>
    <row r="32" spans="1:14" s="2105" customFormat="1" ht="13.5" customHeight="1">
      <c r="A32" s="802" t="s">
        <v>1857</v>
      </c>
      <c r="B32" s="2812"/>
      <c r="C32" s="52">
        <f ca="1">ROUND(C25+D26,4)</f>
        <v>0.1032</v>
      </c>
      <c r="D32" s="471"/>
      <c r="E32" s="472"/>
      <c r="F32" s="473"/>
      <c r="G32" s="260"/>
      <c r="H32" s="2769"/>
      <c r="I32" s="2769"/>
      <c r="J32" s="2769"/>
      <c r="K32" s="278"/>
    </row>
    <row r="33" spans="1:11" s="2107" customFormat="1" ht="13.5" customHeight="1">
      <c r="A33" s="2984" t="s">
        <v>2832</v>
      </c>
      <c r="B33" s="2982" t="s">
        <v>2830</v>
      </c>
      <c r="C33" s="477">
        <f ca="1">C35</f>
        <v>927</v>
      </c>
      <c r="D33" s="466">
        <f ca="1">C34</f>
        <v>0.1235</v>
      </c>
      <c r="E33" s="468" t="s">
        <v>495</v>
      </c>
      <c r="F33" s="478">
        <f ca="1">IF(B1="",'数据-取费表'!Q16,INDIRECT("'数据-取费表'!q"&amp;$K$1))</f>
        <v>0.12</v>
      </c>
      <c r="G33" s="2770"/>
      <c r="H33" s="2771"/>
      <c r="I33" s="2771"/>
      <c r="J33" s="2771"/>
      <c r="K33" s="2772"/>
    </row>
    <row r="34" spans="1:11" s="2108" customFormat="1" ht="13.5" customHeight="1">
      <c r="A34" s="374" t="s">
        <v>1856</v>
      </c>
      <c r="B34" s="2817" t="s">
        <v>501</v>
      </c>
      <c r="C34" s="471">
        <f ca="1">ROUND((1+C25)*F33,4)</f>
        <v>0.1235</v>
      </c>
      <c r="D34" s="471"/>
      <c r="E34" s="472"/>
      <c r="F34" s="479"/>
      <c r="G34" s="260" t="s">
        <v>2290</v>
      </c>
      <c r="H34" s="2769"/>
      <c r="I34" s="2769"/>
      <c r="J34" s="2769"/>
      <c r="K34" s="278"/>
    </row>
    <row r="35" spans="1:11" s="2108" customFormat="1" ht="13.5" customHeight="1" thickBot="1">
      <c r="A35" s="1621" t="s">
        <v>1857</v>
      </c>
      <c r="B35" s="2983" t="s">
        <v>2838</v>
      </c>
      <c r="C35" s="1613">
        <f ca="1">ROUND((C18+C19+C20+C23+C24)*F33,0)</f>
        <v>927</v>
      </c>
      <c r="D35" s="1614"/>
      <c r="E35" s="2818"/>
      <c r="F35" s="1615"/>
      <c r="G35" s="2776"/>
      <c r="H35" s="2777"/>
      <c r="I35" s="2777"/>
      <c r="J35" s="2777"/>
      <c r="K35" s="2778"/>
    </row>
    <row r="36" spans="1:11" s="2070" customFormat="1" ht="13.5" customHeight="1" thickBot="1">
      <c r="A36" s="283" t="s">
        <v>1844</v>
      </c>
      <c r="B36" s="2780"/>
      <c r="C36" s="2819">
        <f ca="1">ROUND((C6-C30-C33)/(1+D30+D33),0)</f>
        <v>36879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3"/>
      <c r="C1" s="2089"/>
      <c r="D1" s="2089"/>
      <c r="E1" s="2089"/>
      <c r="F1" s="2089"/>
      <c r="G1" s="2089"/>
      <c r="H1" s="2089"/>
      <c r="I1" s="2089"/>
      <c r="J1" s="2089"/>
      <c r="K1" s="421">
        <f>MATCH(B1,'数据-取费表'!A6:A16,0)+5</f>
        <v>9</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2651</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5432</v>
      </c>
      <c r="D13" s="450"/>
      <c r="E13" s="364"/>
      <c r="F13" s="451"/>
      <c r="G13" s="443"/>
      <c r="H13" s="446"/>
      <c r="I13" s="446"/>
      <c r="J13" s="446"/>
      <c r="K13" s="447"/>
    </row>
    <row r="14" spans="1:41" s="2101" customFormat="1" ht="13.5" customHeight="1">
      <c r="A14" s="1618" t="s">
        <v>1849</v>
      </c>
      <c r="B14" s="448" t="s">
        <v>480</v>
      </c>
      <c r="C14" s="52">
        <f ca="1">ROUND(C13*F14,0)</f>
        <v>163</v>
      </c>
      <c r="D14" s="450"/>
      <c r="E14" s="364"/>
      <c r="F14" s="452">
        <f>'数据-取费表'!B33</f>
        <v>0.03</v>
      </c>
      <c r="G14" s="443" t="s">
        <v>502</v>
      </c>
      <c r="H14" s="446"/>
      <c r="I14" s="446"/>
      <c r="J14" s="446"/>
      <c r="K14" s="447"/>
    </row>
    <row r="15" spans="1:41" s="2101" customFormat="1" ht="13.5" customHeight="1">
      <c r="A15" s="1618" t="s">
        <v>1850</v>
      </c>
      <c r="B15" s="448" t="s">
        <v>482</v>
      </c>
      <c r="C15" s="52">
        <f ca="1">ROUND(IF(B1="",SUMIF('数据-取费表'!C:C,"住宅",'数据-取费表'!M:M)*F15,IF(INDIRECT("'数据-取费表'!c"&amp;$K$1)="住宅",INDIRECT("'数据-取费表'!M"&amp;$K$1)*F15,0)),0)</f>
        <v>82</v>
      </c>
      <c r="D15" s="450"/>
      <c r="E15" s="364"/>
      <c r="F15" s="452">
        <f>'数据-取费表'!B34</f>
        <v>0.02</v>
      </c>
      <c r="G15" s="443" t="s">
        <v>502</v>
      </c>
      <c r="H15" s="446"/>
      <c r="I15" s="446"/>
      <c r="J15" s="446"/>
      <c r="K15" s="447"/>
    </row>
    <row r="16" spans="1:41" s="2102" customFormat="1" ht="13.5" customHeight="1">
      <c r="A16" s="1618" t="s">
        <v>1851</v>
      </c>
      <c r="B16" s="448" t="s">
        <v>484</v>
      </c>
      <c r="C16" s="52">
        <f ca="1">ROUND(D16*E16/10000,0)</f>
        <v>408</v>
      </c>
      <c r="D16" s="450">
        <f ca="1">IF(B1="",'数据-汇总表'!E3,INDIRECT("'数据-取费表'!K"&amp;$K$1)+INDIRECT("'数据-取费表'!S"&amp;$K$1))</f>
        <v>27186.68</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81</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6166</v>
      </c>
      <c r="D18" s="460"/>
      <c r="E18" s="461"/>
      <c r="F18" s="461"/>
      <c r="G18" s="1322" t="s">
        <v>2432</v>
      </c>
      <c r="H18" s="446"/>
      <c r="I18" s="446"/>
      <c r="J18" s="446"/>
      <c r="K18" s="447"/>
    </row>
    <row r="19" spans="1:14" s="2104" customFormat="1" ht="13.5" customHeight="1">
      <c r="A19" s="1619" t="s">
        <v>1854</v>
      </c>
      <c r="B19" s="458" t="s">
        <v>493</v>
      </c>
      <c r="C19" s="459">
        <f ca="1">ROUND(C18*F19,0)</f>
        <v>123</v>
      </c>
      <c r="D19" s="461"/>
      <c r="E19" s="461"/>
      <c r="F19" s="465">
        <f>'数据-取费表'!B37</f>
        <v>0.02</v>
      </c>
      <c r="G19" s="443" t="s">
        <v>503</v>
      </c>
      <c r="H19" s="446"/>
      <c r="I19" s="446"/>
      <c r="J19" s="446"/>
      <c r="K19" s="447"/>
      <c r="L19" s="2106"/>
      <c r="M19" s="2106"/>
      <c r="N19" s="2106"/>
    </row>
    <row r="20" spans="1:14" s="2104" customFormat="1" ht="13.5" customHeight="1">
      <c r="A20" s="1619" t="s">
        <v>1855</v>
      </c>
      <c r="B20" s="458" t="s">
        <v>504</v>
      </c>
      <c r="C20" s="2980">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223</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2454</v>
      </c>
    </row>
    <row r="22" spans="1:14" s="2105" customFormat="1" ht="13.5" customHeight="1">
      <c r="A22" s="1618" t="s">
        <v>1848</v>
      </c>
      <c r="B22" s="1323" t="s">
        <v>2435</v>
      </c>
      <c r="C22" s="486">
        <f ca="1">ROUND(IF('数据-取费表'!B22&lt;=1,(C18+C19)*F21*'数据-取费表'!B20/2,(C18+C19)*(POWER((1+F21),'数据-取费表'!B20/2)-1)),0)</f>
        <v>223</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6.9999999999999999E-4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2" t="s">
        <v>2831</v>
      </c>
      <c r="C24" s="477">
        <f ca="1">C25</f>
        <v>755</v>
      </c>
      <c r="D24" s="488">
        <f ca="1">C26</f>
        <v>2.3999999999999998E-3</v>
      </c>
      <c r="E24" s="468" t="s">
        <v>507</v>
      </c>
      <c r="F24" s="478">
        <f ca="1">IF(B1="",'数据-取费表'!Q16,INDIRECT("'数据-取费表'!q"&amp;$K$1))</f>
        <v>0.12</v>
      </c>
      <c r="G24" s="443"/>
      <c r="H24" s="446"/>
      <c r="I24" s="446"/>
      <c r="J24" s="446"/>
      <c r="K24" s="447"/>
    </row>
    <row r="25" spans="1:14" s="2105" customFormat="1" ht="13.5" customHeight="1">
      <c r="A25" s="1618" t="s">
        <v>1848</v>
      </c>
      <c r="B25" s="1323" t="s">
        <v>2436</v>
      </c>
      <c r="C25" s="489">
        <f ca="1">ROUND((C18+C19)*F24,0)</f>
        <v>755</v>
      </c>
      <c r="D25" s="471"/>
      <c r="E25" s="472"/>
      <c r="F25" s="479"/>
      <c r="G25" s="1321" t="s">
        <v>2433</v>
      </c>
      <c r="H25" s="456"/>
      <c r="I25" s="456"/>
      <c r="J25" s="456"/>
      <c r="K25" s="457"/>
    </row>
    <row r="26" spans="1:14" s="2105" customFormat="1" ht="13.5" customHeight="1">
      <c r="A26" s="1618" t="s">
        <v>1849</v>
      </c>
      <c r="B26" s="1323" t="s">
        <v>509</v>
      </c>
      <c r="C26" s="490">
        <f ca="1">ROUND(F20*F24,4)</f>
        <v>2.3999999999999998E-3</v>
      </c>
      <c r="D26" s="471"/>
      <c r="E26" s="480"/>
      <c r="F26" s="479"/>
      <c r="G26" s="1321" t="s">
        <v>510</v>
      </c>
      <c r="H26" s="456"/>
      <c r="I26" s="456"/>
      <c r="J26" s="456"/>
      <c r="K26" s="457"/>
    </row>
    <row r="27" spans="1:14" s="2105" customFormat="1" ht="13.5" customHeight="1">
      <c r="A27" s="1622" t="s">
        <v>1867</v>
      </c>
      <c r="B27" s="458" t="s">
        <v>511</v>
      </c>
      <c r="C27" s="2981">
        <f>ROUND(F27/(1+'数据-取费表'!C42),4)</f>
        <v>5.33E-2</v>
      </c>
      <c r="D27" s="461" t="s">
        <v>2829</v>
      </c>
      <c r="E27" s="461"/>
      <c r="F27" s="465">
        <f>'数据-取费表'!B41</f>
        <v>5.6000000000000001E-2</v>
      </c>
      <c r="G27" s="1945" t="s">
        <v>2291</v>
      </c>
      <c r="H27" s="446"/>
      <c r="I27" s="446"/>
      <c r="J27" s="446"/>
      <c r="K27" s="447"/>
    </row>
    <row r="28" spans="1:14" s="2106" customFormat="1" ht="13.5" customHeight="1">
      <c r="A28" s="1622" t="s">
        <v>1868</v>
      </c>
      <c r="B28" s="475" t="s">
        <v>512</v>
      </c>
      <c r="C28" s="469">
        <f ca="1">ROUND((C18+C19+C21+C24)/(1-C20-D21-D24-C27),0)</f>
        <v>7868</v>
      </c>
      <c r="D28" s="476"/>
      <c r="E28" s="468"/>
      <c r="F28" s="470"/>
      <c r="G28" s="1322" t="s">
        <v>2434</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7"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82" t="s">
        <v>522</v>
      </c>
      <c r="D6" s="3383"/>
      <c r="E6" s="3416" t="s">
        <v>523</v>
      </c>
      <c r="F6" s="3417"/>
      <c r="G6" s="3382" t="s">
        <v>524</v>
      </c>
      <c r="H6" s="3383"/>
      <c r="I6" s="3382" t="s">
        <v>525</v>
      </c>
      <c r="J6" s="3383"/>
      <c r="K6" s="513" t="s">
        <v>526</v>
      </c>
      <c r="L6" s="2118"/>
      <c r="M6" s="2119"/>
      <c r="N6" s="2119"/>
      <c r="O6" s="2119"/>
      <c r="P6" s="3384" t="s">
        <v>527</v>
      </c>
      <c r="Q6" s="3385"/>
      <c r="R6" s="3390" t="s">
        <v>523</v>
      </c>
      <c r="S6" s="3391"/>
      <c r="T6" s="3390" t="s">
        <v>524</v>
      </c>
      <c r="U6" s="3391"/>
      <c r="V6" s="3377" t="s">
        <v>525</v>
      </c>
      <c r="W6" s="3377"/>
      <c r="X6" s="1553"/>
      <c r="Y6" s="3390" t="s">
        <v>527</v>
      </c>
      <c r="Z6" s="3391"/>
      <c r="AA6" s="3379" t="s">
        <v>523</v>
      </c>
      <c r="AB6" s="3380" t="s">
        <v>524</v>
      </c>
      <c r="AC6" s="3379" t="s">
        <v>525</v>
      </c>
    </row>
    <row r="7" spans="1:29" ht="15">
      <c r="A7" s="514"/>
      <c r="B7" s="515"/>
      <c r="C7" s="3398" t="s">
        <v>2926</v>
      </c>
      <c r="D7" s="3399"/>
      <c r="E7" s="3418" t="s">
        <v>2927</v>
      </c>
      <c r="F7" s="3419"/>
      <c r="G7" s="3398" t="s">
        <v>2928</v>
      </c>
      <c r="H7" s="3399"/>
      <c r="I7" s="3398" t="s">
        <v>2929</v>
      </c>
      <c r="J7" s="3399"/>
      <c r="K7" s="513"/>
      <c r="L7" s="2118"/>
      <c r="M7" s="2119"/>
      <c r="N7" s="2119"/>
      <c r="O7" s="2119"/>
      <c r="P7" s="3386"/>
      <c r="Q7" s="3387"/>
      <c r="R7" s="3392"/>
      <c r="S7" s="3393"/>
      <c r="T7" s="3392"/>
      <c r="U7" s="3393"/>
      <c r="V7" s="3377"/>
      <c r="W7" s="3377"/>
      <c r="X7" s="1553"/>
      <c r="Y7" s="3392"/>
      <c r="Z7" s="3393"/>
      <c r="AA7" s="3380"/>
      <c r="AB7" s="3380"/>
      <c r="AC7" s="3380"/>
    </row>
    <row r="8" spans="1:29" ht="15.75" thickBot="1">
      <c r="A8" s="516"/>
      <c r="B8" s="517"/>
      <c r="C8" s="3396" t="s">
        <v>2930</v>
      </c>
      <c r="D8" s="3397"/>
      <c r="E8" s="3414" t="s">
        <v>2930</v>
      </c>
      <c r="F8" s="3415"/>
      <c r="G8" s="3396" t="s">
        <v>2930</v>
      </c>
      <c r="H8" s="3397"/>
      <c r="I8" s="3396" t="s">
        <v>2930</v>
      </c>
      <c r="J8" s="3397"/>
      <c r="K8" s="513" t="s">
        <v>528</v>
      </c>
      <c r="L8" s="2118"/>
      <c r="M8" s="2119"/>
      <c r="N8" s="2119"/>
      <c r="O8" s="2119"/>
      <c r="P8" s="3388"/>
      <c r="Q8" s="3389"/>
      <c r="R8" s="3392"/>
      <c r="S8" s="3393"/>
      <c r="T8" s="3394"/>
      <c r="U8" s="3395"/>
      <c r="V8" s="3377"/>
      <c r="W8" s="3377"/>
      <c r="X8" s="1553"/>
      <c r="Y8" s="3394"/>
      <c r="Z8" s="3395"/>
      <c r="AA8" s="3381"/>
      <c r="AB8" s="3381"/>
      <c r="AC8" s="3381"/>
    </row>
    <row r="9" spans="1:29" s="1215" customFormat="1" ht="15.75" thickBot="1">
      <c r="A9" s="2866"/>
      <c r="B9" s="2873" t="s">
        <v>529</v>
      </c>
      <c r="C9" s="518">
        <f>'数据-取费表'!B2</f>
        <v>43754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07" t="s">
        <v>530</v>
      </c>
      <c r="Q9" s="3409"/>
      <c r="R9" s="1554" t="s">
        <v>8</v>
      </c>
      <c r="S9" s="1555">
        <f t="shared" ref="S9:S17" si="0">F9</f>
        <v>0</v>
      </c>
      <c r="T9" s="1554" t="s">
        <v>8</v>
      </c>
      <c r="U9" s="1555">
        <f t="shared" ref="U9:U17" si="1">H9</f>
        <v>0</v>
      </c>
      <c r="V9" s="1554" t="s">
        <v>8</v>
      </c>
      <c r="W9" s="1555">
        <f t="shared" ref="W9:W17" si="2">J9</f>
        <v>0</v>
      </c>
      <c r="X9" s="1556"/>
      <c r="Y9" s="3407" t="s">
        <v>530</v>
      </c>
      <c r="Z9" s="3408"/>
      <c r="AA9" s="1557" t="e">
        <f>D9/F9</f>
        <v>#DIV/0!</v>
      </c>
      <c r="AB9" s="1557" t="e">
        <f>D9/H9</f>
        <v>#DIV/0!</v>
      </c>
      <c r="AC9" s="1557"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07" t="s">
        <v>533</v>
      </c>
      <c r="Q10" s="3408"/>
      <c r="R10" s="1554" t="s">
        <v>8</v>
      </c>
      <c r="S10" s="1555">
        <f t="shared" si="0"/>
        <v>0</v>
      </c>
      <c r="T10" s="1554" t="s">
        <v>8</v>
      </c>
      <c r="U10" s="1555">
        <f t="shared" si="1"/>
        <v>0</v>
      </c>
      <c r="V10" s="1554" t="s">
        <v>8</v>
      </c>
      <c r="W10" s="1555">
        <f t="shared" si="2"/>
        <v>0</v>
      </c>
      <c r="X10" s="1556"/>
      <c r="Y10" s="3407" t="s">
        <v>533</v>
      </c>
      <c r="Z10" s="3408"/>
      <c r="AA10" s="1557" t="e">
        <f t="shared" ref="AA10:AA42" si="3">D10/F10</f>
        <v>#DIV/0!</v>
      </c>
      <c r="AB10" s="1557" t="e">
        <f t="shared" ref="AB10:AB42" si="4">D10/H10</f>
        <v>#DIV/0!</v>
      </c>
      <c r="AC10" s="1557" t="e">
        <f t="shared" ref="AC10:AC42" si="5">D10/J10</f>
        <v>#DIV/0!</v>
      </c>
    </row>
    <row r="11" spans="1:29" s="1215"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6" t="s">
        <v>535</v>
      </c>
      <c r="Q11" s="1146" t="str">
        <f t="shared" ref="Q11:Q17" si="6">B11</f>
        <v>用途</v>
      </c>
      <c r="R11" s="1554" t="s">
        <v>8</v>
      </c>
      <c r="S11" s="1555">
        <f t="shared" si="0"/>
        <v>100</v>
      </c>
      <c r="T11" s="1554" t="s">
        <v>8</v>
      </c>
      <c r="U11" s="1555">
        <f t="shared" si="1"/>
        <v>100</v>
      </c>
      <c r="V11" s="1554" t="s">
        <v>8</v>
      </c>
      <c r="W11" s="1555">
        <f t="shared" si="2"/>
        <v>100</v>
      </c>
      <c r="X11" s="1556"/>
      <c r="Y11" s="3322" t="s">
        <v>536</v>
      </c>
      <c r="Z11" s="1145" t="str">
        <f t="shared" ref="Z11:Z17" si="7">Q11</f>
        <v>用途</v>
      </c>
      <c r="AA11" s="1557">
        <f t="shared" si="3"/>
        <v>1</v>
      </c>
      <c r="AB11" s="1557">
        <f t="shared" si="4"/>
        <v>1</v>
      </c>
      <c r="AC11" s="1557">
        <f t="shared" si="5"/>
        <v>1</v>
      </c>
    </row>
    <row r="12" spans="1:29" s="1333" customFormat="1" ht="27">
      <c r="A12" s="2869"/>
      <c r="B12" s="2874" t="s">
        <v>2756</v>
      </c>
      <c r="C12" s="527"/>
      <c r="D12" s="254">
        <v>100</v>
      </c>
      <c r="E12" s="527"/>
      <c r="F12" s="254">
        <f>ROUND(100/'数据-取费表'!G16,0)</f>
        <v>101</v>
      </c>
      <c r="G12" s="527"/>
      <c r="H12" s="254">
        <f>ROUND(100/'数据-取费表'!G16,0)</f>
        <v>101</v>
      </c>
      <c r="I12" s="527"/>
      <c r="J12" s="254">
        <f>ROUND(100/'数据-取费表'!G16,0)</f>
        <v>101</v>
      </c>
      <c r="K12" s="530"/>
      <c r="L12" s="2123"/>
      <c r="M12" s="2163"/>
      <c r="N12" s="2163"/>
      <c r="O12" s="2124"/>
      <c r="P12" s="3376"/>
      <c r="Q12" s="1146" t="str">
        <f t="shared" si="6"/>
        <v>土地使用年限（年）</v>
      </c>
      <c r="R12" s="1554" t="s">
        <v>8</v>
      </c>
      <c r="S12" s="1555">
        <f t="shared" si="0"/>
        <v>101</v>
      </c>
      <c r="T12" s="1554" t="s">
        <v>8</v>
      </c>
      <c r="U12" s="1555">
        <f t="shared" si="1"/>
        <v>101</v>
      </c>
      <c r="V12" s="1554" t="s">
        <v>8</v>
      </c>
      <c r="W12" s="1555">
        <f t="shared" si="2"/>
        <v>101</v>
      </c>
      <c r="X12" s="1556"/>
      <c r="Y12" s="3322"/>
      <c r="Z12" s="1145" t="str">
        <f t="shared" si="7"/>
        <v>土地使用年限（年）</v>
      </c>
      <c r="AA12" s="1557">
        <f t="shared" si="3"/>
        <v>0.99009900990099009</v>
      </c>
      <c r="AB12" s="1557">
        <f t="shared" si="4"/>
        <v>0.99009900990099009</v>
      </c>
      <c r="AC12" s="1557">
        <f t="shared" si="5"/>
        <v>0.99009900990099009</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6"/>
      <c r="Q13" s="1146" t="str">
        <f t="shared" si="6"/>
        <v>容积率</v>
      </c>
      <c r="R13" s="1554" t="s">
        <v>8</v>
      </c>
      <c r="S13" s="1555" t="e">
        <f t="shared" si="0"/>
        <v>#N/A</v>
      </c>
      <c r="T13" s="1554" t="s">
        <v>8</v>
      </c>
      <c r="U13" s="1555" t="e">
        <f t="shared" si="1"/>
        <v>#N/A</v>
      </c>
      <c r="V13" s="1554" t="s">
        <v>8</v>
      </c>
      <c r="W13" s="1555" t="e">
        <f t="shared" si="2"/>
        <v>#N/A</v>
      </c>
      <c r="X13" s="1556"/>
      <c r="Y13" s="3322"/>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6"/>
      <c r="Q14" s="1146">
        <f t="shared" si="6"/>
        <v>111</v>
      </c>
      <c r="R14" s="1554" t="s">
        <v>8</v>
      </c>
      <c r="S14" s="1555">
        <f t="shared" si="0"/>
        <v>100</v>
      </c>
      <c r="T14" s="1554" t="s">
        <v>8</v>
      </c>
      <c r="U14" s="1555">
        <f t="shared" si="1"/>
        <v>100</v>
      </c>
      <c r="V14" s="1554" t="s">
        <v>8</v>
      </c>
      <c r="W14" s="1555">
        <f t="shared" si="2"/>
        <v>100</v>
      </c>
      <c r="X14" s="1556"/>
      <c r="Y14" s="3322"/>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6"/>
      <c r="Q15" s="1146">
        <f t="shared" si="6"/>
        <v>111</v>
      </c>
      <c r="R15" s="1554" t="s">
        <v>8</v>
      </c>
      <c r="S15" s="1555">
        <f t="shared" si="0"/>
        <v>100</v>
      </c>
      <c r="T15" s="1554" t="s">
        <v>8</v>
      </c>
      <c r="U15" s="1555">
        <f t="shared" si="1"/>
        <v>100</v>
      </c>
      <c r="V15" s="1554" t="s">
        <v>8</v>
      </c>
      <c r="W15" s="1555">
        <f t="shared" si="2"/>
        <v>100</v>
      </c>
      <c r="X15" s="1556"/>
      <c r="Y15" s="3322"/>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6"/>
      <c r="Q16" s="1146">
        <f t="shared" si="6"/>
        <v>111</v>
      </c>
      <c r="R16" s="1554" t="s">
        <v>8</v>
      </c>
      <c r="S16" s="1555">
        <f t="shared" si="0"/>
        <v>100</v>
      </c>
      <c r="T16" s="1554" t="s">
        <v>8</v>
      </c>
      <c r="U16" s="1555">
        <f t="shared" si="1"/>
        <v>100</v>
      </c>
      <c r="V16" s="1554" t="s">
        <v>8</v>
      </c>
      <c r="W16" s="1555">
        <f t="shared" si="2"/>
        <v>100</v>
      </c>
      <c r="X16" s="1556"/>
      <c r="Y16" s="3322"/>
      <c r="Z16" s="1145">
        <f t="shared" si="7"/>
        <v>111</v>
      </c>
      <c r="AA16" s="1557">
        <f t="shared" si="3"/>
        <v>1</v>
      </c>
      <c r="AB16" s="1557">
        <f t="shared" si="4"/>
        <v>1</v>
      </c>
      <c r="AC16" s="1557">
        <f t="shared" si="5"/>
        <v>1</v>
      </c>
    </row>
    <row r="17" spans="1:29" ht="57">
      <c r="A17" s="2864"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10" t="s">
        <v>540</v>
      </c>
      <c r="Q17" s="1558" t="str">
        <f t="shared" si="6"/>
        <v>产业集聚程度</v>
      </c>
      <c r="R17" s="1559" t="s">
        <v>8</v>
      </c>
      <c r="S17" s="1560">
        <f t="shared" si="0"/>
        <v>100</v>
      </c>
      <c r="T17" s="1559" t="s">
        <v>8</v>
      </c>
      <c r="U17" s="1560">
        <f t="shared" si="1"/>
        <v>100</v>
      </c>
      <c r="V17" s="1559" t="s">
        <v>8</v>
      </c>
      <c r="W17" s="1560">
        <f t="shared" si="2"/>
        <v>100</v>
      </c>
      <c r="X17" s="1553"/>
      <c r="Y17" s="3410"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11"/>
      <c r="Q18" s="1558"/>
      <c r="R18" s="1559"/>
      <c r="S18" s="1560"/>
      <c r="T18" s="1559"/>
      <c r="U18" s="1560"/>
      <c r="V18" s="1559"/>
      <c r="W18" s="1560"/>
      <c r="X18" s="1553"/>
      <c r="Y18" s="3411"/>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11"/>
      <c r="Q19" s="1558" t="str">
        <f>B19</f>
        <v>交通便捷度</v>
      </c>
      <c r="R19" s="1559" t="s">
        <v>8</v>
      </c>
      <c r="S19" s="1560">
        <f>F19</f>
        <v>100</v>
      </c>
      <c r="T19" s="1559" t="s">
        <v>8</v>
      </c>
      <c r="U19" s="1560">
        <f>H19</f>
        <v>100</v>
      </c>
      <c r="V19" s="1559" t="s">
        <v>8</v>
      </c>
      <c r="W19" s="1560">
        <f>J19</f>
        <v>100</v>
      </c>
      <c r="X19" s="1553"/>
      <c r="Y19" s="3411"/>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11"/>
      <c r="Q20" s="1558"/>
      <c r="R20" s="1559"/>
      <c r="S20" s="1560"/>
      <c r="T20" s="1559"/>
      <c r="U20" s="1560"/>
      <c r="V20" s="1559"/>
      <c r="W20" s="1560"/>
      <c r="X20" s="1553"/>
      <c r="Y20" s="3411"/>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11"/>
      <c r="Q21" s="1558" t="str">
        <f t="shared" ref="Q21:Q35" si="8">B21</f>
        <v>区域土地利用方向</v>
      </c>
      <c r="R21" s="1559" t="s">
        <v>8</v>
      </c>
      <c r="S21" s="1560">
        <f>F21</f>
        <v>100</v>
      </c>
      <c r="T21" s="1559" t="s">
        <v>8</v>
      </c>
      <c r="U21" s="1560">
        <f>H21</f>
        <v>100</v>
      </c>
      <c r="V21" s="1559" t="s">
        <v>8</v>
      </c>
      <c r="W21" s="1560">
        <f>J21</f>
        <v>100</v>
      </c>
      <c r="X21" s="1553"/>
      <c r="Y21" s="3411"/>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11"/>
      <c r="Q22" s="1558"/>
      <c r="R22" s="1559"/>
      <c r="S22" s="1560"/>
      <c r="T22" s="1559"/>
      <c r="U22" s="1560"/>
      <c r="V22" s="1559"/>
      <c r="W22" s="1560"/>
      <c r="X22" s="1553"/>
      <c r="Y22" s="3411"/>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11"/>
      <c r="Q23" s="1558" t="str">
        <f t="shared" si="8"/>
        <v>环境状况</v>
      </c>
      <c r="R23" s="1559" t="s">
        <v>8</v>
      </c>
      <c r="S23" s="1560">
        <f>F23</f>
        <v>100</v>
      </c>
      <c r="T23" s="1559" t="s">
        <v>8</v>
      </c>
      <c r="U23" s="1560">
        <f>H23</f>
        <v>100</v>
      </c>
      <c r="V23" s="1559" t="s">
        <v>8</v>
      </c>
      <c r="W23" s="1560">
        <f>J23</f>
        <v>100</v>
      </c>
      <c r="X23" s="1553"/>
      <c r="Y23" s="3411"/>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11"/>
      <c r="Q24" s="1558"/>
      <c r="R24" s="1559"/>
      <c r="S24" s="1560"/>
      <c r="T24" s="1559"/>
      <c r="U24" s="1560"/>
      <c r="V24" s="1559"/>
      <c r="W24" s="1560"/>
      <c r="X24" s="1553"/>
      <c r="Y24" s="3411"/>
      <c r="Z24" s="1561"/>
      <c r="AA24" s="1562">
        <v>1</v>
      </c>
      <c r="AB24" s="1562">
        <v>1</v>
      </c>
      <c r="AC24" s="1562">
        <v>1</v>
      </c>
    </row>
    <row r="25" spans="1:29" s="1215" customFormat="1" ht="42.75">
      <c r="A25" s="576"/>
      <c r="B25" s="255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11"/>
      <c r="Q25" s="1146" t="str">
        <f t="shared" si="8"/>
        <v>公共配套设施</v>
      </c>
      <c r="R25" s="1554" t="s">
        <v>8</v>
      </c>
      <c r="S25" s="1555">
        <f>F25</f>
        <v>100</v>
      </c>
      <c r="T25" s="1554" t="s">
        <v>8</v>
      </c>
      <c r="U25" s="1555">
        <f>H25</f>
        <v>100</v>
      </c>
      <c r="V25" s="1554" t="s">
        <v>8</v>
      </c>
      <c r="W25" s="1555">
        <f>J25</f>
        <v>100</v>
      </c>
      <c r="X25" s="1556"/>
      <c r="Y25" s="3411"/>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11"/>
      <c r="Q26" s="1146"/>
      <c r="R26" s="1554"/>
      <c r="S26" s="1555"/>
      <c r="T26" s="1554"/>
      <c r="U26" s="1555"/>
      <c r="V26" s="1554"/>
      <c r="W26" s="1555"/>
      <c r="X26" s="1556"/>
      <c r="Y26" s="3411"/>
      <c r="Z26" s="1145"/>
      <c r="AA26" s="1557">
        <v>1</v>
      </c>
      <c r="AB26" s="1557">
        <v>1</v>
      </c>
      <c r="AC26" s="1557">
        <v>1</v>
      </c>
    </row>
    <row r="27" spans="1:29" s="1215" customFormat="1" ht="28.5">
      <c r="A27" s="576"/>
      <c r="B27" s="255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11"/>
      <c r="Q27" s="2542" t="str">
        <f t="shared" ref="Q27" si="9">B27</f>
        <v>基础设施水平</v>
      </c>
      <c r="R27" s="1554" t="s">
        <v>8</v>
      </c>
      <c r="S27" s="1555">
        <f>F27</f>
        <v>100</v>
      </c>
      <c r="T27" s="1554" t="s">
        <v>8</v>
      </c>
      <c r="U27" s="1555">
        <f>H27</f>
        <v>100</v>
      </c>
      <c r="V27" s="1554" t="s">
        <v>8</v>
      </c>
      <c r="W27" s="1555">
        <f>J27</f>
        <v>100</v>
      </c>
      <c r="X27" s="1556"/>
      <c r="Y27" s="3411"/>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11"/>
      <c r="Q28" s="2542"/>
      <c r="R28" s="1554"/>
      <c r="S28" s="1555"/>
      <c r="T28" s="1554"/>
      <c r="U28" s="1555"/>
      <c r="V28" s="1554"/>
      <c r="W28" s="1555"/>
      <c r="X28" s="1556"/>
      <c r="Y28" s="3411"/>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1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1"/>
      <c r="Z29" s="1561" t="str">
        <f t="shared" ref="Z29:Z42" si="13">Q29</f>
        <v>临街状况</v>
      </c>
      <c r="AA29" s="1562">
        <f t="shared" si="3"/>
        <v>1</v>
      </c>
      <c r="AB29" s="1562">
        <f t="shared" si="4"/>
        <v>1</v>
      </c>
      <c r="AC29" s="1562">
        <f t="shared" si="5"/>
        <v>1</v>
      </c>
    </row>
    <row r="30" spans="1:29" ht="27">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11"/>
      <c r="Q30" s="1558" t="str">
        <f t="shared" si="8"/>
        <v>毗邻道路的类型与等级</v>
      </c>
      <c r="R30" s="1559" t="s">
        <v>8</v>
      </c>
      <c r="S30" s="1560">
        <f t="shared" si="10"/>
        <v>100</v>
      </c>
      <c r="T30" s="1559" t="s">
        <v>8</v>
      </c>
      <c r="U30" s="1560">
        <f t="shared" si="11"/>
        <v>100</v>
      </c>
      <c r="V30" s="1559" t="s">
        <v>8</v>
      </c>
      <c r="W30" s="1560">
        <f t="shared" si="12"/>
        <v>100</v>
      </c>
      <c r="X30" s="1553"/>
      <c r="Y30" s="3411"/>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11"/>
      <c r="Q31" s="1558"/>
      <c r="R31" s="1559"/>
      <c r="S31" s="1560"/>
      <c r="T31" s="1559"/>
      <c r="U31" s="1560"/>
      <c r="V31" s="1559"/>
      <c r="W31" s="1560"/>
      <c r="X31" s="1553"/>
      <c r="Y31" s="3411"/>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11"/>
      <c r="Q32" s="1558" t="str">
        <f t="shared" si="8"/>
        <v>土地级别</v>
      </c>
      <c r="R32" s="1559" t="s">
        <v>8</v>
      </c>
      <c r="S32" s="1560">
        <f t="shared" si="10"/>
        <v>100</v>
      </c>
      <c r="T32" s="1559" t="s">
        <v>8</v>
      </c>
      <c r="U32" s="1560">
        <f t="shared" si="11"/>
        <v>100</v>
      </c>
      <c r="V32" s="1559" t="s">
        <v>8</v>
      </c>
      <c r="W32" s="1560">
        <f t="shared" si="12"/>
        <v>100</v>
      </c>
      <c r="X32" s="1553"/>
      <c r="Y32" s="3411"/>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11"/>
      <c r="Q33" s="1558">
        <f t="shared" si="8"/>
        <v>111</v>
      </c>
      <c r="R33" s="1559" t="s">
        <v>8</v>
      </c>
      <c r="S33" s="1560">
        <f t="shared" si="10"/>
        <v>100</v>
      </c>
      <c r="T33" s="1559" t="s">
        <v>8</v>
      </c>
      <c r="U33" s="1560">
        <f t="shared" si="11"/>
        <v>100</v>
      </c>
      <c r="V33" s="1559" t="s">
        <v>8</v>
      </c>
      <c r="W33" s="1560">
        <f t="shared" si="12"/>
        <v>100</v>
      </c>
      <c r="X33" s="1553"/>
      <c r="Y33" s="3411"/>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12" t="s">
        <v>550</v>
      </c>
      <c r="Q34" s="1558">
        <f t="shared" si="8"/>
        <v>111</v>
      </c>
      <c r="R34" s="1559" t="s">
        <v>8</v>
      </c>
      <c r="S34" s="1560">
        <f t="shared" si="10"/>
        <v>100</v>
      </c>
      <c r="T34" s="1559" t="s">
        <v>8</v>
      </c>
      <c r="U34" s="1560">
        <f t="shared" si="11"/>
        <v>100</v>
      </c>
      <c r="V34" s="1559" t="s">
        <v>8</v>
      </c>
      <c r="W34" s="1560">
        <f t="shared" si="12"/>
        <v>100</v>
      </c>
      <c r="X34" s="1553"/>
      <c r="Y34" s="3413" t="s">
        <v>550</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3"/>
      <c r="Q35" s="1558">
        <f t="shared" si="8"/>
        <v>111</v>
      </c>
      <c r="R35" s="1563" t="s">
        <v>8</v>
      </c>
      <c r="S35" s="1564">
        <f t="shared" si="10"/>
        <v>100</v>
      </c>
      <c r="T35" s="1563" t="s">
        <v>8</v>
      </c>
      <c r="U35" s="1564">
        <f t="shared" si="11"/>
        <v>100</v>
      </c>
      <c r="V35" s="1563" t="s">
        <v>8</v>
      </c>
      <c r="W35" s="1564">
        <f t="shared" si="12"/>
        <v>100</v>
      </c>
      <c r="X35" s="1565"/>
      <c r="Y35" s="3413"/>
      <c r="Z35" s="1566">
        <f t="shared" si="13"/>
        <v>111</v>
      </c>
      <c r="AA35" s="1562">
        <f t="shared" si="3"/>
        <v>1</v>
      </c>
      <c r="AB35" s="1562">
        <f t="shared" si="4"/>
        <v>1</v>
      </c>
      <c r="AC35" s="1562">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3"/>
      <c r="Q36" s="1558" t="str">
        <f>B36</f>
        <v>宗地面积</v>
      </c>
      <c r="R36" s="1559" t="s">
        <v>8</v>
      </c>
      <c r="S36" s="1560" t="e">
        <f t="shared" si="10"/>
        <v>#N/A</v>
      </c>
      <c r="T36" s="1559" t="s">
        <v>8</v>
      </c>
      <c r="U36" s="1560" t="e">
        <f t="shared" si="11"/>
        <v>#N/A</v>
      </c>
      <c r="V36" s="1559" t="s">
        <v>8</v>
      </c>
      <c r="W36" s="1560" t="e">
        <f t="shared" si="12"/>
        <v>#N/A</v>
      </c>
      <c r="X36" s="1553"/>
      <c r="Y36" s="3413"/>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3"/>
      <c r="Q37" s="1558" t="str">
        <f t="shared" ref="Q37:Q42" si="14">B37</f>
        <v>宗地形状</v>
      </c>
      <c r="R37" s="1559" t="s">
        <v>8</v>
      </c>
      <c r="S37" s="1560">
        <f t="shared" si="10"/>
        <v>100</v>
      </c>
      <c r="T37" s="1559" t="s">
        <v>8</v>
      </c>
      <c r="U37" s="1560">
        <f t="shared" si="11"/>
        <v>100</v>
      </c>
      <c r="V37" s="1559" t="s">
        <v>8</v>
      </c>
      <c r="W37" s="1560">
        <f t="shared" si="12"/>
        <v>100</v>
      </c>
      <c r="X37" s="1553"/>
      <c r="Y37" s="3413"/>
      <c r="Z37" s="1561" t="str">
        <f t="shared" si="13"/>
        <v>宗地形状</v>
      </c>
      <c r="AA37" s="1562">
        <f t="shared" si="3"/>
        <v>1</v>
      </c>
      <c r="AB37" s="1562">
        <f t="shared" si="4"/>
        <v>1</v>
      </c>
      <c r="AC37" s="1562">
        <f t="shared" si="5"/>
        <v>1</v>
      </c>
    </row>
    <row r="38" spans="1:29" s="1215" customFormat="1" ht="15">
      <c r="A38" s="599"/>
      <c r="B38" s="1880"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3"/>
      <c r="Q38" s="1558" t="str">
        <f t="shared" si="14"/>
        <v>宗地开发程度</v>
      </c>
      <c r="R38" s="1554" t="s">
        <v>8</v>
      </c>
      <c r="S38" s="1555">
        <f t="shared" si="10"/>
        <v>100</v>
      </c>
      <c r="T38" s="1554" t="s">
        <v>8</v>
      </c>
      <c r="U38" s="1555">
        <f t="shared" si="11"/>
        <v>100</v>
      </c>
      <c r="V38" s="1554" t="s">
        <v>8</v>
      </c>
      <c r="W38" s="1555">
        <f t="shared" si="12"/>
        <v>100</v>
      </c>
      <c r="X38" s="1556"/>
      <c r="Y38" s="3413"/>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3" t="s">
        <v>601</v>
      </c>
      <c r="Q39" s="1558" t="str">
        <f t="shared" si="14"/>
        <v>工程地质条件</v>
      </c>
      <c r="R39" s="1559" t="s">
        <v>8</v>
      </c>
      <c r="S39" s="1560">
        <f t="shared" si="10"/>
        <v>100</v>
      </c>
      <c r="T39" s="1559" t="s">
        <v>8</v>
      </c>
      <c r="U39" s="1560">
        <f t="shared" si="11"/>
        <v>100</v>
      </c>
      <c r="V39" s="1559" t="s">
        <v>8</v>
      </c>
      <c r="W39" s="1560">
        <f t="shared" si="12"/>
        <v>100</v>
      </c>
      <c r="X39" s="1553"/>
      <c r="Y39" s="3413"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3"/>
      <c r="Q40" s="1558">
        <f t="shared" si="14"/>
        <v>111</v>
      </c>
      <c r="R40" s="1559" t="s">
        <v>8</v>
      </c>
      <c r="S40" s="1560">
        <f t="shared" si="10"/>
        <v>100</v>
      </c>
      <c r="T40" s="1559" t="s">
        <v>8</v>
      </c>
      <c r="U40" s="1560">
        <f t="shared" si="11"/>
        <v>100</v>
      </c>
      <c r="V40" s="1559" t="s">
        <v>8</v>
      </c>
      <c r="W40" s="1560">
        <f t="shared" si="12"/>
        <v>100</v>
      </c>
      <c r="X40" s="1553"/>
      <c r="Y40" s="3413"/>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3"/>
      <c r="Q41" s="1558">
        <f t="shared" si="14"/>
        <v>111</v>
      </c>
      <c r="R41" s="1559" t="s">
        <v>8</v>
      </c>
      <c r="S41" s="1560">
        <f t="shared" si="10"/>
        <v>100</v>
      </c>
      <c r="T41" s="1559" t="s">
        <v>8</v>
      </c>
      <c r="U41" s="1560">
        <f t="shared" si="11"/>
        <v>100</v>
      </c>
      <c r="V41" s="1559" t="s">
        <v>8</v>
      </c>
      <c r="W41" s="1560">
        <f t="shared" si="12"/>
        <v>100</v>
      </c>
      <c r="X41" s="1553"/>
      <c r="Y41" s="3413"/>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3"/>
      <c r="Q42" s="1558">
        <f t="shared" si="14"/>
        <v>111</v>
      </c>
      <c r="R42" s="1563" t="s">
        <v>8</v>
      </c>
      <c r="S42" s="1564">
        <f t="shared" si="10"/>
        <v>100</v>
      </c>
      <c r="T42" s="1563" t="s">
        <v>8</v>
      </c>
      <c r="U42" s="1564">
        <f t="shared" si="11"/>
        <v>100</v>
      </c>
      <c r="V42" s="1563" t="s">
        <v>8</v>
      </c>
      <c r="W42" s="1564">
        <f t="shared" si="12"/>
        <v>100</v>
      </c>
      <c r="X42" s="1565"/>
      <c r="Y42" s="3413"/>
      <c r="Z42" s="1566">
        <f t="shared" si="13"/>
        <v>111</v>
      </c>
      <c r="AA42" s="1562">
        <f t="shared" si="3"/>
        <v>1</v>
      </c>
      <c r="AB42" s="1562">
        <f t="shared" si="4"/>
        <v>1</v>
      </c>
      <c r="AC42" s="1562">
        <f t="shared" si="5"/>
        <v>1</v>
      </c>
    </row>
    <row r="43" spans="1:29" ht="15">
      <c r="A43" s="606" t="s">
        <v>556</v>
      </c>
      <c r="B43" s="607" t="s">
        <v>2931</v>
      </c>
      <c r="C43" s="608" t="s">
        <v>1</v>
      </c>
      <c r="D43" s="609"/>
      <c r="E43" s="610"/>
      <c r="F43" s="611"/>
      <c r="G43" s="612"/>
      <c r="H43" s="613"/>
      <c r="I43" s="610"/>
      <c r="J43" s="613"/>
      <c r="K43" s="1335"/>
      <c r="L43" s="2129"/>
      <c r="M43" s="2119"/>
      <c r="N43" s="2119"/>
      <c r="O43" s="2130"/>
      <c r="P43" s="3376" t="str">
        <f>A43</f>
        <v>成交单价</v>
      </c>
      <c r="Q43" s="3376"/>
      <c r="R43" s="3377">
        <f>E43</f>
        <v>0</v>
      </c>
      <c r="S43" s="3377"/>
      <c r="T43" s="3377">
        <f>G43</f>
        <v>0</v>
      </c>
      <c r="U43" s="3377"/>
      <c r="V43" s="3377">
        <f>I43</f>
        <v>0</v>
      </c>
      <c r="W43" s="3377"/>
      <c r="X43" s="1545"/>
      <c r="Y43" s="1567"/>
      <c r="Z43" s="1545"/>
      <c r="AA43" s="1545"/>
      <c r="AB43" s="1545"/>
      <c r="AC43" s="1545"/>
    </row>
    <row r="44" spans="1:29" ht="15.75" thickBot="1">
      <c r="A44" s="614" t="s">
        <v>2692</v>
      </c>
      <c r="B44" s="615"/>
      <c r="C44" s="616" t="e">
        <f>R45</f>
        <v>#DIV/0!</v>
      </c>
      <c r="D44" s="617"/>
      <c r="E44" s="616" t="e">
        <f>R44</f>
        <v>#DIV/0!</v>
      </c>
      <c r="F44" s="618"/>
      <c r="G44" s="619" t="e">
        <f>T44</f>
        <v>#DIV/0!</v>
      </c>
      <c r="H44" s="617"/>
      <c r="I44" s="616" t="e">
        <f>V44</f>
        <v>#DIV/0!</v>
      </c>
      <c r="J44" s="617"/>
      <c r="K44" s="1336"/>
      <c r="L44" s="2129"/>
      <c r="M44" s="2119"/>
      <c r="N44" s="2119"/>
      <c r="O44" s="2130"/>
      <c r="P44" s="3376" t="str">
        <f>A44</f>
        <v>比较价格（元/平方米）</v>
      </c>
      <c r="Q44" s="3376"/>
      <c r="R44" s="3378" t="e">
        <f>ROUND(PRODUCT(R43,AA9:AA42),0)</f>
        <v>#DIV/0!</v>
      </c>
      <c r="S44" s="3378"/>
      <c r="T44" s="3378" t="e">
        <f>ROUND(PRODUCT(T43,AB9:AB42),0)</f>
        <v>#DIV/0!</v>
      </c>
      <c r="U44" s="3378"/>
      <c r="V44" s="3378" t="e">
        <f>ROUND(PRODUCT(V43,AC9:AC42),0)</f>
        <v>#DIV/0!</v>
      </c>
      <c r="W44" s="3378"/>
      <c r="X44" s="1545"/>
      <c r="Y44" s="1545"/>
      <c r="Z44" s="1545"/>
      <c r="AA44" s="1545"/>
      <c r="AB44" s="1545"/>
      <c r="AC44" s="1545"/>
    </row>
    <row r="45" spans="1:29" ht="15.75" thickBot="1">
      <c r="A45" s="620" t="s">
        <v>2932</v>
      </c>
      <c r="B45" s="621"/>
      <c r="C45" s="622" t="e">
        <f>R45</f>
        <v>#DIV/0!</v>
      </c>
      <c r="D45" s="622"/>
      <c r="E45" s="622"/>
      <c r="F45" s="622"/>
      <c r="G45" s="622"/>
      <c r="H45" s="622"/>
      <c r="I45" s="622"/>
      <c r="J45" s="622"/>
      <c r="K45" s="1337"/>
      <c r="L45" s="2129"/>
      <c r="M45" s="2119"/>
      <c r="N45" s="2119"/>
      <c r="O45" s="2130"/>
      <c r="P45" s="3373" t="str">
        <f>A45</f>
        <v>估价对象XX用房的比较价格（楼面单价，元/平方米）</v>
      </c>
      <c r="Q45" s="3374"/>
      <c r="R45" s="3375" t="e">
        <f>ROUND(AVERAGE(R44:V44),0)</f>
        <v>#DIV/0!</v>
      </c>
      <c r="S45" s="3375"/>
      <c r="T45" s="3375"/>
      <c r="U45" s="3375"/>
      <c r="V45" s="3375"/>
      <c r="W45" s="337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1724</v>
      </c>
      <c r="D52" s="2212" t="s">
        <v>2293</v>
      </c>
      <c r="E52" s="630" t="s">
        <v>562</v>
      </c>
      <c r="F52" s="1936" t="s">
        <v>563</v>
      </c>
      <c r="G52" s="3420" t="s">
        <v>2284</v>
      </c>
      <c r="H52" s="3421"/>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12319.68</v>
      </c>
      <c r="F53" s="1935" t="e">
        <f t="shared" ref="F53:F62" si="15">ROUND(B53*E53/10000,0)</f>
        <v>#DIV/0!</v>
      </c>
      <c r="G53" s="3422"/>
      <c r="H53" s="342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24"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2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2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2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2328</v>
      </c>
      <c r="B58" s="637" t="e">
        <f t="shared" si="17"/>
        <v>#DIV/0!</v>
      </c>
      <c r="C58" s="377">
        <f t="shared" si="16"/>
        <v>0</v>
      </c>
      <c r="D58" s="2214">
        <v>0.25</v>
      </c>
      <c r="E58" s="640">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7361.87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2294</v>
      </c>
      <c r="E63" s="642">
        <f>IF(B43="楼面地价",SUM(E53:E62),'数据-汇总表'!D3)</f>
        <v>8596.9599999999991</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8" t="str">
        <f>"北京市平均增长率"&amp;TEXT(基准地价!P24,"0.00%")</f>
        <v>北京市平均增长率1.34%</v>
      </c>
      <c r="C68" s="893">
        <v>100</v>
      </c>
      <c r="D68" s="729"/>
      <c r="E68" s="729"/>
      <c r="F68" s="729"/>
      <c r="G68" s="729"/>
      <c r="H68" s="729"/>
      <c r="I68" s="729"/>
      <c r="J68" s="729"/>
      <c r="K68" s="729"/>
      <c r="L68" s="729"/>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2548</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2550</v>
      </c>
      <c r="C95" s="2562" t="s">
        <v>2551</v>
      </c>
      <c r="D95" s="2562" t="s">
        <v>2552</v>
      </c>
      <c r="E95" s="2562" t="s">
        <v>2553</v>
      </c>
      <c r="F95" s="2562" t="s">
        <v>2554</v>
      </c>
      <c r="G95" s="2562" t="s">
        <v>2555</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2425</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6"/>
      <c r="L4" s="1870" t="s">
        <v>2241</v>
      </c>
      <c r="M4" s="1871">
        <f>SUMPRODUCT((区片价!B49:B75=I2)*(区片价!C3:F3=E2)*(区片价!C49:F75))</f>
        <v>0</v>
      </c>
      <c r="N4" s="1872">
        <f>SUMPRODUCT((因素修正幅度!B49:B75=I2)*(因素修正幅度!C3:F3=E2)*(因素修正幅度!C49:F75))</f>
        <v>0</v>
      </c>
      <c r="O4" s="3146"/>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0" t="e">
        <f>ROUND(C6+C16,0)</f>
        <v>#DIV/0!</v>
      </c>
      <c r="E5" s="3070"/>
      <c r="F5" s="1412"/>
      <c r="G5" s="1413"/>
      <c r="H5" s="1413"/>
      <c r="I5" s="1413"/>
      <c r="J5" s="1414"/>
      <c r="K5" s="3147"/>
      <c r="L5" s="1870" t="s">
        <v>2242</v>
      </c>
      <c r="M5" s="1871">
        <f>SUMPRODUCT((区片价!B76:B109=I2)*(区片价!C3:F3=E2)*(区片价!C76:F109))</f>
        <v>0</v>
      </c>
      <c r="N5" s="1872">
        <f>SUMPRODUCT((因素修正幅度!B76:B109=I2)*(因素修正幅度!C3:F3=E2)*(因素修正幅度!C76:F109))</f>
        <v>0</v>
      </c>
      <c r="O5" s="3147"/>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36"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37"/>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26" t="s">
        <v>2782</v>
      </c>
      <c r="X8" s="3427"/>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7"/>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25" t="s">
        <v>2778</v>
      </c>
      <c r="X9" s="2885" t="s">
        <v>2779</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7"/>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7"/>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25"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6"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25"/>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8"/>
      <c r="B13" s="1440" t="s">
        <v>1696</v>
      </c>
      <c r="C13" s="1441" t="s">
        <v>1697</v>
      </c>
      <c r="D13" s="1084" t="s">
        <v>1698</v>
      </c>
      <c r="E13" s="1084" t="s">
        <v>1699</v>
      </c>
      <c r="F13" s="1442" t="s">
        <v>948</v>
      </c>
      <c r="G13" s="1443" t="s">
        <v>1642</v>
      </c>
      <c r="H13" s="1444" t="s">
        <v>1642</v>
      </c>
      <c r="I13" s="1445" t="s">
        <v>1642</v>
      </c>
      <c r="J13" s="1446" t="s">
        <v>1642</v>
      </c>
      <c r="K13" s="3162"/>
      <c r="L13" s="3162"/>
      <c r="M13" s="3162"/>
      <c r="N13" s="3162"/>
      <c r="O13" s="3162"/>
      <c r="P13" s="1397"/>
      <c r="Q13" s="2174"/>
      <c r="R13" s="2891">
        <v>12</v>
      </c>
      <c r="S13" s="2880"/>
      <c r="T13" s="2891" t="e">
        <f t="shared" si="0"/>
        <v>#DIV/0!</v>
      </c>
      <c r="U13" s="2880"/>
      <c r="V13" s="2891" t="e">
        <f t="shared" si="1"/>
        <v>#DIV/0!</v>
      </c>
      <c r="W13" s="3425"/>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8"/>
      <c r="B14" s="1447"/>
      <c r="C14" s="1448"/>
      <c r="D14" s="1449"/>
      <c r="E14" s="1449"/>
      <c r="F14" s="1450"/>
      <c r="G14" s="1451" t="s">
        <v>949</v>
      </c>
      <c r="H14" s="1452"/>
      <c r="I14" s="1453"/>
      <c r="J14" s="1454"/>
      <c r="K14" s="3148"/>
      <c r="L14" s="3148"/>
      <c r="M14" s="3148"/>
      <c r="N14" s="3148"/>
      <c r="O14" s="3148"/>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39"/>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36" t="s">
        <v>1838</v>
      </c>
      <c r="B16" s="1423" t="s">
        <v>950</v>
      </c>
      <c r="C16" s="1051" t="e">
        <f>ROUND(IF(F17="与级别开发程度一致",0,(G17-E17)/C17),0)</f>
        <v>#DIV/0!</v>
      </c>
      <c r="D16" s="3433" t="s">
        <v>954</v>
      </c>
      <c r="E16" s="3434"/>
      <c r="F16" s="3433" t="s">
        <v>951</v>
      </c>
      <c r="G16" s="3434"/>
      <c r="H16" s="1455"/>
      <c r="I16" s="1455"/>
      <c r="J16" s="1455"/>
      <c r="K16" s="1455"/>
      <c r="L16" s="1455"/>
      <c r="M16" s="1455"/>
      <c r="N16" s="1455"/>
      <c r="O16" s="3172"/>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40"/>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68" t="s">
        <v>955</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ROUND(IF(H19="按公示增长率计算",SUMPRODUCT((地价!A3:A28=YEAR(G19)&amp;"-"&amp;ROUNDUP(MONTH(G19)/3,0))*(地价!X2:AB2=E2)*(地价!X3:AB28)),IF(H19="地价指数",M20/M19,(1+I19)^O19)),4)</f>
        <v>0</v>
      </c>
      <c r="D19" s="1462" t="s">
        <v>957</v>
      </c>
      <c r="E19" s="1053">
        <v>41640</v>
      </c>
      <c r="F19" s="1462" t="s">
        <v>958</v>
      </c>
      <c r="G19" s="1054">
        <f>'数据-取费表'!B2</f>
        <v>43754</v>
      </c>
      <c r="H19" s="1463" t="s">
        <v>2991</v>
      </c>
      <c r="I19" s="2739" t="str">
        <f>IF(H19="季度增幅（自定义）",SUMIF(N21:N24,E2,O21:O24),"")</f>
        <v/>
      </c>
      <c r="J19" s="1459"/>
      <c r="K19" s="3147"/>
      <c r="L19" s="2990" t="s">
        <v>2840</v>
      </c>
      <c r="M19" s="2991">
        <f>ROUND(SUMIF(地价!B2:F2,E2,地价!B28:F28),0)</f>
        <v>0</v>
      </c>
      <c r="N19" s="2741" t="s">
        <v>1676</v>
      </c>
      <c r="O19" s="2740">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2841</v>
      </c>
      <c r="M20" s="3156">
        <f>ROUND(SUMPRODUCT((地价!A4:A28=YEAR(G19)&amp;"-"&amp;ROUNDUP(MONTH(G19)/3,0))*(地价!B2:F2=E2)*(地价!B4:F28)),0)</f>
        <v>0</v>
      </c>
      <c r="N20" s="2744" t="s">
        <v>2645</v>
      </c>
      <c r="O20" s="2742" t="s">
        <v>2644</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3">
        <f>IF(B21="容积率修正",IF(G3&lt;=10,D22,J22),C23)</f>
        <v>0</v>
      </c>
      <c r="D21" s="1469"/>
      <c r="E21" s="1469"/>
      <c r="F21" s="1469"/>
      <c r="G21" s="1469"/>
      <c r="H21" s="1469"/>
      <c r="I21" s="1469"/>
      <c r="J21" s="1470"/>
      <c r="K21" s="3147"/>
      <c r="L21" s="1469"/>
      <c r="M21" s="1469"/>
      <c r="N21" s="1466" t="s">
        <v>975</v>
      </c>
      <c r="O21" s="1529"/>
      <c r="P21" s="2731">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9"/>
      <c r="M22" s="1469"/>
      <c r="N22" s="1466" t="s">
        <v>978</v>
      </c>
      <c r="O22" s="1529"/>
      <c r="P22" s="2731">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923</v>
      </c>
      <c r="O23" s="1529"/>
      <c r="P23" s="2731">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1"/>
      <c r="L24" s="1469"/>
      <c r="M24" s="1469"/>
      <c r="N24" s="1466" t="s">
        <v>981</v>
      </c>
      <c r="O24" s="3155"/>
      <c r="P24" s="2731">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7" t="s">
        <v>2647</v>
      </c>
      <c r="O25" s="3158"/>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2"/>
      <c r="L29" s="3152"/>
      <c r="M29" s="3152"/>
      <c r="N29" s="3152"/>
      <c r="O29" s="3152"/>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3"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4"/>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4"/>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5"/>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5" t="s">
        <v>2984</v>
      </c>
      <c r="C41" s="838" t="e">
        <f>ROUND(POWER(1+E41,H41-G41)*(POWER(1+E41,G41)-1)/(POWER(1+E41,H41)-1),4)</f>
        <v>#DIV/0!</v>
      </c>
      <c r="D41" s="377" t="s">
        <v>2982</v>
      </c>
      <c r="E41" s="3144">
        <f>G20</f>
        <v>0</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2" t="s">
        <v>1020</v>
      </c>
      <c r="B47" s="2375" t="str">
        <f>估价对象房地状况!C16</f>
        <v>估价对象周边有悠方商业综合体，天虹百货等，商业氛围较成熟，人流量较大，商业繁华度较好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估价对象周边道路通达、公共交通便捷、停车便捷，临近1号线金枫路站，综合评价交通便捷度较好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7" t="s">
        <v>2934</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t="str">
        <f>估价对象房地状况!C24</f>
        <v>主干道——中环西线</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6" t="s">
        <v>2933</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估价对象所在区域公共配套设施较齐备</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估价对象所在区域基础设施水平达六通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1028</v>
      </c>
      <c r="B55" s="2376" t="str">
        <f>估价对象房地状况!C20</f>
        <v>区域自然环境较好；人文环境较好；综合评价环境状况较好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估价对象周边道路通达、公共交通便捷、停车便捷，临近1号线金枫路站，综合评价交通便捷度较好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7" t="s">
        <v>2935</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t="str">
        <f>估价对象房地状况!C24</f>
        <v>主干道——中环西线</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6" t="s">
        <v>2933</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估价对象所在区域公共配套设施较齐备</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估价对象所在区域基础设施水平达六通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1028</v>
      </c>
      <c r="B66" s="2377" t="str">
        <f>估价对象房地状况!C20</f>
        <v>区域自然环境较好；人文环境较好；综合评价环境状况较好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估价对象周边居住用地比例较大、居住小区规模较大，社区发展较完善，综合评价居住社区成熟度较好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估价对象周边道路通达、公共交通便捷、停车便捷，临近1号线金枫路站，综合评价交通便捷度较好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主干道——中环西线</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估价对象所在区域基础设施水平达六通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2933</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区域自然环境较好；人文环境较好；综合评价环境状况较好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6" t="s">
        <v>2933</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1" t="s">
        <v>1633</v>
      </c>
      <c r="B90" s="3441"/>
      <c r="C90" s="3441"/>
      <c r="D90" s="3441"/>
      <c r="E90" s="3441"/>
      <c r="F90" s="3441"/>
      <c r="G90" s="3441"/>
      <c r="H90" s="3441"/>
      <c r="I90" s="3441"/>
      <c r="J90" s="3441"/>
      <c r="K90" s="2414"/>
      <c r="L90" s="2414"/>
      <c r="M90" s="2414"/>
      <c r="N90" s="2414"/>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8"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9"/>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9"/>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9"/>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9"/>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9"/>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9"/>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9"/>
      <c r="B108" s="343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5" t="s">
        <v>1639</v>
      </c>
      <c r="B110" s="3435"/>
      <c r="C110" s="3435"/>
      <c r="D110" s="3435"/>
      <c r="E110" s="3435"/>
      <c r="F110" s="3435"/>
      <c r="G110" s="3435"/>
      <c r="H110" s="3435"/>
      <c r="I110" s="3435"/>
      <c r="J110" s="3435"/>
      <c r="K110" s="2412"/>
      <c r="L110" s="2412"/>
      <c r="M110" s="2412"/>
      <c r="N110" s="2412"/>
    </row>
    <row r="112" spans="1:14" ht="12.75" thickBot="1"/>
    <row r="113" spans="1:13" ht="25.5" thickBot="1">
      <c r="A113" s="1015" t="s">
        <v>896</v>
      </c>
      <c r="B113" s="2415">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2987</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42" t="s">
        <v>1007</v>
      </c>
      <c r="B18" s="1149" t="s">
        <v>1446</v>
      </c>
      <c r="C18" s="1126" t="s">
        <v>1447</v>
      </c>
      <c r="D18" s="1127"/>
      <c r="E18" s="1149">
        <v>1</v>
      </c>
      <c r="F18" s="1128" t="s">
        <v>1448</v>
      </c>
      <c r="G18" s="1129"/>
      <c r="H18" s="1100"/>
      <c r="I18" s="1100"/>
    </row>
    <row r="19" spans="1:9" s="1584" customFormat="1" ht="19.5" customHeight="1">
      <c r="A19" s="3442"/>
      <c r="B19" s="3442" t="s">
        <v>1449</v>
      </c>
      <c r="C19" s="1126" t="s">
        <v>1450</v>
      </c>
      <c r="D19" s="1127"/>
      <c r="E19" s="1149">
        <v>0.9</v>
      </c>
      <c r="F19" s="1128" t="s">
        <v>1451</v>
      </c>
      <c r="G19" s="1129"/>
      <c r="H19" s="1100"/>
      <c r="I19" s="1100"/>
    </row>
    <row r="20" spans="1:9" s="1584" customFormat="1" ht="19.5" customHeight="1">
      <c r="A20" s="3442"/>
      <c r="B20" s="3442"/>
      <c r="C20" s="1126" t="s">
        <v>1452</v>
      </c>
      <c r="D20" s="1127"/>
      <c r="E20" s="1149">
        <v>1.1000000000000001</v>
      </c>
      <c r="F20" s="1128" t="s">
        <v>1453</v>
      </c>
      <c r="G20" s="1129"/>
      <c r="H20" s="1100"/>
      <c r="I20" s="1100"/>
    </row>
    <row r="21" spans="1:9" s="1584" customFormat="1" ht="19.5" customHeight="1">
      <c r="A21" s="3442"/>
      <c r="B21" s="3442"/>
      <c r="C21" s="1126" t="s">
        <v>1454</v>
      </c>
      <c r="D21" s="1127"/>
      <c r="E21" s="1149">
        <v>0.8</v>
      </c>
      <c r="F21" s="1128" t="s">
        <v>1455</v>
      </c>
      <c r="G21" s="1129"/>
      <c r="H21" s="1100"/>
      <c r="I21" s="1100"/>
    </row>
    <row r="22" spans="1:9" s="1584" customFormat="1" ht="19.5" customHeight="1">
      <c r="A22" s="3442"/>
      <c r="B22" s="3442"/>
      <c r="C22" s="1126" t="s">
        <v>1456</v>
      </c>
      <c r="D22" s="1127"/>
      <c r="E22" s="1149">
        <v>0.5</v>
      </c>
      <c r="F22" s="1128"/>
      <c r="G22" s="1129"/>
      <c r="H22" s="1100"/>
      <c r="I22" s="1100"/>
    </row>
    <row r="23" spans="1:9" s="1584" customFormat="1" ht="19.5" customHeight="1">
      <c r="A23" s="3442" t="s">
        <v>1029</v>
      </c>
      <c r="B23" s="1149" t="s">
        <v>1446</v>
      </c>
      <c r="C23" s="1126" t="s">
        <v>1457</v>
      </c>
      <c r="D23" s="1127"/>
      <c r="E23" s="1149">
        <v>1</v>
      </c>
      <c r="F23" s="1128" t="s">
        <v>1458</v>
      </c>
      <c r="G23" s="1129"/>
      <c r="H23" s="1100"/>
      <c r="I23" s="1100"/>
    </row>
    <row r="24" spans="1:9" s="1584" customFormat="1" ht="19.5" customHeight="1">
      <c r="A24" s="3442"/>
      <c r="B24" s="3442" t="s">
        <v>1449</v>
      </c>
      <c r="C24" s="1126" t="s">
        <v>1459</v>
      </c>
      <c r="D24" s="1127"/>
      <c r="E24" s="1149">
        <v>0.5</v>
      </c>
      <c r="F24" s="1128"/>
      <c r="G24" s="1129"/>
      <c r="H24" s="1100"/>
      <c r="I24" s="1100"/>
    </row>
    <row r="25" spans="1:9" s="1584" customFormat="1" ht="19.5" customHeight="1">
      <c r="A25" s="3442"/>
      <c r="B25" s="3442"/>
      <c r="C25" s="1126" t="s">
        <v>1460</v>
      </c>
      <c r="D25" s="1127"/>
      <c r="E25" s="1149">
        <v>1.1000000000000001</v>
      </c>
      <c r="F25" s="1128"/>
      <c r="G25" s="1129"/>
      <c r="H25" s="1100"/>
      <c r="I25" s="1100"/>
    </row>
    <row r="26" spans="1:9" s="1584" customFormat="1" ht="19.5" customHeight="1">
      <c r="A26" s="3442"/>
      <c r="B26" s="3442"/>
      <c r="C26" s="1126" t="s">
        <v>1461</v>
      </c>
      <c r="D26" s="1127"/>
      <c r="E26" s="1149">
        <v>1.1000000000000001</v>
      </c>
      <c r="F26" s="1128"/>
      <c r="G26" s="1129"/>
      <c r="H26" s="1100"/>
      <c r="I26" s="1100"/>
    </row>
    <row r="27" spans="1:9" s="1584" customFormat="1" ht="19.5" customHeight="1">
      <c r="A27" s="3442"/>
      <c r="B27" s="3442"/>
      <c r="C27" s="1126" t="s">
        <v>1462</v>
      </c>
      <c r="D27" s="1127"/>
      <c r="E27" s="1149">
        <v>0.9</v>
      </c>
      <c r="F27" s="1128" t="s">
        <v>1463</v>
      </c>
      <c r="G27" s="1129"/>
      <c r="H27" s="1100"/>
      <c r="I27" s="1100"/>
    </row>
    <row r="28" spans="1:9" s="1584" customFormat="1" ht="19.5" customHeight="1">
      <c r="A28" s="3442"/>
      <c r="B28" s="3442"/>
      <c r="C28" s="1126" t="s">
        <v>1464</v>
      </c>
      <c r="D28" s="1127"/>
      <c r="E28" s="1149">
        <v>0.9</v>
      </c>
      <c r="F28" s="1128" t="s">
        <v>1465</v>
      </c>
      <c r="G28" s="1129"/>
      <c r="H28" s="1100"/>
      <c r="I28" s="1100"/>
    </row>
    <row r="29" spans="1:9" s="1584" customFormat="1" ht="19.5" customHeight="1">
      <c r="A29" s="3442"/>
      <c r="B29" s="3442"/>
      <c r="C29" s="1126" t="s">
        <v>1466</v>
      </c>
      <c r="D29" s="1127"/>
      <c r="E29" s="1149">
        <v>0.9</v>
      </c>
      <c r="F29" s="1128" t="s">
        <v>1467</v>
      </c>
      <c r="G29" s="1129"/>
      <c r="H29" s="1100"/>
      <c r="I29" s="1100"/>
    </row>
    <row r="30" spans="1:9" s="1584" customFormat="1" ht="19.5" customHeight="1">
      <c r="A30" s="3442"/>
      <c r="B30" s="3442"/>
      <c r="C30" s="1126" t="s">
        <v>1468</v>
      </c>
      <c r="D30" s="1127"/>
      <c r="E30" s="1149">
        <v>0.9</v>
      </c>
      <c r="F30" s="1128" t="s">
        <v>1469</v>
      </c>
      <c r="G30" s="1129"/>
      <c r="H30" s="1100"/>
      <c r="I30" s="1100"/>
    </row>
    <row r="31" spans="1:9" s="1584" customFormat="1" ht="19.5" customHeight="1">
      <c r="A31" s="3442"/>
      <c r="B31" s="3442"/>
      <c r="C31" s="1126" t="s">
        <v>1470</v>
      </c>
      <c r="D31" s="1127"/>
      <c r="E31" s="1149">
        <v>0.8</v>
      </c>
      <c r="F31" s="1128" t="s">
        <v>1471</v>
      </c>
      <c r="G31" s="1129"/>
      <c r="H31" s="1100"/>
      <c r="I31" s="1100"/>
    </row>
    <row r="32" spans="1:9" s="1584" customFormat="1" ht="19.5" customHeight="1">
      <c r="A32" s="3442"/>
      <c r="B32" s="3442"/>
      <c r="C32" s="1126" t="s">
        <v>1472</v>
      </c>
      <c r="D32" s="1127"/>
      <c r="E32" s="1149">
        <v>0.8</v>
      </c>
      <c r="F32" s="1128" t="s">
        <v>1473</v>
      </c>
      <c r="G32" s="1129"/>
      <c r="H32" s="1100"/>
      <c r="I32" s="1100"/>
    </row>
    <row r="33" spans="1:9" s="1584" customFormat="1" ht="19.5" customHeight="1">
      <c r="A33" s="3442" t="s">
        <v>1474</v>
      </c>
      <c r="B33" s="1149" t="s">
        <v>1446</v>
      </c>
      <c r="C33" s="1126" t="s">
        <v>1475</v>
      </c>
      <c r="D33" s="1127"/>
      <c r="E33" s="1149">
        <v>1</v>
      </c>
      <c r="F33" s="1128" t="s">
        <v>1476</v>
      </c>
      <c r="G33" s="1129"/>
      <c r="H33" s="1100"/>
      <c r="I33" s="1100"/>
    </row>
    <row r="34" spans="1:9" s="1584" customFormat="1" ht="19.5" customHeight="1">
      <c r="A34" s="3442"/>
      <c r="B34" s="1149" t="s">
        <v>1449</v>
      </c>
      <c r="C34" s="1126" t="s">
        <v>1477</v>
      </c>
      <c r="D34" s="1127"/>
      <c r="E34" s="1149">
        <v>1.5</v>
      </c>
      <c r="F34" s="1128" t="s">
        <v>1478</v>
      </c>
      <c r="G34" s="1129"/>
      <c r="H34" s="1100"/>
      <c r="I34" s="1100"/>
    </row>
    <row r="35" spans="1:9" s="1584" customFormat="1" ht="19.5" customHeight="1">
      <c r="A35" s="3442" t="s">
        <v>1432</v>
      </c>
      <c r="B35" s="1149" t="s">
        <v>1446</v>
      </c>
      <c r="C35" s="1126" t="s">
        <v>1479</v>
      </c>
      <c r="D35" s="1127"/>
      <c r="E35" s="1149">
        <v>1</v>
      </c>
      <c r="F35" s="1128" t="s">
        <v>1480</v>
      </c>
      <c r="G35" s="1129"/>
      <c r="H35" s="1100"/>
      <c r="I35" s="1100"/>
    </row>
    <row r="36" spans="1:9" s="1584" customFormat="1" ht="19.5" customHeight="1">
      <c r="A36" s="3442"/>
      <c r="B36" s="3442" t="s">
        <v>1449</v>
      </c>
      <c r="C36" s="1126" t="s">
        <v>1481</v>
      </c>
      <c r="D36" s="1127"/>
      <c r="E36" s="1149">
        <v>1</v>
      </c>
      <c r="F36" s="1128" t="s">
        <v>1482</v>
      </c>
      <c r="G36" s="1129"/>
      <c r="H36" s="1100"/>
      <c r="I36" s="1100"/>
    </row>
    <row r="37" spans="1:9" s="1584" customFormat="1" ht="19.5" customHeight="1">
      <c r="A37" s="3442"/>
      <c r="B37" s="3442"/>
      <c r="C37" s="1126" t="s">
        <v>1483</v>
      </c>
      <c r="D37" s="1127"/>
      <c r="E37" s="1149">
        <v>1.5</v>
      </c>
      <c r="F37" s="1128" t="s">
        <v>1484</v>
      </c>
      <c r="G37" s="1129"/>
      <c r="H37" s="1100"/>
      <c r="I37" s="1100"/>
    </row>
    <row r="38" spans="1:9" s="1584" customFormat="1" ht="19.5" customHeight="1">
      <c r="A38" s="3442"/>
      <c r="B38" s="3442"/>
      <c r="C38" s="1126" t="s">
        <v>1485</v>
      </c>
      <c r="D38" s="1127"/>
      <c r="E38" s="1149">
        <v>1</v>
      </c>
      <c r="F38" s="1128" t="s">
        <v>1486</v>
      </c>
      <c r="G38" s="1129"/>
      <c r="H38" s="1100"/>
      <c r="I38" s="1100"/>
    </row>
    <row r="39" spans="1:9" s="1584" customFormat="1" ht="19.5" customHeight="1">
      <c r="A39" s="3442"/>
      <c r="B39" s="344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2" t="s">
        <v>1501</v>
      </c>
      <c r="C61" s="1063" t="s">
        <v>1502</v>
      </c>
      <c r="D61" s="1063" t="s">
        <v>1503</v>
      </c>
      <c r="E61" s="1134">
        <v>0.5</v>
      </c>
      <c r="F61" s="1149">
        <v>80</v>
      </c>
      <c r="H61" s="1100">
        <f>SUMIF(C59:C119,基准地价!C8,E59:E119)</f>
        <v>0</v>
      </c>
    </row>
    <row r="62" spans="1:8" s="1100" customFormat="1" ht="24">
      <c r="A62" s="1149">
        <v>2</v>
      </c>
      <c r="B62" s="3442"/>
      <c r="C62" s="1063" t="s">
        <v>1504</v>
      </c>
      <c r="D62" s="1063" t="s">
        <v>1505</v>
      </c>
      <c r="E62" s="1134">
        <v>0.5</v>
      </c>
      <c r="F62" s="1149">
        <v>80</v>
      </c>
    </row>
    <row r="63" spans="1:8" s="1100" customFormat="1" ht="36">
      <c r="A63" s="1149">
        <v>3</v>
      </c>
      <c r="B63" s="3442"/>
      <c r="C63" s="1063" t="s">
        <v>1506</v>
      </c>
      <c r="D63" s="1063" t="s">
        <v>1507</v>
      </c>
      <c r="E63" s="1134">
        <v>0.5</v>
      </c>
      <c r="F63" s="1149">
        <v>80</v>
      </c>
    </row>
    <row r="64" spans="1:8" s="1100" customFormat="1" ht="36">
      <c r="A64" s="1149">
        <v>4</v>
      </c>
      <c r="B64" s="3442"/>
      <c r="C64" s="1063" t="s">
        <v>1508</v>
      </c>
      <c r="D64" s="1063" t="s">
        <v>1509</v>
      </c>
      <c r="E64" s="1134">
        <v>0.4</v>
      </c>
      <c r="F64" s="1149">
        <v>60</v>
      </c>
    </row>
    <row r="65" spans="1:6" s="1100" customFormat="1" ht="36">
      <c r="A65" s="1149">
        <v>5</v>
      </c>
      <c r="B65" s="3442"/>
      <c r="C65" s="1063" t="s">
        <v>1510</v>
      </c>
      <c r="D65" s="1063" t="s">
        <v>1511</v>
      </c>
      <c r="E65" s="1134">
        <v>0.2</v>
      </c>
      <c r="F65" s="1149">
        <v>30</v>
      </c>
    </row>
    <row r="66" spans="1:6" s="1100" customFormat="1" ht="36">
      <c r="A66" s="1149">
        <v>6</v>
      </c>
      <c r="B66" s="3442"/>
      <c r="C66" s="1063" t="s">
        <v>1512</v>
      </c>
      <c r="D66" s="1063" t="s">
        <v>1513</v>
      </c>
      <c r="E66" s="1134">
        <v>0.3</v>
      </c>
      <c r="F66" s="1149">
        <v>50</v>
      </c>
    </row>
    <row r="67" spans="1:6" s="1100" customFormat="1" ht="36">
      <c r="A67" s="1149">
        <v>7</v>
      </c>
      <c r="B67" s="3442"/>
      <c r="C67" s="1063" t="s">
        <v>1514</v>
      </c>
      <c r="D67" s="1063" t="s">
        <v>1515</v>
      </c>
      <c r="E67" s="1134">
        <v>0.2</v>
      </c>
      <c r="F67" s="1149">
        <v>30</v>
      </c>
    </row>
    <row r="68" spans="1:6" s="1100" customFormat="1" ht="36">
      <c r="A68" s="1149">
        <v>8</v>
      </c>
      <c r="B68" s="3442"/>
      <c r="C68" s="1063" t="s">
        <v>1516</v>
      </c>
      <c r="D68" s="1063" t="s">
        <v>1517</v>
      </c>
      <c r="E68" s="1134">
        <v>0.2</v>
      </c>
      <c r="F68" s="1149">
        <v>30</v>
      </c>
    </row>
    <row r="69" spans="1:6" s="1100" customFormat="1" ht="36">
      <c r="A69" s="1149">
        <v>9</v>
      </c>
      <c r="B69" s="3442"/>
      <c r="C69" s="1063" t="s">
        <v>1518</v>
      </c>
      <c r="D69" s="1063" t="s">
        <v>1519</v>
      </c>
      <c r="E69" s="1134">
        <v>0.2</v>
      </c>
      <c r="F69" s="1149">
        <v>30</v>
      </c>
    </row>
    <row r="70" spans="1:6" s="1100" customFormat="1" ht="48">
      <c r="A70" s="1149">
        <v>10</v>
      </c>
      <c r="B70" s="3442"/>
      <c r="C70" s="1063" t="s">
        <v>1520</v>
      </c>
      <c r="D70" s="1063" t="s">
        <v>1521</v>
      </c>
      <c r="E70" s="1134">
        <v>0.2</v>
      </c>
      <c r="F70" s="1149">
        <v>30</v>
      </c>
    </row>
    <row r="71" spans="1:6" s="1100" customFormat="1" ht="48">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24">
      <c r="A73" s="1149">
        <v>13</v>
      </c>
      <c r="B73" s="3442"/>
      <c r="C73" s="1063" t="s">
        <v>1526</v>
      </c>
      <c r="D73" s="1063" t="s">
        <v>1527</v>
      </c>
      <c r="E73" s="1134">
        <v>0.4</v>
      </c>
      <c r="F73" s="1149">
        <v>60</v>
      </c>
    </row>
    <row r="74" spans="1:6" s="1100" customFormat="1" ht="24">
      <c r="A74" s="1149">
        <v>14</v>
      </c>
      <c r="B74" s="3442"/>
      <c r="C74" s="1063" t="s">
        <v>1528</v>
      </c>
      <c r="D74" s="1063" t="s">
        <v>1529</v>
      </c>
      <c r="E74" s="1134">
        <v>0.2</v>
      </c>
      <c r="F74" s="1149">
        <v>30</v>
      </c>
    </row>
    <row r="75" spans="1:6" s="1100" customFormat="1" ht="24">
      <c r="A75" s="1149">
        <v>15</v>
      </c>
      <c r="B75" s="3442"/>
      <c r="C75" s="1063" t="s">
        <v>1530</v>
      </c>
      <c r="D75" s="1063" t="s">
        <v>1531</v>
      </c>
      <c r="E75" s="1134">
        <v>0.2</v>
      </c>
      <c r="F75" s="1149">
        <v>30</v>
      </c>
    </row>
    <row r="76" spans="1:6" s="1100" customFormat="1" ht="24">
      <c r="A76" s="1149">
        <v>16</v>
      </c>
      <c r="B76" s="3442" t="s">
        <v>1532</v>
      </c>
      <c r="C76" s="1063" t="s">
        <v>1533</v>
      </c>
      <c r="D76" s="1063" t="s">
        <v>1534</v>
      </c>
      <c r="E76" s="1134">
        <v>0.5</v>
      </c>
      <c r="F76" s="1149">
        <v>80</v>
      </c>
    </row>
    <row r="77" spans="1:6" s="1100" customFormat="1" ht="24">
      <c r="A77" s="1149">
        <v>17</v>
      </c>
      <c r="B77" s="3442"/>
      <c r="C77" s="1063" t="s">
        <v>1535</v>
      </c>
      <c r="D77" s="1063" t="s">
        <v>1536</v>
      </c>
      <c r="E77" s="1134">
        <v>0.5</v>
      </c>
      <c r="F77" s="1149">
        <v>80</v>
      </c>
    </row>
    <row r="78" spans="1:6" s="1100" customFormat="1" ht="24">
      <c r="A78" s="1149">
        <v>18</v>
      </c>
      <c r="B78" s="3442"/>
      <c r="C78" s="1063" t="s">
        <v>1537</v>
      </c>
      <c r="D78" s="1063" t="s">
        <v>1538</v>
      </c>
      <c r="E78" s="1134">
        <v>0.2</v>
      </c>
      <c r="F78" s="1149">
        <v>30</v>
      </c>
    </row>
    <row r="79" spans="1:6" s="1100" customFormat="1" ht="24">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48">
      <c r="A82" s="1149">
        <v>22</v>
      </c>
      <c r="B82" s="3442"/>
      <c r="C82" s="1063" t="s">
        <v>1545</v>
      </c>
      <c r="D82" s="1063" t="s">
        <v>1546</v>
      </c>
      <c r="E82" s="1134">
        <v>0.2</v>
      </c>
      <c r="F82" s="1149">
        <v>30</v>
      </c>
    </row>
    <row r="83" spans="1:6" s="1100" customFormat="1" ht="48">
      <c r="A83" s="1149">
        <v>23</v>
      </c>
      <c r="B83" s="3442"/>
      <c r="C83" s="1063" t="s">
        <v>1547</v>
      </c>
      <c r="D83" s="1063" t="s">
        <v>1548</v>
      </c>
      <c r="E83" s="1134">
        <v>0.2</v>
      </c>
      <c r="F83" s="1149">
        <v>30</v>
      </c>
    </row>
    <row r="84" spans="1:6" s="1100" customFormat="1" ht="36">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24">
      <c r="A89" s="1149">
        <v>29</v>
      </c>
      <c r="B89" s="3442"/>
      <c r="C89" s="1063" t="s">
        <v>1559</v>
      </c>
      <c r="D89" s="1063" t="s">
        <v>1560</v>
      </c>
      <c r="E89" s="1134">
        <v>0.2</v>
      </c>
      <c r="F89" s="1149">
        <v>30</v>
      </c>
    </row>
    <row r="90" spans="1:6" s="1100" customFormat="1" ht="24">
      <c r="A90" s="1149">
        <v>30</v>
      </c>
      <c r="B90" s="3442"/>
      <c r="C90" s="1063" t="s">
        <v>1561</v>
      </c>
      <c r="D90" s="1063" t="s">
        <v>1562</v>
      </c>
      <c r="E90" s="1134">
        <v>0.2</v>
      </c>
      <c r="F90" s="1149">
        <v>30</v>
      </c>
    </row>
    <row r="91" spans="1:6" s="1100" customFormat="1" ht="36">
      <c r="A91" s="1149">
        <v>31</v>
      </c>
      <c r="B91" s="3442"/>
      <c r="C91" s="1063" t="s">
        <v>1563</v>
      </c>
      <c r="D91" s="1063" t="s">
        <v>1564</v>
      </c>
      <c r="E91" s="1134">
        <v>0.2</v>
      </c>
      <c r="F91" s="1149">
        <v>30</v>
      </c>
    </row>
    <row r="92" spans="1:6" s="1100" customFormat="1" ht="24">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48">
      <c r="A94" s="1149">
        <v>34</v>
      </c>
      <c r="B94" s="3442"/>
      <c r="C94" s="1149" t="s">
        <v>1570</v>
      </c>
      <c r="D94" s="1063" t="s">
        <v>1571</v>
      </c>
      <c r="E94" s="1134">
        <v>0.2</v>
      </c>
      <c r="F94" s="1149">
        <v>30</v>
      </c>
    </row>
    <row r="95" spans="1:6" s="1100" customFormat="1" ht="36">
      <c r="A95" s="1149">
        <v>35</v>
      </c>
      <c r="B95" s="3442"/>
      <c r="C95" s="1149" t="s">
        <v>1572</v>
      </c>
      <c r="D95" s="1063" t="s">
        <v>1573</v>
      </c>
      <c r="E95" s="1134">
        <v>0.2</v>
      </c>
      <c r="F95" s="1149">
        <v>30</v>
      </c>
    </row>
    <row r="96" spans="1:6" s="1100" customFormat="1" ht="48">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24">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2" t="s">
        <v>1595</v>
      </c>
      <c r="C105" s="1149" t="s">
        <v>1596</v>
      </c>
      <c r="D105" s="1063" t="s">
        <v>1597</v>
      </c>
      <c r="E105" s="1134">
        <v>0.2</v>
      </c>
      <c r="F105" s="1149">
        <v>30</v>
      </c>
    </row>
    <row r="106" spans="1:6" s="1100" customFormat="1" ht="36">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36">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2" t="s">
        <v>1611</v>
      </c>
      <c r="C111" s="1149" t="s">
        <v>1612</v>
      </c>
      <c r="D111" s="1063" t="s">
        <v>1613</v>
      </c>
      <c r="E111" s="1134">
        <v>0.2</v>
      </c>
      <c r="F111" s="1149">
        <v>30</v>
      </c>
    </row>
    <row r="112" spans="1:6" s="1100" customFormat="1" ht="24">
      <c r="A112" s="1149">
        <v>52</v>
      </c>
      <c r="B112" s="3442"/>
      <c r="C112" s="1149" t="s">
        <v>1614</v>
      </c>
      <c r="D112" s="1063" t="s">
        <v>1615</v>
      </c>
      <c r="E112" s="1134">
        <v>0.2</v>
      </c>
      <c r="F112" s="1149">
        <v>30</v>
      </c>
    </row>
    <row r="113" spans="1:14" s="1100" customFormat="1" ht="24">
      <c r="A113" s="1149">
        <v>53</v>
      </c>
      <c r="B113" s="344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0" t="s">
        <v>2079</v>
      </c>
      <c r="B1" s="345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8" t="s">
        <v>2576</v>
      </c>
      <c r="C1" s="3458"/>
      <c r="D1" s="3458"/>
      <c r="E1" s="3458"/>
      <c r="F1" s="3458"/>
      <c r="G1" s="3457" t="s">
        <v>2577</v>
      </c>
      <c r="H1" s="3457"/>
      <c r="I1" s="3457"/>
      <c r="J1" s="3457"/>
      <c r="K1" s="3457"/>
      <c r="L1" s="3457"/>
      <c r="N1" s="3457" t="s">
        <v>2578</v>
      </c>
      <c r="O1" s="3457"/>
      <c r="P1" s="3457"/>
      <c r="Q1" s="3457"/>
      <c r="R1" s="2617"/>
      <c r="S1" s="3457" t="s">
        <v>2579</v>
      </c>
      <c r="T1" s="3457"/>
      <c r="U1" s="3457"/>
      <c r="V1" s="3457"/>
      <c r="X1" s="3456" t="s">
        <v>2639</v>
      </c>
      <c r="Y1" s="3457"/>
      <c r="Z1" s="3457"/>
      <c r="AA1" s="3457"/>
      <c r="AB1" s="3457"/>
      <c r="AD1" s="3456" t="s">
        <v>2643</v>
      </c>
      <c r="AE1" s="3457"/>
      <c r="AF1" s="3457"/>
      <c r="AG1" s="3457"/>
      <c r="AH1" s="3457"/>
    </row>
    <row r="2" spans="1:34" s="2718" customFormat="1" ht="14.2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1" customFormat="1" ht="14.25">
      <c r="A3" s="3093" t="s">
        <v>2965</v>
      </c>
      <c r="B3" s="3082"/>
      <c r="C3" s="3082"/>
      <c r="D3" s="3083"/>
      <c r="E3" s="3083"/>
      <c r="F3" s="3082"/>
      <c r="G3" s="3084"/>
      <c r="H3" s="3085"/>
      <c r="I3" s="3092">
        <f>ROUND(AVERAGE($I4:$I28),2)</f>
        <v>1.96</v>
      </c>
      <c r="J3" s="3092">
        <f>ROUND(AVERAGE($J4:$J28),2)</f>
        <v>1.38</v>
      </c>
      <c r="K3" s="3092">
        <f>ROUND(AVERAGE($K4:$K28),2)</f>
        <v>2.14</v>
      </c>
      <c r="L3" s="3092">
        <f>ROUND(AVERAGE($L4:$L28),2)</f>
        <v>1.34</v>
      </c>
      <c r="N3" s="3084"/>
      <c r="O3" s="3086"/>
      <c r="P3" s="3086"/>
      <c r="Q3" s="3086"/>
      <c r="R3" s="3086"/>
      <c r="S3" s="3084"/>
      <c r="T3" s="3086"/>
      <c r="U3" s="3086"/>
      <c r="V3" s="3086"/>
      <c r="W3" s="3089"/>
      <c r="X3" s="3087">
        <f>ROUND(SUMPRODUCT(PRODUCT(1+N3:N$27)),4)</f>
        <v>1.5422</v>
      </c>
      <c r="Y3" s="3087">
        <f>ROUND(SUMPRODUCT(PRODUCT(1+O3:O$27)),4)</f>
        <v>1.3557999999999999</v>
      </c>
      <c r="Z3" s="3087">
        <f t="shared" ref="Z3:Z25" si="0">Y3</f>
        <v>1.3557999999999999</v>
      </c>
      <c r="AA3" s="3087">
        <f>ROUND(SUMPRODUCT(PRODUCT(1+P3:P$27)),4)</f>
        <v>1.6036999999999999</v>
      </c>
      <c r="AB3" s="3087">
        <f>ROUND(SUMPRODUCT(PRODUCT(1+Q3:Q$27)),4)</f>
        <v>1.3573</v>
      </c>
      <c r="AD3" s="3088">
        <f>ROUND(AVERAGE(I3:I$28)/100,4)</f>
        <v>1.9599999999999999E-2</v>
      </c>
      <c r="AE3" s="3088">
        <f>ROUND(AVERAGE(J3:J$28)/100,4)</f>
        <v>1.38E-2</v>
      </c>
      <c r="AF3" s="3088">
        <f t="shared" ref="AF3:AF26" si="1">AE3</f>
        <v>1.38E-2</v>
      </c>
      <c r="AG3" s="3088">
        <f>ROUND(AVERAGE(K3:K$28)/100,4)</f>
        <v>2.1399999999999999E-2</v>
      </c>
      <c r="AH3" s="3088">
        <f>ROUND(AVERAGE(L3:L$28)/100,4)</f>
        <v>1.34E-2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2994</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4">
        <v>4</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2966</v>
      </c>
      <c r="X5" s="3068">
        <f>ROUND(IF(项目基本情况!B7="出让",SUMPRODUCT(PRODUCT(1+N5:N$28)),SUMPRODUCT(PRODUCT(1+N5:N$27))),4)</f>
        <v>1.5422</v>
      </c>
      <c r="Y5" s="3068">
        <f>ROUND(IF(项目基本情况!B7="出让",SUMPRODUCT(PRODUCT(1+O5:O$28)),SUMPRODUCT(PRODUCT(1+O5:O$27))),4)</f>
        <v>1.3557999999999999</v>
      </c>
      <c r="Z5" s="3068">
        <f t="shared" ref="Z5" si="11">Y5</f>
        <v>1.3557999999999999</v>
      </c>
      <c r="AA5" s="3068">
        <f>ROUND(IF(项目基本情况!B7="出让",SUMPRODUCT(PRODUCT(1+P5:P$28)),SUMPRODUCT(PRODUCT(1+P5:P$27))),4)</f>
        <v>1.6036999999999999</v>
      </c>
      <c r="AB5" s="3068">
        <f>ROUND(IF(项目基本情况!B7="出让",SUMPRODUCT(PRODUCT(1+Q5:Q$28)),SUMPRODUCT(PRODUCT(1+Q5:Q$27))),4)</f>
        <v>1.3573</v>
      </c>
      <c r="AD5" s="3069">
        <f>ROUND(AVERAGE(I5:I$28)/100,4)</f>
        <v>1.9599999999999999E-2</v>
      </c>
      <c r="AE5" s="3069">
        <f>ROUND(AVERAGE(J5:J$28)/100,4)</f>
        <v>1.38E-2</v>
      </c>
      <c r="AF5" s="3069">
        <f t="shared" ref="AF5" si="12">AE5</f>
        <v>1.38E-2</v>
      </c>
      <c r="AG5" s="3069">
        <f>ROUND(AVERAGE(K5:K$28)/100,4)</f>
        <v>2.1399999999999999E-2</v>
      </c>
      <c r="AH5" s="3069">
        <f>ROUND(AVERAGE(L5:L$28)/100,4)</f>
        <v>1.34E-2</v>
      </c>
    </row>
    <row r="6" spans="1:34" s="2723" customFormat="1" ht="13.5" thickBot="1">
      <c r="A6" s="2618" t="s">
        <v>2993</v>
      </c>
      <c r="B6" s="2631">
        <f t="shared" ref="B6"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3</v>
      </c>
      <c r="I6" s="3180">
        <v>0</v>
      </c>
      <c r="J6" s="3180">
        <v>0</v>
      </c>
      <c r="K6" s="3180">
        <v>0</v>
      </c>
      <c r="L6" s="3181">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ROUND(IF(项目基本情况!B8="出让",SUMPRODUCT(PRODUCT(1+N6:N$28)),SUMPRODUCT(PRODUCT(1+N6:N$27))),4)</f>
        <v>1.5422</v>
      </c>
      <c r="Y6" s="2716">
        <f>ROUND(IF(项目基本情况!B8="出让",SUMPRODUCT(PRODUCT(1+O6:O$28)),SUMPRODUCT(PRODUCT(1+O6:O$27))),4)</f>
        <v>1.3557999999999999</v>
      </c>
      <c r="Z6" s="2716">
        <f t="shared" ref="Z6" si="22">Y6</f>
        <v>1.3557999999999999</v>
      </c>
      <c r="AA6" s="2716">
        <f>ROUND(IF(项目基本情况!B8="出让",SUMPRODUCT(PRODUCT(1+P6:P$28)),SUMPRODUCT(PRODUCT(1+P6:P$27))),4)</f>
        <v>1.6036999999999999</v>
      </c>
      <c r="AB6" s="2716">
        <f>ROUND(IF(项目基本情况!B8="出让",SUMPRODUCT(PRODUCT(1+Q6:Q$28)),SUMPRODUCT(PRODUCT(1+Q6:Q$27))),4)</f>
        <v>1.3573</v>
      </c>
      <c r="AC6" s="2625"/>
      <c r="AD6" s="2636">
        <f>ROUND(AVERAGE(I6:I$28)/100,4)</f>
        <v>2.0400000000000001E-2</v>
      </c>
      <c r="AE6" s="2636">
        <f>ROUND(AVERAGE(J6:J$28)/100,4)</f>
        <v>1.44E-2</v>
      </c>
      <c r="AF6" s="2636">
        <f t="shared" ref="AF6" si="23">AE6</f>
        <v>1.44E-2</v>
      </c>
      <c r="AG6" s="2636">
        <f>ROUND(AVERAGE(K6:K$28)/100,4)</f>
        <v>2.23E-2</v>
      </c>
      <c r="AH6" s="2636">
        <f>ROUND(AVERAGE(L6:L$28)/100,4)</f>
        <v>1.4E-2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3180">
        <v>1.53</v>
      </c>
      <c r="J7" s="3180">
        <v>1.01</v>
      </c>
      <c r="K7" s="3180">
        <v>1.62</v>
      </c>
      <c r="L7" s="3181">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2988</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2985</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52">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2975</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2"/>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2976</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2"/>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2972</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53"/>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2963</v>
      </c>
      <c r="B13" s="3095">
        <v>439</v>
      </c>
      <c r="C13" s="3095">
        <v>327</v>
      </c>
      <c r="D13" s="3095">
        <f t="shared" si="76"/>
        <v>327</v>
      </c>
      <c r="E13" s="3095">
        <v>627</v>
      </c>
      <c r="F13" s="3096">
        <v>283</v>
      </c>
      <c r="G13" s="3451">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2967</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2"/>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2"/>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53"/>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51">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2"/>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2"/>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5"/>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4">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2"/>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2"/>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5"/>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4">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2"/>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2"/>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5"/>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59">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0"/>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0"/>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1"/>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4">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2"/>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2"/>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5"/>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4">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2">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2">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5">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4">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2">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2">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5">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4">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2">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2">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5">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4">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2">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2">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5">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4">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2">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2">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5">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4">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2">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2">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5">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4">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2">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2">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5">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4">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2">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2">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5">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4">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2">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2">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5">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4">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2">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2">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5">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2945</v>
      </c>
      <c r="B1" s="3055"/>
      <c r="C1" s="3055"/>
      <c r="D1" s="3055"/>
      <c r="E1" s="3055"/>
      <c r="F1" s="3055"/>
    </row>
    <row r="2" spans="1:6" ht="14.25">
      <c r="A2" s="3056" t="s">
        <v>2940</v>
      </c>
      <c r="B2" s="3057" t="e">
        <f ca="1">SUMIF(B7:B14,"&lt;&gt;#ref!",B7:B14)</f>
        <v>#DIV/0!</v>
      </c>
      <c r="C2" s="3056" t="s">
        <v>2941</v>
      </c>
      <c r="D2" s="3055"/>
      <c r="E2" s="3055"/>
      <c r="F2" s="3055"/>
    </row>
    <row r="3" spans="1:6" ht="14.25">
      <c r="A3" s="3056" t="s">
        <v>2973</v>
      </c>
      <c r="B3" s="3057" t="e">
        <f ca="1">ROUND(B2*10000/E3,0)</f>
        <v>#DIV/0!</v>
      </c>
      <c r="C3" s="3056" t="s">
        <v>2078</v>
      </c>
      <c r="D3" s="3056" t="s">
        <v>2942</v>
      </c>
      <c r="E3" s="3057">
        <f ca="1">SUMIF(E7:E14,"&lt;&gt;#ref!",E7:E14)</f>
        <v>0</v>
      </c>
      <c r="F3" s="3055"/>
    </row>
    <row r="4" spans="1:6" ht="14.25">
      <c r="A4" s="3056" t="s">
        <v>2949</v>
      </c>
      <c r="B4" s="3057" t="e">
        <f ca="1">ROUND(B2*10000/E4,0)</f>
        <v>#DIV/0!</v>
      </c>
      <c r="C4" s="3056" t="s">
        <v>2078</v>
      </c>
      <c r="D4" s="3056" t="s">
        <v>2950</v>
      </c>
      <c r="E4" s="3057">
        <f ca="1">SUMIF(F7:F14,"&lt;&gt;#ref!",F7:F14)</f>
        <v>0</v>
      </c>
      <c r="F4" s="3055"/>
    </row>
    <row r="5" spans="1:6" ht="14.25">
      <c r="A5" s="3058"/>
      <c r="B5" s="1866"/>
      <c r="C5" s="1866"/>
      <c r="D5" s="1866"/>
      <c r="E5" s="1866"/>
      <c r="F5" s="3055"/>
    </row>
    <row r="6" spans="1:6" ht="28.5">
      <c r="A6" s="3059" t="s">
        <v>2946</v>
      </c>
      <c r="B6" s="3056" t="s">
        <v>2943</v>
      </c>
      <c r="C6" s="3057"/>
      <c r="D6" s="1866"/>
      <c r="E6" s="3056" t="s">
        <v>2944</v>
      </c>
      <c r="F6" s="3056" t="s">
        <v>2948</v>
      </c>
    </row>
    <row r="7" spans="1:6" ht="14.25">
      <c r="A7" s="259" t="s">
        <v>2947</v>
      </c>
      <c r="B7" s="3060" t="e">
        <f ca="1">SUMIF(INDIRECT("'"&amp;A7&amp;"'"&amp;"!A:A"),"总价",INDIRECT("'"&amp;A7&amp;"'"&amp;"!B:B"))</f>
        <v>#DIV/0!</v>
      </c>
      <c r="C7" s="3056" t="s">
        <v>2941</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2941</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2941</v>
      </c>
      <c r="D9" s="1866"/>
      <c r="E9" s="3061" t="e">
        <f t="shared" ca="1" si="1"/>
        <v>#REF!</v>
      </c>
      <c r="F9" s="3061" t="e">
        <f t="shared" ca="1" si="2"/>
        <v>#REF!</v>
      </c>
    </row>
    <row r="10" spans="1:6" ht="14.25">
      <c r="A10" s="259"/>
      <c r="B10" s="3060" t="e">
        <f t="shared" ca="1" si="0"/>
        <v>#REF!</v>
      </c>
      <c r="C10" s="3056" t="s">
        <v>2941</v>
      </c>
      <c r="D10" s="1866"/>
      <c r="E10" s="3061" t="e">
        <f t="shared" ca="1" si="1"/>
        <v>#REF!</v>
      </c>
      <c r="F10" s="3061" t="e">
        <f t="shared" ca="1" si="2"/>
        <v>#REF!</v>
      </c>
    </row>
    <row r="11" spans="1:6" ht="14.25">
      <c r="A11" s="259"/>
      <c r="B11" s="3060" t="e">
        <f t="shared" ca="1" si="0"/>
        <v>#REF!</v>
      </c>
      <c r="C11" s="3056" t="s">
        <v>2941</v>
      </c>
      <c r="D11" s="1866"/>
      <c r="E11" s="3061" t="e">
        <f t="shared" ca="1" si="1"/>
        <v>#REF!</v>
      </c>
      <c r="F11" s="3061" t="e">
        <f t="shared" ca="1" si="2"/>
        <v>#REF!</v>
      </c>
    </row>
    <row r="12" spans="1:6" ht="14.25">
      <c r="A12" s="259"/>
      <c r="B12" s="3060" t="e">
        <f t="shared" ca="1" si="0"/>
        <v>#REF!</v>
      </c>
      <c r="C12" s="3056" t="s">
        <v>2941</v>
      </c>
      <c r="D12" s="1866"/>
      <c r="E12" s="3061" t="e">
        <f t="shared" ca="1" si="1"/>
        <v>#REF!</v>
      </c>
      <c r="F12" s="3061" t="e">
        <f t="shared" ca="1" si="2"/>
        <v>#REF!</v>
      </c>
    </row>
    <row r="13" spans="1:6" ht="14.25">
      <c r="A13" s="259"/>
      <c r="B13" s="3060" t="e">
        <f t="shared" ca="1" si="0"/>
        <v>#REF!</v>
      </c>
      <c r="C13" s="3056" t="s">
        <v>2941</v>
      </c>
      <c r="D13" s="1866"/>
      <c r="E13" s="3061" t="e">
        <f t="shared" ca="1" si="1"/>
        <v>#REF!</v>
      </c>
      <c r="F13" s="3061" t="e">
        <f t="shared" ca="1" si="2"/>
        <v>#REF!</v>
      </c>
    </row>
    <row r="14" spans="1:6" ht="14.25">
      <c r="A14" s="3054"/>
      <c r="B14" s="3060" t="e">
        <f t="shared" ca="1" si="0"/>
        <v>#REF!</v>
      </c>
      <c r="C14" s="3056" t="s">
        <v>2941</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北京国瑞兴业房地产控股有限公司：</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8596.96平方米。根据《建设工程规划许可证》[]、《出让合同》[]，估价对象规划建筑面积为27186.68平方米。</v>
      </c>
    </row>
    <row r="7" spans="1:4" ht="56.25">
      <c r="A7" s="1780" t="s">
        <v>2746</v>
      </c>
    </row>
    <row r="8" spans="1:4" ht="18.75">
      <c r="A8" s="1779" t="s">
        <v>1906</v>
      </c>
    </row>
    <row r="9" spans="1:4" ht="56.25">
      <c r="A9" s="1781"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2019年10月16日（评估专业人员勘察现场之日）</v>
      </c>
    </row>
    <row r="12" spans="1:4" ht="18.75">
      <c r="A12" s="1782" t="s">
        <v>2025</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根据《国有土地使用证》[]，估价对象（分摊）出让国有建设用地使用权面积为8596.96平方米。根据《建设工程规划许可证》[]、《出让合同》[]，估价对象规划建筑面积为27186.68平方米。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本次估价对象为出让国有建设用地使用权，《国有土地使用证》[]证载土地终止日期为住宅2086年9月11日地下车库2066年9月11日。截至估价期日，出让国有建设用地使用权剩余土地使用年限为。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7"/>
      <c r="C1" s="772"/>
      <c r="D1" s="2035"/>
      <c r="E1" s="2351" t="s">
        <v>2374</v>
      </c>
      <c r="F1" s="2352">
        <f ca="1">J54</f>
        <v>-1.5</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2458</v>
      </c>
      <c r="C7" s="52">
        <f ca="1">C8+C12+C14</f>
        <v>0</v>
      </c>
      <c r="D7" s="2460" t="s">
        <v>2461</v>
      </c>
      <c r="E7" s="2454"/>
      <c r="F7" s="2455"/>
      <c r="G7" s="1578"/>
      <c r="H7" s="780">
        <v>1</v>
      </c>
      <c r="I7" s="781" t="s">
        <v>2458</v>
      </c>
      <c r="J7" s="52">
        <f ca="1">J8+J12+J14</f>
        <v>0</v>
      </c>
      <c r="K7" s="2460" t="s">
        <v>2461</v>
      </c>
      <c r="L7" s="2454"/>
      <c r="M7" s="2455"/>
    </row>
    <row r="8" spans="1:25" ht="18" customHeight="1">
      <c r="A8" s="1815" t="s">
        <v>1824</v>
      </c>
      <c r="B8" s="3463" t="s">
        <v>2463</v>
      </c>
      <c r="C8" s="1810">
        <f ca="1">ROUND(F8*F10*F9*(1-F11)/10000,0)</f>
        <v>0</v>
      </c>
      <c r="D8" s="1807" t="s">
        <v>2534</v>
      </c>
      <c r="E8" s="60" t="s">
        <v>637</v>
      </c>
      <c r="F8" s="784">
        <f ca="1">INDIRECT("'数据-取费表'!u"&amp;$G$1)</f>
        <v>0</v>
      </c>
      <c r="G8" s="1578"/>
      <c r="H8" s="2468" t="s">
        <v>1824</v>
      </c>
      <c r="I8" s="3463" t="s">
        <v>2463</v>
      </c>
      <c r="J8" s="782">
        <f ca="1">ROUND(M8*M10*M9*(1-M11)/10000,0)</f>
        <v>0</v>
      </c>
      <c r="K8" s="340" t="s">
        <v>2534</v>
      </c>
      <c r="L8" s="783" t="s">
        <v>1738</v>
      </c>
      <c r="M8" s="784">
        <f ca="1">INDIRECT("'数据-取费表'!z"&amp;$G$1)</f>
        <v>0</v>
      </c>
    </row>
    <row r="9" spans="1:25" ht="18" customHeight="1">
      <c r="A9" s="2464"/>
      <c r="B9" s="3464"/>
      <c r="C9" s="1811"/>
      <c r="D9" s="1808"/>
      <c r="E9" s="60" t="s">
        <v>638</v>
      </c>
      <c r="F9" s="784">
        <f ca="1">IF(INDIRECT("'数据-取费表'!ah"&amp;$G$1)="",INDIRECT("'数据-取费表'!k"&amp;$G$1),INDIRECT("'数据-取费表'!ah"&amp;$G$1))</f>
        <v>0</v>
      </c>
      <c r="G9" s="1578"/>
      <c r="H9" s="2453"/>
      <c r="I9" s="3464"/>
      <c r="J9" s="787"/>
      <c r="K9" s="788"/>
      <c r="L9" s="783" t="s">
        <v>1739</v>
      </c>
      <c r="M9" s="784">
        <f ca="1">F9</f>
        <v>0</v>
      </c>
    </row>
    <row r="10" spans="1:25" ht="18" customHeight="1">
      <c r="A10" s="2457"/>
      <c r="B10" s="3465"/>
      <c r="C10" s="1811"/>
      <c r="D10" s="1808"/>
      <c r="E10" s="60" t="s">
        <v>639</v>
      </c>
      <c r="F10" s="784">
        <f ca="1">INDIRECT("'数据-取费表'!ai"&amp;$G$1)</f>
        <v>0</v>
      </c>
      <c r="G10" s="1578"/>
      <c r="H10" s="2453"/>
      <c r="I10" s="3465"/>
      <c r="J10" s="787"/>
      <c r="K10" s="788"/>
      <c r="L10" s="783" t="s">
        <v>1740</v>
      </c>
      <c r="M10" s="784">
        <f ca="1">INDIRECT("'数据-取费表'!ai"&amp;$G$1)</f>
        <v>0</v>
      </c>
    </row>
    <row r="11" spans="1:25" ht="18" customHeight="1">
      <c r="A11" s="785"/>
      <c r="B11" s="3466"/>
      <c r="C11" s="1811"/>
      <c r="D11" s="1808"/>
      <c r="E11" s="60" t="s">
        <v>640</v>
      </c>
      <c r="F11" s="793">
        <f ca="1">INDIRECT("'数据-取费表'!w"&amp;$G$1)</f>
        <v>0</v>
      </c>
      <c r="G11" s="1578"/>
      <c r="H11" s="2469"/>
      <c r="I11" s="3465"/>
      <c r="J11" s="787"/>
      <c r="K11" s="788"/>
      <c r="L11" s="794" t="s">
        <v>1741</v>
      </c>
      <c r="M11" s="795">
        <f ca="1">INDIRECT("'数据-取费表'!ab"&amp;$G$1)</f>
        <v>0</v>
      </c>
    </row>
    <row r="12" spans="1:25" ht="18" customHeight="1">
      <c r="A12" s="1815" t="s">
        <v>1825</v>
      </c>
      <c r="B12" s="2458" t="s">
        <v>2459</v>
      </c>
      <c r="C12" s="798">
        <f ca="1">ROUND(IF(F12="押一",C8/12*F13,IF(F12="押二",C8/12*2*F13,IF(F12="押三",C8/12*3*F13,C13*F13))),0)</f>
        <v>0</v>
      </c>
      <c r="D12" s="2465" t="s">
        <v>2970</v>
      </c>
      <c r="E12" s="2462" t="s">
        <v>2464</v>
      </c>
      <c r="F12" s="2585"/>
      <c r="G12" s="1578"/>
      <c r="H12" s="2525" t="s">
        <v>1825</v>
      </c>
      <c r="I12" s="2530" t="s">
        <v>2459</v>
      </c>
      <c r="J12" s="782">
        <f ca="1">ROUND(IF(M12="押一",J8/12*M13,IF(M12="押二",J8/12*2*M13,IF(M12="押三",J8/12*3*M13,J13*M13))),0)</f>
        <v>0</v>
      </c>
      <c r="K12" s="2465" t="s">
        <v>2970</v>
      </c>
      <c r="L12" s="2462" t="s">
        <v>2464</v>
      </c>
      <c r="M12" s="2585"/>
    </row>
    <row r="13" spans="1:25" ht="18" customHeight="1">
      <c r="A13" s="789"/>
      <c r="B13" s="2459" t="s">
        <v>2573</v>
      </c>
      <c r="C13" s="2463"/>
      <c r="D13" s="788"/>
      <c r="E13" s="2462" t="s">
        <v>2456</v>
      </c>
      <c r="F13" s="795">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2069</v>
      </c>
      <c r="I16" s="2216" t="s">
        <v>2824</v>
      </c>
      <c r="J16" s="52">
        <f ca="1">C31</f>
        <v>0</v>
      </c>
      <c r="K16" s="25"/>
      <c r="L16" s="800"/>
      <c r="M16" s="801"/>
    </row>
    <row r="17" spans="1:25" s="2049" customFormat="1" ht="18" customHeight="1">
      <c r="A17" s="802" t="s">
        <v>1849</v>
      </c>
      <c r="B17" s="783" t="s">
        <v>647</v>
      </c>
      <c r="C17" s="52">
        <f ca="1">ROUND(C16*F17,0)</f>
        <v>0</v>
      </c>
      <c r="D17" s="805" t="s">
        <v>648</v>
      </c>
      <c r="E17" s="805" t="s">
        <v>649</v>
      </c>
      <c r="F17" s="806">
        <f>'数据-取费表'!B33</f>
        <v>0.03</v>
      </c>
      <c r="G17" s="1579"/>
      <c r="H17" s="802" t="s">
        <v>2070</v>
      </c>
      <c r="I17" s="783" t="s">
        <v>643</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5" t="s">
        <v>652</v>
      </c>
      <c r="L18" s="1967"/>
      <c r="M18" s="55"/>
    </row>
    <row r="19" spans="1:25" s="2049" customFormat="1" ht="18" customHeight="1">
      <c r="A19" s="802" t="s">
        <v>1851</v>
      </c>
      <c r="B19" s="783" t="s">
        <v>653</v>
      </c>
      <c r="C19" s="52">
        <f ca="1">ROUND(F19*(INDIRECT("'数据-取费表'!k"&amp;$G$1)+INDIRECT("'数据-取费表'!S"&amp;$G$1))/10000,0)</f>
        <v>0</v>
      </c>
      <c r="D19" s="783" t="s">
        <v>654</v>
      </c>
      <c r="E19" s="783" t="s">
        <v>655</v>
      </c>
      <c r="F19" s="55">
        <f>'数据-取费表'!B35</f>
        <v>150</v>
      </c>
      <c r="G19" s="1579"/>
      <c r="H19" s="802" t="s">
        <v>2069</v>
      </c>
      <c r="I19" s="783" t="s">
        <v>656</v>
      </c>
      <c r="J19" s="52">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2">
        <f ca="1">ROUND(C16*F20,0)</f>
        <v>0</v>
      </c>
      <c r="D20" s="783" t="s">
        <v>648</v>
      </c>
      <c r="E20" s="783" t="s">
        <v>649</v>
      </c>
      <c r="F20" s="808">
        <f>'数据-取费表'!B36</f>
        <v>1.4999999999999999E-2</v>
      </c>
      <c r="G20" s="1579"/>
      <c r="H20" s="802" t="s">
        <v>1831</v>
      </c>
      <c r="I20" s="783" t="s">
        <v>660</v>
      </c>
      <c r="J20" s="52">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2">
        <f ca="1">SUM(C16:C20)</f>
        <v>0</v>
      </c>
      <c r="D21" s="260" t="s">
        <v>663</v>
      </c>
      <c r="E21" s="1967"/>
      <c r="F21" s="55"/>
      <c r="G21" s="1578"/>
      <c r="H21" s="1815" t="s">
        <v>1849</v>
      </c>
      <c r="I21" s="783" t="s">
        <v>664</v>
      </c>
      <c r="J21" s="52">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2">
        <f ca="1">ROUND(C21*F22,0)</f>
        <v>0</v>
      </c>
      <c r="D22" s="811" t="s">
        <v>667</v>
      </c>
      <c r="E22" s="783" t="s">
        <v>649</v>
      </c>
      <c r="F22" s="808">
        <f>'数据-取费表'!B37</f>
        <v>0.02</v>
      </c>
      <c r="G22" s="1579"/>
      <c r="H22" s="1817" t="s">
        <v>1850</v>
      </c>
      <c r="I22" s="1807" t="s">
        <v>668</v>
      </c>
      <c r="J22" s="53">
        <f ca="1">ROUND(M22*M23/10000,0)</f>
        <v>0</v>
      </c>
      <c r="K22" s="813" t="s">
        <v>669</v>
      </c>
      <c r="L22" s="783" t="s">
        <v>670</v>
      </c>
      <c r="M22" s="639">
        <f>'数据-取费表'!B52</f>
        <v>5</v>
      </c>
      <c r="N22" s="2048"/>
      <c r="O22" s="2048"/>
      <c r="P22" s="2048"/>
      <c r="Q22" s="2048"/>
      <c r="R22" s="2048"/>
      <c r="S22" s="2048"/>
      <c r="T22" s="2048"/>
      <c r="U22" s="2048"/>
      <c r="V22" s="2048"/>
      <c r="W22" s="2048"/>
      <c r="X22" s="2048"/>
      <c r="Y22" s="2048"/>
    </row>
    <row r="23" spans="1:25" s="2049" customFormat="1" ht="18" customHeight="1">
      <c r="A23" s="802" t="s">
        <v>1878</v>
      </c>
      <c r="B23" s="783" t="s">
        <v>671</v>
      </c>
      <c r="C23" s="52" t="s">
        <v>1</v>
      </c>
      <c r="D23" s="811" t="s">
        <v>672</v>
      </c>
      <c r="E23" s="783" t="s">
        <v>673</v>
      </c>
      <c r="F23" s="808">
        <f>'数据-取费表'!B38</f>
        <v>0.02</v>
      </c>
      <c r="G23" s="1579"/>
      <c r="H23" s="1818"/>
      <c r="I23" s="1809"/>
      <c r="J23" s="68"/>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2"/>
      <c r="D24" s="2536" t="str">
        <f>IF(F25&lt;=1,"单利计息。","复利计息。")&amp;"建造成本、管理费用、销售费用产生的利息。"</f>
        <v>复利计息。建造成本、管理费用、销售费用产生的利息。</v>
      </c>
      <c r="E24" s="1967"/>
      <c r="F24" s="55"/>
      <c r="G24" s="1578"/>
      <c r="H24" s="1816" t="s">
        <v>2070</v>
      </c>
      <c r="I24" s="783" t="s">
        <v>676</v>
      </c>
      <c r="J24" s="52">
        <f ca="1">ROUND(J16*M24,0)</f>
        <v>0</v>
      </c>
      <c r="K24" s="1962" t="s">
        <v>677</v>
      </c>
      <c r="L24" s="783" t="s">
        <v>649</v>
      </c>
      <c r="M24" s="816">
        <f ca="1">INDIRECT("'数据-取费表'!Ak"&amp;$G$1)</f>
        <v>0</v>
      </c>
    </row>
    <row r="25" spans="1:25" s="2049" customFormat="1" ht="18" customHeight="1">
      <c r="A25" s="802" t="s">
        <v>1875</v>
      </c>
      <c r="B25" s="783" t="s">
        <v>2437</v>
      </c>
      <c r="C25" s="52">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1.5</v>
      </c>
      <c r="G25" s="1579"/>
      <c r="H25" s="802" t="s">
        <v>1878</v>
      </c>
      <c r="I25" s="783" t="s">
        <v>679</v>
      </c>
      <c r="J25" s="52">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2">
        <f ca="1">ROUND(IF('数据-取费表'!B22&lt;=1,F23*F26*F25/2,F23*(POWER((1+F26),F25/2)-1)),4)</f>
        <v>6.9999999999999999E-4</v>
      </c>
      <c r="D26" s="2535" t="str">
        <f>IF(F25&lt;=1,"销售费用×利率×(建设周期÷2)","销售费用×((1+利率)^(建设周期÷2)-1)")</f>
        <v>销售费用×((1+利率)^(建设周期÷2)-1)</v>
      </c>
      <c r="E26" s="783" t="s">
        <v>682</v>
      </c>
      <c r="F26" s="818">
        <f ca="1">'数据-取费表'!B40</f>
        <v>4.7500000000000001E-2</v>
      </c>
      <c r="G26" s="1579"/>
      <c r="H26" s="802" t="s">
        <v>1879</v>
      </c>
      <c r="I26" s="783" t="s">
        <v>666</v>
      </c>
      <c r="J26" s="52">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2"/>
      <c r="D27" s="260" t="s">
        <v>685</v>
      </c>
      <c r="E27" s="1967"/>
      <c r="F27" s="55"/>
      <c r="G27" s="1578"/>
      <c r="H27" s="796" t="s">
        <v>1828</v>
      </c>
      <c r="I27" s="2962" t="s">
        <v>2821</v>
      </c>
      <c r="J27" s="798">
        <f ca="1">J7-J18</f>
        <v>0</v>
      </c>
      <c r="K27" s="1964" t="s">
        <v>700</v>
      </c>
      <c r="L27" s="1966"/>
      <c r="M27" s="819"/>
    </row>
    <row r="28" spans="1:25" ht="18" customHeight="1">
      <c r="A28" s="802" t="s">
        <v>1875</v>
      </c>
      <c r="B28" s="783" t="s">
        <v>2438</v>
      </c>
      <c r="C28" s="52">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2">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2" t="s">
        <v>1872</v>
      </c>
      <c r="I31" s="2963" t="s">
        <v>2823</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52">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2">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2">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3">
        <f ca="1">ROUND(F36*F37/10000,1)</f>
        <v>0</v>
      </c>
      <c r="D36" s="813" t="s">
        <v>669</v>
      </c>
      <c r="E36" s="783" t="s">
        <v>670</v>
      </c>
      <c r="F36" s="639">
        <f>'数据-取费表'!B52</f>
        <v>5</v>
      </c>
      <c r="G36" s="2047"/>
      <c r="H36" s="2050"/>
      <c r="I36" s="3462"/>
      <c r="J36" s="2064"/>
      <c r="K36" s="2065"/>
      <c r="L36" s="2064"/>
      <c r="M36" s="2064"/>
    </row>
    <row r="37" spans="1:18" ht="18" customHeight="1">
      <c r="A37" s="814"/>
      <c r="B37" s="792"/>
      <c r="C37" s="68"/>
      <c r="D37" s="815"/>
      <c r="E37" s="783" t="s">
        <v>674</v>
      </c>
      <c r="F37" s="784">
        <f ca="1">INDIRECT("'数据-取费表'!r"&amp;$G$1)</f>
        <v>0</v>
      </c>
      <c r="G37" s="2047"/>
      <c r="H37" s="2050"/>
      <c r="I37" s="3462"/>
      <c r="J37" s="2062"/>
      <c r="K37" s="2063"/>
      <c r="L37" s="2062"/>
      <c r="M37" s="2062"/>
    </row>
    <row r="38" spans="1:18" ht="18" customHeight="1">
      <c r="A38" s="802" t="s">
        <v>1877</v>
      </c>
      <c r="B38" s="783" t="s">
        <v>676</v>
      </c>
      <c r="C38" s="52">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2">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2" t="s">
        <v>2958</v>
      </c>
      <c r="F43" s="3073">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88">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4" t="s">
        <v>2961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6" t="str">
        <f ca="1">IF(M48="住宅",0,IF(L49&gt;J52,L61,J61))</f>
        <v>0</v>
      </c>
      <c r="O47" s="2358" t="s">
        <v>2410</v>
      </c>
      <c r="P47" s="1578"/>
      <c r="Q47" s="1589"/>
      <c r="R47" s="1578"/>
    </row>
    <row r="48" spans="1:18" s="2044" customFormat="1" ht="18" customHeight="1" thickBot="1">
      <c r="A48" s="2069"/>
      <c r="C48" s="2072"/>
      <c r="D48" s="2073"/>
      <c r="E48" s="2073"/>
      <c r="F48" s="2074"/>
      <c r="G48" s="2075"/>
      <c r="I48" s="3097" t="s">
        <v>2344</v>
      </c>
      <c r="J48" s="2345"/>
      <c r="K48" s="3103" t="s">
        <v>2349</v>
      </c>
      <c r="L48" s="3107">
        <f ca="1">INDIRECT("'数据-取费表'!d"&amp;$G$1)</f>
        <v>0</v>
      </c>
      <c r="M48" s="3071"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6" t="s">
        <v>2345</v>
      </c>
      <c r="J49" s="2346"/>
      <c r="K49" s="3104"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6" t="s">
        <v>2346</v>
      </c>
      <c r="J50" s="2347"/>
      <c r="K50" s="3105"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6" t="s">
        <v>2347</v>
      </c>
      <c r="J51" s="3101">
        <f>SUMPRODUCT((I64:I66=J48)*(J63:L63=J49)*(J64:L66))</f>
        <v>0</v>
      </c>
      <c r="K51" s="3105" t="s">
        <v>2353</v>
      </c>
      <c r="L51" s="2348"/>
      <c r="O51" s="2365" t="s">
        <v>2383</v>
      </c>
      <c r="P51" s="2363" t="s">
        <v>2407</v>
      </c>
      <c r="Q51" s="2364">
        <f ca="1">C31</f>
        <v>0</v>
      </c>
      <c r="R51" s="2363" t="s">
        <v>2380</v>
      </c>
    </row>
    <row r="52" spans="1:18" s="2044" customFormat="1" ht="18" customHeight="1" thickBot="1">
      <c r="A52" s="2081"/>
      <c r="F52" s="2070"/>
      <c r="I52" s="3098" t="s">
        <v>2348</v>
      </c>
      <c r="J52" s="3102">
        <f>IF(J50="",J51,J50+J51-YEAR('数据-取费表'!B3))</f>
        <v>0</v>
      </c>
      <c r="K52" s="3076" t="s">
        <v>2354</v>
      </c>
      <c r="L52" s="3108">
        <f ca="1">ROUND(-PV(INDIRECT("'数据-取费表'!h"&amp;$G$1),L49,(C40-C14*J36),0),0)</f>
        <v>0</v>
      </c>
      <c r="O52" s="2365" t="s">
        <v>2384</v>
      </c>
      <c r="P52" s="2363" t="s">
        <v>2385</v>
      </c>
      <c r="Q52" s="2366" t="e">
        <f ca="1">J59</f>
        <v>#VALUE!</v>
      </c>
      <c r="R52" s="2367"/>
    </row>
    <row r="53" spans="1:18" s="2044" customFormat="1" ht="18" customHeight="1" thickBot="1">
      <c r="A53" s="2081"/>
      <c r="F53" s="2070"/>
      <c r="I53" s="3099" t="s">
        <v>2421</v>
      </c>
      <c r="J53" s="2349"/>
      <c r="K53" s="3099" t="s">
        <v>2420</v>
      </c>
      <c r="L53" s="2349"/>
      <c r="O53" s="2365" t="s">
        <v>2386</v>
      </c>
      <c r="P53" s="2363" t="s">
        <v>2387</v>
      </c>
      <c r="Q53" s="2366">
        <f>J53</f>
        <v>0</v>
      </c>
      <c r="R53" s="2367"/>
    </row>
    <row r="54" spans="1:18" s="2044" customFormat="1" ht="29.25" thickBot="1">
      <c r="A54" s="2081"/>
      <c r="I54" s="3100" t="s">
        <v>2974</v>
      </c>
      <c r="J54" s="3179">
        <f ca="1">IF(M48="住宅",MAX(J52,L49-'数据-取费表'!B20),MIN(J52,L49-'数据-取费表'!B20))</f>
        <v>-1.5</v>
      </c>
      <c r="K54" s="3467"/>
      <c r="L54" s="3468"/>
      <c r="O54" s="2365" t="s">
        <v>2388</v>
      </c>
      <c r="P54" s="2363" t="s">
        <v>2389</v>
      </c>
      <c r="Q54" s="2364">
        <f ca="1">J54</f>
        <v>-1.5</v>
      </c>
      <c r="R54" s="2363" t="s">
        <v>2390</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2391</v>
      </c>
      <c r="P55" s="2363" t="s">
        <v>2408</v>
      </c>
      <c r="Q55" s="2364">
        <f ca="1">Q49+Q50</f>
        <v>0</v>
      </c>
      <c r="R55" s="2367" t="s">
        <v>2392</v>
      </c>
    </row>
    <row r="56" spans="1:18" s="2044" customFormat="1" ht="16.5" thickBot="1">
      <c r="A56" s="2081"/>
      <c r="B56" s="2082"/>
      <c r="C56" s="2082"/>
      <c r="I56" s="3111" t="s">
        <v>2355</v>
      </c>
      <c r="J56" s="3051" t="e">
        <f ca="1">ROUND(IF(J48="钢混",J58/J51,1-(1-2%)*(J51-J58)/J51),3)</f>
        <v>#VALUE!</v>
      </c>
      <c r="K56" s="3112" t="s">
        <v>2356</v>
      </c>
      <c r="L56" s="2350"/>
      <c r="O56" s="2368" t="s">
        <v>2411</v>
      </c>
      <c r="P56" s="1578"/>
      <c r="Q56" s="1589"/>
      <c r="R56" s="1578"/>
    </row>
    <row r="57" spans="1:18" s="2044" customFormat="1" ht="43.5" thickBot="1">
      <c r="A57" s="2081"/>
      <c r="B57" s="2082"/>
      <c r="C57" s="2082"/>
      <c r="I57" s="3113" t="s">
        <v>2357</v>
      </c>
      <c r="J57" s="3123" t="s">
        <v>1678</v>
      </c>
      <c r="K57" s="3076" t="s">
        <v>2362</v>
      </c>
      <c r="L57" s="1893">
        <f ca="1">IF(L49&lt;J52,"——",L49-J52)</f>
        <v>0</v>
      </c>
      <c r="O57" s="2359" t="s">
        <v>2375</v>
      </c>
      <c r="P57" s="2360" t="s">
        <v>2376</v>
      </c>
      <c r="Q57" s="2361" t="s">
        <v>2377</v>
      </c>
      <c r="R57" s="2360" t="s">
        <v>2378</v>
      </c>
    </row>
    <row r="58" spans="1:18" s="2044" customFormat="1" ht="29.25" thickBot="1">
      <c r="A58" s="2081"/>
      <c r="B58" s="2082"/>
      <c r="C58" s="2082"/>
      <c r="I58" s="3114" t="s">
        <v>2358</v>
      </c>
      <c r="J58" s="3115" t="str">
        <f ca="1">IF(OR(M48="住宅",J52&lt;L49,J57="是"),"——",J52-L49)</f>
        <v>——</v>
      </c>
      <c r="K58" s="3076"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4" t="s">
        <v>2359</v>
      </c>
      <c r="J59" s="3052" t="e">
        <f ca="1">IF(J56&lt;0.4,0.4,J56)</f>
        <v>#VALUE!</v>
      </c>
      <c r="K59" s="3076"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4" t="s">
        <v>2360</v>
      </c>
      <c r="J60" s="3115" t="str">
        <f ca="1">IF(OR(M48="住宅",J52&lt;L49,J57="是"),"——",ROUND(C30*J59,0))</f>
        <v>——</v>
      </c>
      <c r="K60" s="3076"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6" t="s">
        <v>2361</v>
      </c>
      <c r="J61" s="3117" t="str">
        <f ca="1">IF(OR(M48="住宅",J52&lt;L49,J57="是"),"0",ROUND(J60/(1+J53)^J54,0))</f>
        <v>0</v>
      </c>
      <c r="K61" s="3118" t="s">
        <v>2366</v>
      </c>
      <c r="L61" s="3117"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19" t="s">
        <v>2367</v>
      </c>
      <c r="J63" s="3120" t="s">
        <v>2368</v>
      </c>
      <c r="K63" s="3120" t="s">
        <v>2369</v>
      </c>
      <c r="L63" s="3120" t="s">
        <v>2350</v>
      </c>
      <c r="M63" s="3121" t="s">
        <v>2939</v>
      </c>
      <c r="O63" s="2365" t="s">
        <v>2388</v>
      </c>
      <c r="P63" s="2363" t="s">
        <v>2396</v>
      </c>
      <c r="Q63" s="2364">
        <f ca="1">L60</f>
        <v>0</v>
      </c>
      <c r="R63" s="2367" t="s">
        <v>2397</v>
      </c>
    </row>
    <row r="64" spans="1:18" s="2044" customFormat="1" ht="15.75" thickBot="1">
      <c r="A64" s="2081"/>
      <c r="B64" s="2082"/>
      <c r="C64" s="2082"/>
      <c r="I64" s="3119" t="s">
        <v>2370</v>
      </c>
      <c r="J64" s="3120">
        <v>70</v>
      </c>
      <c r="K64" s="3120">
        <v>50</v>
      </c>
      <c r="L64" s="3120">
        <v>80</v>
      </c>
      <c r="M64" s="3122">
        <v>0.02</v>
      </c>
      <c r="O64" s="2362" t="s">
        <v>2391</v>
      </c>
      <c r="P64" s="2363" t="s">
        <v>2408</v>
      </c>
      <c r="Q64" s="2364" t="e">
        <f ca="1">Q58+Q59</f>
        <v>#DIV/0!</v>
      </c>
      <c r="R64" s="2367" t="s">
        <v>2392</v>
      </c>
    </row>
    <row r="65" spans="1:18" s="2044" customFormat="1" ht="16.5" thickBot="1">
      <c r="A65" s="2081"/>
      <c r="B65" s="2082"/>
      <c r="C65" s="2082"/>
      <c r="I65" s="3119" t="s">
        <v>2371</v>
      </c>
      <c r="J65" s="3120">
        <v>50</v>
      </c>
      <c r="K65" s="3120">
        <v>35</v>
      </c>
      <c r="L65" s="3120">
        <v>60</v>
      </c>
      <c r="M65" s="845">
        <v>0</v>
      </c>
      <c r="O65" s="2368" t="s">
        <v>2415</v>
      </c>
      <c r="P65" s="1578"/>
      <c r="Q65" s="1589"/>
      <c r="R65" s="1578"/>
    </row>
    <row r="66" spans="1:18" s="2044" customFormat="1" ht="15.75" thickBot="1">
      <c r="A66" s="2081"/>
      <c r="B66" s="2082"/>
      <c r="C66" s="2082"/>
      <c r="I66" s="3119" t="s">
        <v>2372</v>
      </c>
      <c r="J66" s="3120">
        <v>40</v>
      </c>
      <c r="K66" s="3120">
        <v>30</v>
      </c>
      <c r="L66" s="3120">
        <v>50</v>
      </c>
      <c r="M66" s="3122">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K32" sqref="K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7" style="1332" customWidth="1"/>
    <col min="6" max="6" width="12.25" style="1332" customWidth="1"/>
    <col min="7" max="7" width="17" style="1332" customWidth="1"/>
    <col min="8" max="8" width="12.25" style="1332" customWidth="1"/>
    <col min="9" max="9" width="16.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7" t="s">
        <v>719</v>
      </c>
      <c r="C1" s="2588" t="s">
        <v>720</v>
      </c>
      <c r="D1" s="3195" t="s">
        <v>923</v>
      </c>
      <c r="E1" s="2589"/>
      <c r="F1" s="3196" t="s">
        <v>3284</v>
      </c>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f>C49</f>
        <v>30808</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82" t="s">
        <v>522</v>
      </c>
      <c r="D4" s="3383"/>
      <c r="E4" s="3416" t="s">
        <v>523</v>
      </c>
      <c r="F4" s="3417"/>
      <c r="G4" s="3382" t="s">
        <v>524</v>
      </c>
      <c r="H4" s="3383"/>
      <c r="I4" s="3382" t="s">
        <v>525</v>
      </c>
      <c r="J4" s="3383"/>
      <c r="K4" s="852" t="s">
        <v>526</v>
      </c>
      <c r="L4" s="2118"/>
      <c r="M4" s="2119"/>
      <c r="N4" s="2119"/>
      <c r="O4" s="2119"/>
      <c r="P4" s="3384" t="s">
        <v>527</v>
      </c>
      <c r="Q4" s="3385"/>
      <c r="R4" s="3390" t="s">
        <v>523</v>
      </c>
      <c r="S4" s="3391"/>
      <c r="T4" s="3390" t="s">
        <v>524</v>
      </c>
      <c r="U4" s="3391"/>
      <c r="V4" s="3377" t="s">
        <v>525</v>
      </c>
      <c r="W4" s="3377"/>
      <c r="X4" s="1553"/>
      <c r="Y4" s="3390" t="s">
        <v>527</v>
      </c>
      <c r="Z4" s="3391"/>
      <c r="AA4" s="3379" t="s">
        <v>523</v>
      </c>
      <c r="AB4" s="3379" t="s">
        <v>524</v>
      </c>
      <c r="AC4" s="3379" t="s">
        <v>525</v>
      </c>
    </row>
    <row r="5" spans="1:29" ht="15">
      <c r="A5" s="514"/>
      <c r="B5" s="515"/>
      <c r="C5" s="3398" t="s">
        <v>2926</v>
      </c>
      <c r="D5" s="3399"/>
      <c r="E5" s="3474" t="s">
        <v>3283</v>
      </c>
      <c r="F5" s="3475"/>
      <c r="G5" s="3472" t="s">
        <v>3277</v>
      </c>
      <c r="H5" s="3473"/>
      <c r="I5" s="3472" t="s">
        <v>3266</v>
      </c>
      <c r="J5" s="3473"/>
      <c r="K5" s="853"/>
      <c r="L5" s="2118"/>
      <c r="M5" s="2119"/>
      <c r="N5" s="2119"/>
      <c r="O5" s="2119"/>
      <c r="P5" s="3386"/>
      <c r="Q5" s="3387"/>
      <c r="R5" s="3392"/>
      <c r="S5" s="3393"/>
      <c r="T5" s="3392"/>
      <c r="U5" s="3393"/>
      <c r="V5" s="3377"/>
      <c r="W5" s="3377"/>
      <c r="X5" s="1553"/>
      <c r="Y5" s="3392"/>
      <c r="Z5" s="3393"/>
      <c r="AA5" s="3380"/>
      <c r="AB5" s="3380"/>
      <c r="AC5" s="3380"/>
    </row>
    <row r="6" spans="1:29" ht="15.75" thickBot="1">
      <c r="A6" s="516"/>
      <c r="B6" s="517"/>
      <c r="C6" s="3396" t="s">
        <v>2930</v>
      </c>
      <c r="D6" s="3397"/>
      <c r="E6" s="3414" t="s">
        <v>2930</v>
      </c>
      <c r="F6" s="3415"/>
      <c r="G6" s="3396" t="s">
        <v>2930</v>
      </c>
      <c r="H6" s="3397"/>
      <c r="I6" s="3396" t="s">
        <v>2930</v>
      </c>
      <c r="J6" s="3397"/>
      <c r="K6" s="853" t="s">
        <v>528</v>
      </c>
      <c r="L6" s="2118"/>
      <c r="M6" s="2119"/>
      <c r="N6" s="2119"/>
      <c r="O6" s="2119"/>
      <c r="P6" s="3388"/>
      <c r="Q6" s="3389"/>
      <c r="R6" s="3392"/>
      <c r="S6" s="3393"/>
      <c r="T6" s="3394"/>
      <c r="U6" s="3395"/>
      <c r="V6" s="3377"/>
      <c r="W6" s="3377"/>
      <c r="X6" s="1553"/>
      <c r="Y6" s="3394"/>
      <c r="Z6" s="3395"/>
      <c r="AA6" s="3381"/>
      <c r="AB6" s="3381"/>
      <c r="AC6" s="3381"/>
    </row>
    <row r="7" spans="1:29" s="1215" customFormat="1" ht="15.75" thickBot="1">
      <c r="A7" s="2866"/>
      <c r="B7" s="2873" t="s">
        <v>529</v>
      </c>
      <c r="C7" s="518">
        <f>'数据-取费表'!B2</f>
        <v>43754</v>
      </c>
      <c r="D7" s="519">
        <v>100</v>
      </c>
      <c r="E7" s="520">
        <f>C7</f>
        <v>43754</v>
      </c>
      <c r="F7" s="521">
        <f>SUMIF(58:58,YEAR(E7)&amp;"-"&amp;MONTH(E7),59:59)</f>
        <v>100</v>
      </c>
      <c r="G7" s="522">
        <f>C7</f>
        <v>43754</v>
      </c>
      <c r="H7" s="519">
        <f>SUMIF(58:58,YEAR(G7)&amp;"-"&amp;MONTH(G7),59:59)</f>
        <v>100</v>
      </c>
      <c r="I7" s="522">
        <f>C7</f>
        <v>43754</v>
      </c>
      <c r="J7" s="519">
        <f>SUMIF(58:58,YEAR(I7)&amp;"-"&amp;MONTH(I7),59:59)</f>
        <v>100</v>
      </c>
      <c r="K7" s="854"/>
      <c r="L7" s="2120"/>
      <c r="M7" s="2121"/>
      <c r="N7" s="2121"/>
      <c r="O7" s="2121"/>
      <c r="P7" s="3407" t="s">
        <v>530</v>
      </c>
      <c r="Q7" s="3409"/>
      <c r="R7" s="1554" t="s">
        <v>13</v>
      </c>
      <c r="S7" s="1555">
        <f t="shared" ref="S7:S15" si="0">F7</f>
        <v>100</v>
      </c>
      <c r="T7" s="1554" t="s">
        <v>13</v>
      </c>
      <c r="U7" s="1555">
        <f t="shared" ref="U7:U15" si="1">H7</f>
        <v>100</v>
      </c>
      <c r="V7" s="1554" t="s">
        <v>13</v>
      </c>
      <c r="W7" s="1555">
        <f t="shared" ref="W7:W15" si="2">J7</f>
        <v>100</v>
      </c>
      <c r="X7" s="1556"/>
      <c r="Y7" s="3407" t="s">
        <v>530</v>
      </c>
      <c r="Z7" s="3408"/>
      <c r="AA7" s="1557">
        <f>D7/F7</f>
        <v>1</v>
      </c>
      <c r="AB7" s="1557">
        <f>D7/H7</f>
        <v>1</v>
      </c>
      <c r="AC7" s="1557">
        <f>D7/J7</f>
        <v>1</v>
      </c>
    </row>
    <row r="8" spans="1:29" s="1215" customFormat="1" ht="15.75" thickBot="1">
      <c r="A8" s="2867"/>
      <c r="B8" s="2874" t="s">
        <v>531</v>
      </c>
      <c r="C8" s="524" t="s">
        <v>3238</v>
      </c>
      <c r="D8" s="519">
        <v>100</v>
      </c>
      <c r="E8" s="524" t="s">
        <v>3238</v>
      </c>
      <c r="F8" s="521">
        <f>SUMIF(61:61,E8,62:62)-SUMIF(61:61,C8,62:62)+100</f>
        <v>100</v>
      </c>
      <c r="G8" s="524" t="s">
        <v>3238</v>
      </c>
      <c r="H8" s="519">
        <f>SUMIF(61:61,G8,62:62)-SUMIF(61:61,C8,62:62)+100</f>
        <v>100</v>
      </c>
      <c r="I8" s="524" t="s">
        <v>3238</v>
      </c>
      <c r="J8" s="519">
        <f>SUMIF(61:61,I8,62:62)-SUMIF(61:61,C8,62:62)+100</f>
        <v>100</v>
      </c>
      <c r="K8" s="854"/>
      <c r="L8" s="2120"/>
      <c r="M8" s="2121"/>
      <c r="N8" s="2121"/>
      <c r="O8" s="2121"/>
      <c r="P8" s="3407" t="s">
        <v>533</v>
      </c>
      <c r="Q8" s="3408"/>
      <c r="R8" s="1554" t="s">
        <v>13</v>
      </c>
      <c r="S8" s="1555">
        <f t="shared" si="0"/>
        <v>100</v>
      </c>
      <c r="T8" s="1554" t="s">
        <v>13</v>
      </c>
      <c r="U8" s="1555">
        <f t="shared" si="1"/>
        <v>100</v>
      </c>
      <c r="V8" s="1554" t="s">
        <v>13</v>
      </c>
      <c r="W8" s="1555">
        <f t="shared" si="2"/>
        <v>100</v>
      </c>
      <c r="X8" s="1556"/>
      <c r="Y8" s="3407" t="s">
        <v>533</v>
      </c>
      <c r="Z8" s="3408"/>
      <c r="AA8" s="1557">
        <f t="shared" ref="AA8:AA46" si="3">D8/F8</f>
        <v>1</v>
      </c>
      <c r="AB8" s="1557">
        <f t="shared" ref="AB8:AB46" si="4">D8/H8</f>
        <v>1</v>
      </c>
      <c r="AC8" s="1557">
        <f t="shared" ref="AC8:AC46" si="5">D8/J8</f>
        <v>1</v>
      </c>
    </row>
    <row r="9" spans="1:29" s="1215" customFormat="1" ht="15">
      <c r="A9" s="2868"/>
      <c r="B9" s="2875" t="s">
        <v>2755</v>
      </c>
      <c r="C9" s="3191" t="s">
        <v>3239</v>
      </c>
      <c r="D9" s="253">
        <v>100</v>
      </c>
      <c r="E9" s="3191" t="s">
        <v>3239</v>
      </c>
      <c r="F9" s="858">
        <f>SUMIF(63:63,E9,64:64)-SUMIF(63:63,C9,64:64)+100</f>
        <v>100</v>
      </c>
      <c r="G9" s="3191" t="s">
        <v>3239</v>
      </c>
      <c r="H9" s="253">
        <f>SUMIF(63:63,G9,64:64)-SUMIF(63:63,C9,64:64)+100</f>
        <v>100</v>
      </c>
      <c r="I9" s="3191" t="s">
        <v>3239</v>
      </c>
      <c r="J9" s="253">
        <f>SUMIF(63:63,I9,64:64)-SUMIF(63:63,C9,64:64)+100</f>
        <v>100</v>
      </c>
      <c r="K9" s="854"/>
      <c r="L9" s="2120"/>
      <c r="M9" s="2121"/>
      <c r="N9" s="2121"/>
      <c r="O9" s="2122"/>
      <c r="P9" s="3376" t="s">
        <v>535</v>
      </c>
      <c r="Q9" s="1146" t="str">
        <f t="shared" ref="Q9:Q15" si="6">B9</f>
        <v>用途</v>
      </c>
      <c r="R9" s="1554" t="s">
        <v>8</v>
      </c>
      <c r="S9" s="1555">
        <f t="shared" si="0"/>
        <v>100</v>
      </c>
      <c r="T9" s="1554" t="s">
        <v>8</v>
      </c>
      <c r="U9" s="1555">
        <f t="shared" si="1"/>
        <v>100</v>
      </c>
      <c r="V9" s="1554" t="s">
        <v>8</v>
      </c>
      <c r="W9" s="1555">
        <f t="shared" si="2"/>
        <v>100</v>
      </c>
      <c r="X9" s="1556"/>
      <c r="Y9" s="3322" t="s">
        <v>536</v>
      </c>
      <c r="Z9" s="1145" t="str">
        <f t="shared" ref="Z9:Z15" si="7">Q9</f>
        <v>用途</v>
      </c>
      <c r="AA9" s="1557">
        <f t="shared" si="3"/>
        <v>1</v>
      </c>
      <c r="AB9" s="1557">
        <f t="shared" si="4"/>
        <v>1</v>
      </c>
      <c r="AC9" s="1557">
        <f t="shared" si="5"/>
        <v>1</v>
      </c>
    </row>
    <row r="10" spans="1:29" s="1333" customFormat="1" ht="27">
      <c r="A10" s="2869"/>
      <c r="B10" s="2874" t="s">
        <v>2756</v>
      </c>
      <c r="C10" s="860" t="s">
        <v>3240</v>
      </c>
      <c r="D10" s="254">
        <v>100</v>
      </c>
      <c r="E10" s="860" t="s">
        <v>3240</v>
      </c>
      <c r="F10" s="862">
        <f>SUMIF(65:65,E10,66:66)-SUMIF(65:65,C10,66:66)+100</f>
        <v>100</v>
      </c>
      <c r="G10" s="860" t="s">
        <v>3240</v>
      </c>
      <c r="H10" s="254">
        <f>SUMIF(65:65,G10,66:66)-SUMIF(65:65,C10,66:66)+100</f>
        <v>100</v>
      </c>
      <c r="I10" s="860" t="s">
        <v>3240</v>
      </c>
      <c r="J10" s="254">
        <f>SUMIF(65:65,I10,66:66)-SUMIF(65:65,C10,66:66)+100</f>
        <v>100</v>
      </c>
      <c r="K10" s="863">
        <v>2</v>
      </c>
      <c r="L10" s="2123"/>
      <c r="M10" s="2163"/>
      <c r="N10" s="2163"/>
      <c r="O10" s="2124"/>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0"/>
      <c r="B11" s="2874" t="s">
        <v>2757</v>
      </c>
      <c r="C11" s="532">
        <v>2.2000000000000002</v>
      </c>
      <c r="D11" s="254">
        <v>100</v>
      </c>
      <c r="E11" s="532">
        <v>1.5</v>
      </c>
      <c r="F11" s="862">
        <f>LOOKUP(E11,68:68,69:69)-LOOKUP(C11,68:68,69:69)+100</f>
        <v>105</v>
      </c>
      <c r="G11" s="532">
        <v>1.5</v>
      </c>
      <c r="H11" s="254">
        <f>LOOKUP(G11,68:68,69:69)-LOOKUP(C11,68:68,69:69)+100</f>
        <v>105</v>
      </c>
      <c r="I11" s="532">
        <v>1.1000000000000001</v>
      </c>
      <c r="J11" s="254">
        <f>LOOKUP(I11,68:68,69:69)-LOOKUP(C11,68:68,69:69)+100</f>
        <v>105</v>
      </c>
      <c r="K11" s="863">
        <v>5</v>
      </c>
      <c r="L11" s="2125"/>
      <c r="M11" s="2119"/>
      <c r="N11" s="2119"/>
      <c r="O11" s="2126"/>
      <c r="P11" s="3376"/>
      <c r="Q11" s="1146" t="str">
        <f t="shared" si="6"/>
        <v>容积率</v>
      </c>
      <c r="R11" s="1554" t="s">
        <v>11</v>
      </c>
      <c r="S11" s="1555">
        <f t="shared" si="0"/>
        <v>105</v>
      </c>
      <c r="T11" s="1554" t="s">
        <v>11</v>
      </c>
      <c r="U11" s="1555">
        <f t="shared" si="1"/>
        <v>105</v>
      </c>
      <c r="V11" s="1554" t="s">
        <v>11</v>
      </c>
      <c r="W11" s="1555">
        <f t="shared" si="2"/>
        <v>105</v>
      </c>
      <c r="X11" s="1556"/>
      <c r="Y11" s="3322"/>
      <c r="Z11" s="1145" t="str">
        <f t="shared" si="7"/>
        <v>容积率</v>
      </c>
      <c r="AA11" s="1557">
        <f t="shared" si="3"/>
        <v>0.95238095238095233</v>
      </c>
      <c r="AB11" s="1557">
        <f t="shared" si="4"/>
        <v>0.95238095238095233</v>
      </c>
      <c r="AC11" s="1557">
        <f t="shared" si="5"/>
        <v>0.95238095238095233</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6"/>
      <c r="Q12" s="1146">
        <f t="shared" si="6"/>
        <v>111</v>
      </c>
      <c r="R12" s="1554" t="s">
        <v>11</v>
      </c>
      <c r="S12" s="1555">
        <f t="shared" si="0"/>
        <v>100</v>
      </c>
      <c r="T12" s="1554" t="s">
        <v>11</v>
      </c>
      <c r="U12" s="1555">
        <f t="shared" si="1"/>
        <v>100</v>
      </c>
      <c r="V12" s="1554" t="s">
        <v>11</v>
      </c>
      <c r="W12" s="1555">
        <f t="shared" si="2"/>
        <v>100</v>
      </c>
      <c r="X12" s="1556"/>
      <c r="Y12" s="3322"/>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6"/>
      <c r="Q13" s="1146">
        <f t="shared" si="6"/>
        <v>111</v>
      </c>
      <c r="R13" s="1554" t="s">
        <v>11</v>
      </c>
      <c r="S13" s="1555">
        <f t="shared" si="0"/>
        <v>100</v>
      </c>
      <c r="T13" s="1554" t="s">
        <v>11</v>
      </c>
      <c r="U13" s="1555">
        <f t="shared" si="1"/>
        <v>100</v>
      </c>
      <c r="V13" s="1554" t="s">
        <v>11</v>
      </c>
      <c r="W13" s="1555">
        <f t="shared" si="2"/>
        <v>100</v>
      </c>
      <c r="X13" s="1556"/>
      <c r="Y13" s="3322"/>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6"/>
      <c r="Q14" s="1146">
        <f t="shared" si="6"/>
        <v>111</v>
      </c>
      <c r="R14" s="1554" t="s">
        <v>11</v>
      </c>
      <c r="S14" s="1555">
        <f t="shared" si="0"/>
        <v>100</v>
      </c>
      <c r="T14" s="1554" t="s">
        <v>11</v>
      </c>
      <c r="U14" s="1555">
        <f t="shared" si="1"/>
        <v>100</v>
      </c>
      <c r="V14" s="1554" t="s">
        <v>11</v>
      </c>
      <c r="W14" s="1555">
        <f t="shared" si="2"/>
        <v>100</v>
      </c>
      <c r="X14" s="1556"/>
      <c r="Y14" s="3322"/>
      <c r="Z14" s="1145">
        <f t="shared" si="7"/>
        <v>111</v>
      </c>
      <c r="AA14" s="1557">
        <f t="shared" si="3"/>
        <v>1</v>
      </c>
      <c r="AB14" s="1557">
        <f t="shared" si="4"/>
        <v>1</v>
      </c>
      <c r="AC14" s="1557">
        <f t="shared" si="5"/>
        <v>1</v>
      </c>
    </row>
    <row r="15" spans="1:29" ht="99.75">
      <c r="A15" s="2864"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27"/>
      <c r="M15" s="2119"/>
      <c r="N15" s="2119"/>
      <c r="O15" s="2126"/>
      <c r="P15" s="3410" t="s">
        <v>540</v>
      </c>
      <c r="Q15" s="1558" t="str">
        <f t="shared" si="6"/>
        <v>居住社区成熟度</v>
      </c>
      <c r="R15" s="1559" t="s">
        <v>11</v>
      </c>
      <c r="S15" s="1560">
        <f t="shared" si="0"/>
        <v>100</v>
      </c>
      <c r="T15" s="1559" t="s">
        <v>11</v>
      </c>
      <c r="U15" s="1560">
        <f t="shared" si="1"/>
        <v>100</v>
      </c>
      <c r="V15" s="1559" t="s">
        <v>11</v>
      </c>
      <c r="W15" s="1560">
        <f t="shared" si="2"/>
        <v>100</v>
      </c>
      <c r="X15" s="1553"/>
      <c r="Y15" s="3410" t="s">
        <v>540</v>
      </c>
      <c r="Z15" s="1561" t="str">
        <f t="shared" si="7"/>
        <v>居住社区成熟度</v>
      </c>
      <c r="AA15" s="1562">
        <f t="shared" si="3"/>
        <v>1</v>
      </c>
      <c r="AB15" s="1562">
        <f t="shared" si="4"/>
        <v>1</v>
      </c>
      <c r="AC15" s="1562">
        <f t="shared" si="5"/>
        <v>1</v>
      </c>
    </row>
    <row r="16" spans="1:29" ht="15">
      <c r="A16" s="531"/>
      <c r="B16" s="868"/>
      <c r="C16" s="575" t="s">
        <v>3224</v>
      </c>
      <c r="D16" s="554"/>
      <c r="E16" s="555" t="s">
        <v>3224</v>
      </c>
      <c r="F16" s="556"/>
      <c r="G16" s="557" t="s">
        <v>3224</v>
      </c>
      <c r="H16" s="558"/>
      <c r="I16" s="555" t="s">
        <v>3224</v>
      </c>
      <c r="J16" s="554"/>
      <c r="K16" s="869"/>
      <c r="L16" s="2127"/>
      <c r="M16" s="2119"/>
      <c r="N16" s="2119"/>
      <c r="O16" s="2126"/>
      <c r="P16" s="3411"/>
      <c r="Q16" s="1558"/>
      <c r="R16" s="1559"/>
      <c r="S16" s="1560"/>
      <c r="T16" s="1559"/>
      <c r="U16" s="1560"/>
      <c r="V16" s="1559"/>
      <c r="W16" s="1560"/>
      <c r="X16" s="1553"/>
      <c r="Y16" s="3411"/>
      <c r="Z16" s="1561"/>
      <c r="AA16" s="1562">
        <v>1</v>
      </c>
      <c r="AB16" s="1562">
        <v>1</v>
      </c>
      <c r="AC16" s="1562">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97</v>
      </c>
      <c r="K17" s="867">
        <v>3</v>
      </c>
      <c r="L17" s="2127"/>
      <c r="M17" s="2119"/>
      <c r="N17" s="2119"/>
      <c r="O17" s="2126"/>
      <c r="P17" s="3411"/>
      <c r="Q17" s="1558" t="str">
        <f>B17</f>
        <v>交通便捷度</v>
      </c>
      <c r="R17" s="1559" t="s">
        <v>11</v>
      </c>
      <c r="S17" s="1560">
        <f>F17</f>
        <v>100</v>
      </c>
      <c r="T17" s="1559" t="s">
        <v>11</v>
      </c>
      <c r="U17" s="1560">
        <f>H17</f>
        <v>100</v>
      </c>
      <c r="V17" s="1559" t="s">
        <v>11</v>
      </c>
      <c r="W17" s="1560">
        <f>J17</f>
        <v>97</v>
      </c>
      <c r="X17" s="1553"/>
      <c r="Y17" s="3411"/>
      <c r="Z17" s="1561" t="str">
        <f>Q17</f>
        <v>交通便捷度</v>
      </c>
      <c r="AA17" s="1562">
        <f t="shared" si="3"/>
        <v>1</v>
      </c>
      <c r="AB17" s="1562">
        <f t="shared" si="4"/>
        <v>1</v>
      </c>
      <c r="AC17" s="1562">
        <f t="shared" si="5"/>
        <v>1.0309278350515463</v>
      </c>
    </row>
    <row r="18" spans="1:29" ht="15">
      <c r="A18" s="531"/>
      <c r="B18" s="594"/>
      <c r="C18" s="872" t="s">
        <v>3224</v>
      </c>
      <c r="D18" s="558"/>
      <c r="E18" s="872" t="s">
        <v>3224</v>
      </c>
      <c r="F18" s="562"/>
      <c r="G18" s="568" t="s">
        <v>3224</v>
      </c>
      <c r="H18" s="554"/>
      <c r="I18" s="567" t="s">
        <v>3225</v>
      </c>
      <c r="J18" s="554"/>
      <c r="K18" s="869"/>
      <c r="L18" s="2127"/>
      <c r="M18" s="2119"/>
      <c r="N18" s="2119"/>
      <c r="O18" s="2126"/>
      <c r="P18" s="3411"/>
      <c r="Q18" s="1558"/>
      <c r="R18" s="1559"/>
      <c r="S18" s="1560"/>
      <c r="T18" s="1559"/>
      <c r="U18" s="1560"/>
      <c r="V18" s="1559"/>
      <c r="W18" s="1560"/>
      <c r="X18" s="1553"/>
      <c r="Y18" s="3411"/>
      <c r="Z18" s="1561"/>
      <c r="AA18" s="1562">
        <v>1</v>
      </c>
      <c r="AB18" s="1562">
        <v>1</v>
      </c>
      <c r="AC18" s="1562">
        <v>1</v>
      </c>
    </row>
    <row r="19" spans="1:29" ht="42.75">
      <c r="A19" s="531"/>
      <c r="B19" s="256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98</v>
      </c>
      <c r="K19" s="867">
        <v>2</v>
      </c>
      <c r="L19" s="2127"/>
      <c r="M19" s="2119"/>
      <c r="N19" s="2119"/>
      <c r="O19" s="2126"/>
      <c r="P19" s="3411"/>
      <c r="Q19" s="1558" t="str">
        <f>B19</f>
        <v>公共配套设施</v>
      </c>
      <c r="R19" s="1559" t="s">
        <v>11</v>
      </c>
      <c r="S19" s="1560">
        <f>F19</f>
        <v>100</v>
      </c>
      <c r="T19" s="1559" t="s">
        <v>11</v>
      </c>
      <c r="U19" s="1560">
        <f>H19</f>
        <v>100</v>
      </c>
      <c r="V19" s="1559" t="s">
        <v>11</v>
      </c>
      <c r="W19" s="1560">
        <f>J19</f>
        <v>98</v>
      </c>
      <c r="X19" s="1553"/>
      <c r="Y19" s="3411"/>
      <c r="Z19" s="1561" t="str">
        <f>Q19</f>
        <v>公共配套设施</v>
      </c>
      <c r="AA19" s="1562">
        <f t="shared" si="3"/>
        <v>1</v>
      </c>
      <c r="AB19" s="1562">
        <f t="shared" si="4"/>
        <v>1</v>
      </c>
      <c r="AC19" s="1562">
        <f t="shared" si="5"/>
        <v>1.0204081632653061</v>
      </c>
    </row>
    <row r="20" spans="1:29" ht="15">
      <c r="A20" s="531"/>
      <c r="B20" s="594"/>
      <c r="C20" s="575" t="s">
        <v>3224</v>
      </c>
      <c r="D20" s="554"/>
      <c r="E20" s="555" t="s">
        <v>3224</v>
      </c>
      <c r="F20" s="556"/>
      <c r="G20" s="557" t="s">
        <v>3224</v>
      </c>
      <c r="H20" s="554"/>
      <c r="I20" s="555" t="s">
        <v>3225</v>
      </c>
      <c r="J20" s="554"/>
      <c r="K20" s="869"/>
      <c r="L20" s="2127"/>
      <c r="M20" s="2119"/>
      <c r="N20" s="2119"/>
      <c r="O20" s="2126"/>
      <c r="P20" s="3411"/>
      <c r="Q20" s="1558"/>
      <c r="R20" s="1559"/>
      <c r="S20" s="1560"/>
      <c r="T20" s="1559"/>
      <c r="U20" s="1560"/>
      <c r="V20" s="1559"/>
      <c r="W20" s="1560"/>
      <c r="X20" s="1553"/>
      <c r="Y20" s="3411"/>
      <c r="Z20" s="1561"/>
      <c r="AA20" s="1562">
        <v>1</v>
      </c>
      <c r="AB20" s="1562">
        <v>1</v>
      </c>
      <c r="AC20" s="1562">
        <v>1</v>
      </c>
    </row>
    <row r="21" spans="1:29" ht="42.75">
      <c r="A21" s="531"/>
      <c r="B21" s="255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2</v>
      </c>
      <c r="L21" s="2127"/>
      <c r="M21" s="2119"/>
      <c r="N21" s="2119"/>
      <c r="O21" s="2126"/>
      <c r="P21" s="3411"/>
      <c r="Q21" s="2543" t="str">
        <f>B21</f>
        <v>基础设施水平</v>
      </c>
      <c r="R21" s="1559" t="s">
        <v>11</v>
      </c>
      <c r="S21" s="1560">
        <f>F21</f>
        <v>100</v>
      </c>
      <c r="T21" s="1559" t="s">
        <v>11</v>
      </c>
      <c r="U21" s="1560">
        <f>H21</f>
        <v>100</v>
      </c>
      <c r="V21" s="1559" t="s">
        <v>11</v>
      </c>
      <c r="W21" s="1560">
        <f>J21</f>
        <v>100</v>
      </c>
      <c r="X21" s="2545"/>
      <c r="Y21" s="3411"/>
      <c r="Z21" s="2544" t="str">
        <f>Q21</f>
        <v>基础设施水平</v>
      </c>
      <c r="AA21" s="1562">
        <f t="shared" ref="AA21" si="8">D21/F21</f>
        <v>1</v>
      </c>
      <c r="AB21" s="1562">
        <f t="shared" ref="AB21" si="9">D21/H21</f>
        <v>1</v>
      </c>
      <c r="AC21" s="1562">
        <f t="shared" ref="AC21" si="10">D21/J21</f>
        <v>1</v>
      </c>
    </row>
    <row r="22" spans="1:29" ht="15">
      <c r="A22" s="531"/>
      <c r="B22" s="921"/>
      <c r="C22" s="872" t="s">
        <v>3227</v>
      </c>
      <c r="D22" s="554"/>
      <c r="E22" s="575" t="s">
        <v>3227</v>
      </c>
      <c r="F22" s="556"/>
      <c r="G22" s="575" t="s">
        <v>3227</v>
      </c>
      <c r="H22" s="554"/>
      <c r="I22" s="575" t="s">
        <v>3227</v>
      </c>
      <c r="J22" s="554"/>
      <c r="K22" s="2563"/>
      <c r="L22" s="2127"/>
      <c r="M22" s="2119"/>
      <c r="N22" s="2119"/>
      <c r="O22" s="2126"/>
      <c r="P22" s="3411"/>
      <c r="Q22" s="2543"/>
      <c r="R22" s="1559"/>
      <c r="S22" s="1560"/>
      <c r="T22" s="1559"/>
      <c r="U22" s="1560"/>
      <c r="V22" s="1559"/>
      <c r="W22" s="1560"/>
      <c r="X22" s="2545"/>
      <c r="Y22" s="3411"/>
      <c r="Z22" s="2544"/>
      <c r="AA22" s="1562">
        <v>1</v>
      </c>
      <c r="AB22" s="1562">
        <v>1</v>
      </c>
      <c r="AC22" s="1562">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102</v>
      </c>
      <c r="K23" s="867">
        <v>2</v>
      </c>
      <c r="L23" s="2127"/>
      <c r="M23" s="2119"/>
      <c r="N23" s="2119"/>
      <c r="O23" s="2126"/>
      <c r="P23" s="3411"/>
      <c r="Q23" s="1558" t="str">
        <f>B23</f>
        <v>自然及人文环境</v>
      </c>
      <c r="R23" s="1559" t="s">
        <v>11</v>
      </c>
      <c r="S23" s="1560">
        <f>F23</f>
        <v>100</v>
      </c>
      <c r="T23" s="1559" t="s">
        <v>11</v>
      </c>
      <c r="U23" s="1560">
        <f>H23</f>
        <v>100</v>
      </c>
      <c r="V23" s="1559" t="s">
        <v>11</v>
      </c>
      <c r="W23" s="1560">
        <f>J23</f>
        <v>102</v>
      </c>
      <c r="X23" s="1553"/>
      <c r="Y23" s="3411"/>
      <c r="Z23" s="1561" t="str">
        <f>Q23</f>
        <v>自然及人文环境</v>
      </c>
      <c r="AA23" s="1562">
        <f t="shared" si="3"/>
        <v>1</v>
      </c>
      <c r="AB23" s="1562">
        <f t="shared" si="4"/>
        <v>1</v>
      </c>
      <c r="AC23" s="1562">
        <f t="shared" si="5"/>
        <v>0.98039215686274506</v>
      </c>
    </row>
    <row r="24" spans="1:29" ht="15">
      <c r="A24" s="531"/>
      <c r="B24" s="594"/>
      <c r="C24" s="575" t="s">
        <v>3224</v>
      </c>
      <c r="D24" s="554"/>
      <c r="E24" s="555" t="s">
        <v>3224</v>
      </c>
      <c r="F24" s="556"/>
      <c r="G24" s="557" t="s">
        <v>3224</v>
      </c>
      <c r="H24" s="554"/>
      <c r="I24" s="555" t="s">
        <v>3237</v>
      </c>
      <c r="J24" s="554"/>
      <c r="K24" s="869"/>
      <c r="L24" s="2127"/>
      <c r="M24" s="2119"/>
      <c r="N24" s="2119"/>
      <c r="O24" s="2126"/>
      <c r="P24" s="3411"/>
      <c r="Q24" s="1558"/>
      <c r="R24" s="1559"/>
      <c r="S24" s="1560"/>
      <c r="T24" s="1559"/>
      <c r="U24" s="1560"/>
      <c r="V24" s="1559"/>
      <c r="W24" s="1560"/>
      <c r="X24" s="1553"/>
      <c r="Y24" s="3411"/>
      <c r="Z24" s="1561"/>
      <c r="AA24" s="1562">
        <v>1</v>
      </c>
      <c r="AB24" s="1562">
        <v>1</v>
      </c>
      <c r="AC24" s="1562">
        <v>1</v>
      </c>
    </row>
    <row r="25" spans="1:29" ht="15">
      <c r="A25" s="531"/>
      <c r="B25" s="1880" t="s">
        <v>2256</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11"/>
      <c r="Q25" s="1558" t="str">
        <f t="shared" ref="Q25:Q46" si="11">B25</f>
        <v>楼层-1</v>
      </c>
      <c r="R25" s="1559" t="s">
        <v>11</v>
      </c>
      <c r="S25" s="1560">
        <f>F25</f>
        <v>100</v>
      </c>
      <c r="T25" s="1559" t="s">
        <v>11</v>
      </c>
      <c r="U25" s="1560">
        <f>H25</f>
        <v>100</v>
      </c>
      <c r="V25" s="1559" t="s">
        <v>11</v>
      </c>
      <c r="W25" s="1560">
        <f>J25</f>
        <v>100</v>
      </c>
      <c r="X25" s="1553"/>
      <c r="Y25" s="3411"/>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11"/>
      <c r="Q26" s="1558" t="str">
        <f t="shared" si="11"/>
        <v>朝向</v>
      </c>
      <c r="R26" s="1559" t="s">
        <v>11</v>
      </c>
      <c r="S26" s="1560">
        <f>F26</f>
        <v>100</v>
      </c>
      <c r="T26" s="1559" t="s">
        <v>11</v>
      </c>
      <c r="U26" s="1560">
        <f>H26</f>
        <v>100</v>
      </c>
      <c r="V26" s="1559" t="s">
        <v>11</v>
      </c>
      <c r="W26" s="1560">
        <f>J26</f>
        <v>100</v>
      </c>
      <c r="X26" s="1553"/>
      <c r="Y26" s="3411"/>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11"/>
      <c r="Q27" s="1146" t="str">
        <f t="shared" si="11"/>
        <v>道路级别</v>
      </c>
      <c r="R27" s="1554" t="s">
        <v>11</v>
      </c>
      <c r="S27" s="1555">
        <f>F27</f>
        <v>100</v>
      </c>
      <c r="T27" s="1554" t="s">
        <v>11</v>
      </c>
      <c r="U27" s="1555">
        <f>H27</f>
        <v>100</v>
      </c>
      <c r="V27" s="1554" t="s">
        <v>11</v>
      </c>
      <c r="W27" s="1555">
        <f>J27</f>
        <v>100</v>
      </c>
      <c r="X27" s="1556"/>
      <c r="Y27" s="3411"/>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1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1"/>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11"/>
      <c r="Q29" s="1558">
        <f t="shared" si="11"/>
        <v>111</v>
      </c>
      <c r="R29" s="1559" t="s">
        <v>11</v>
      </c>
      <c r="S29" s="1560">
        <f t="shared" si="12"/>
        <v>100</v>
      </c>
      <c r="T29" s="1559" t="s">
        <v>11</v>
      </c>
      <c r="U29" s="1560">
        <f t="shared" si="13"/>
        <v>100</v>
      </c>
      <c r="V29" s="1559" t="s">
        <v>11</v>
      </c>
      <c r="W29" s="1560">
        <f t="shared" si="14"/>
        <v>100</v>
      </c>
      <c r="X29" s="1553"/>
      <c r="Y29" s="3411"/>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11"/>
      <c r="Q30" s="1558">
        <f t="shared" si="11"/>
        <v>111</v>
      </c>
      <c r="R30" s="1559" t="s">
        <v>11</v>
      </c>
      <c r="S30" s="1560">
        <f t="shared" si="12"/>
        <v>100</v>
      </c>
      <c r="T30" s="1559" t="s">
        <v>11</v>
      </c>
      <c r="U30" s="1560">
        <f t="shared" si="13"/>
        <v>100</v>
      </c>
      <c r="V30" s="1559" t="s">
        <v>11</v>
      </c>
      <c r="W30" s="1560">
        <f t="shared" si="14"/>
        <v>100</v>
      </c>
      <c r="X30" s="1553"/>
      <c r="Y30" s="3411"/>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11"/>
      <c r="Q31" s="1558">
        <f t="shared" si="11"/>
        <v>111</v>
      </c>
      <c r="R31" s="1559" t="s">
        <v>11</v>
      </c>
      <c r="S31" s="1560">
        <f t="shared" si="12"/>
        <v>100</v>
      </c>
      <c r="T31" s="1559" t="s">
        <v>11</v>
      </c>
      <c r="U31" s="1560">
        <f t="shared" si="13"/>
        <v>100</v>
      </c>
      <c r="V31" s="1559" t="s">
        <v>11</v>
      </c>
      <c r="W31" s="1560">
        <f t="shared" si="14"/>
        <v>100</v>
      </c>
      <c r="X31" s="1553"/>
      <c r="Y31" s="3411"/>
      <c r="Z31" s="1561">
        <f t="shared" si="15"/>
        <v>111</v>
      </c>
      <c r="AA31" s="1562">
        <f t="shared" si="3"/>
        <v>1</v>
      </c>
      <c r="AB31" s="1562">
        <f t="shared" si="4"/>
        <v>1</v>
      </c>
      <c r="AC31" s="1562">
        <f t="shared" si="5"/>
        <v>1</v>
      </c>
    </row>
    <row r="32" spans="1:29" ht="15">
      <c r="A32" s="2861" t="s">
        <v>2754</v>
      </c>
      <c r="B32" s="3204" t="s">
        <v>725</v>
      </c>
      <c r="C32" s="877" t="s">
        <v>3241</v>
      </c>
      <c r="D32" s="596">
        <v>100</v>
      </c>
      <c r="E32" s="878" t="s">
        <v>3270</v>
      </c>
      <c r="F32" s="574">
        <f>SUMIF(100:100,E32,101:101)-SUMIF(100:100,C32,101:101)+100</f>
        <v>88</v>
      </c>
      <c r="G32" s="877" t="s">
        <v>3242</v>
      </c>
      <c r="H32" s="596">
        <f>SUMIF(100:100,G32,101:101)-SUMIF(100:100,C32,101:101)+100</f>
        <v>94</v>
      </c>
      <c r="I32" s="878" t="s">
        <v>3271</v>
      </c>
      <c r="J32" s="539">
        <f>SUMIF(100:100,I32,101:101)-SUMIF(100:100,C32,101:101)+100</f>
        <v>106</v>
      </c>
      <c r="K32" s="863">
        <v>6</v>
      </c>
      <c r="L32" s="2127"/>
      <c r="M32" s="2119"/>
      <c r="N32" s="2119"/>
      <c r="O32" s="2126"/>
      <c r="P32" s="3412" t="s">
        <v>550</v>
      </c>
      <c r="Q32" s="1558" t="str">
        <f t="shared" si="11"/>
        <v>建筑类型</v>
      </c>
      <c r="R32" s="1559" t="s">
        <v>11</v>
      </c>
      <c r="S32" s="1560">
        <f t="shared" si="12"/>
        <v>88</v>
      </c>
      <c r="T32" s="1559" t="s">
        <v>11</v>
      </c>
      <c r="U32" s="1560">
        <f t="shared" si="13"/>
        <v>94</v>
      </c>
      <c r="V32" s="1559" t="s">
        <v>11</v>
      </c>
      <c r="W32" s="1560">
        <f t="shared" si="14"/>
        <v>106</v>
      </c>
      <c r="X32" s="1553"/>
      <c r="Y32" s="3413" t="s">
        <v>550</v>
      </c>
      <c r="Z32" s="1561" t="str">
        <f t="shared" si="15"/>
        <v>建筑类型</v>
      </c>
      <c r="AA32" s="1562">
        <f t="shared" si="3"/>
        <v>1.1363636363636365</v>
      </c>
      <c r="AB32" s="1562">
        <f t="shared" si="4"/>
        <v>1.0638297872340425</v>
      </c>
      <c r="AC32" s="1562">
        <f t="shared" si="5"/>
        <v>0.94339622641509435</v>
      </c>
    </row>
    <row r="33" spans="1:29" s="1334" customFormat="1" ht="15">
      <c r="A33" s="602"/>
      <c r="B33" s="526" t="s">
        <v>726</v>
      </c>
      <c r="C33" s="879">
        <f>'[1]不动产比较法-住宅'!C33</f>
        <v>163218.28</v>
      </c>
      <c r="D33" s="254">
        <v>100</v>
      </c>
      <c r="E33" s="533">
        <v>107721</v>
      </c>
      <c r="F33" s="862">
        <f>LOOKUP(E33,103:103,104:104)-LOOKUP(C33,103:103,104:104)+100</f>
        <v>98</v>
      </c>
      <c r="G33" s="532">
        <v>40230</v>
      </c>
      <c r="H33" s="254">
        <f>LOOKUP(G33,103:103,104:104)-LOOKUP(C33,103:103,104:104)+100</f>
        <v>94</v>
      </c>
      <c r="I33" s="533">
        <v>61643</v>
      </c>
      <c r="J33" s="254">
        <f>LOOKUP(I33,103:103,104:104)-LOOKUP(C33,103:103,104:104)+100</f>
        <v>96</v>
      </c>
      <c r="K33" s="864"/>
      <c r="L33" s="2125"/>
      <c r="M33" s="2156"/>
      <c r="N33" s="2156"/>
      <c r="O33" s="2128"/>
      <c r="P33" s="3413"/>
      <c r="Q33" s="1590" t="str">
        <f t="shared" si="11"/>
        <v>项目建筑规模</v>
      </c>
      <c r="R33" s="1563" t="s">
        <v>11</v>
      </c>
      <c r="S33" s="1564">
        <f t="shared" si="12"/>
        <v>98</v>
      </c>
      <c r="T33" s="1563" t="s">
        <v>11</v>
      </c>
      <c r="U33" s="1564">
        <f t="shared" si="13"/>
        <v>94</v>
      </c>
      <c r="V33" s="1563" t="s">
        <v>11</v>
      </c>
      <c r="W33" s="1564">
        <f t="shared" si="14"/>
        <v>96</v>
      </c>
      <c r="X33" s="1565"/>
      <c r="Y33" s="3413"/>
      <c r="Z33" s="1566" t="str">
        <f t="shared" si="15"/>
        <v>项目建筑规模</v>
      </c>
      <c r="AA33" s="1562">
        <f t="shared" si="3"/>
        <v>1.0204081632653061</v>
      </c>
      <c r="AB33" s="1562">
        <f t="shared" si="4"/>
        <v>1.0638297872340425</v>
      </c>
      <c r="AC33" s="1562">
        <f t="shared" si="5"/>
        <v>1.0416666666666667</v>
      </c>
    </row>
    <row r="34" spans="1:29" ht="15">
      <c r="A34" s="593"/>
      <c r="B34" s="526" t="s">
        <v>727</v>
      </c>
      <c r="C34" s="880" t="s">
        <v>3243</v>
      </c>
      <c r="D34" s="539">
        <v>100</v>
      </c>
      <c r="E34" s="881" t="s">
        <v>3243</v>
      </c>
      <c r="F34" s="574">
        <f>SUMIF(105:105,E34,106:106)-SUMIF(105:105,C34,106:106)+100</f>
        <v>100</v>
      </c>
      <c r="G34" s="880" t="s">
        <v>3243</v>
      </c>
      <c r="H34" s="539">
        <f>SUMIF(105:105,G34,106:106)-SUMIF(105:105,C34,106:106)+100</f>
        <v>100</v>
      </c>
      <c r="I34" s="881" t="s">
        <v>3243</v>
      </c>
      <c r="J34" s="539">
        <f>SUMIF(105:105,I34,106:106)-SUMIF(105:105,C34,106:106)+100</f>
        <v>100</v>
      </c>
      <c r="K34" s="863">
        <v>2</v>
      </c>
      <c r="L34" s="2127"/>
      <c r="M34" s="2119"/>
      <c r="N34" s="2119"/>
      <c r="O34" s="2126"/>
      <c r="P34" s="3413"/>
      <c r="Q34" s="1558" t="str">
        <f t="shared" si="11"/>
        <v>建筑结构</v>
      </c>
      <c r="R34" s="1559" t="s">
        <v>11</v>
      </c>
      <c r="S34" s="1560">
        <f t="shared" si="12"/>
        <v>100</v>
      </c>
      <c r="T34" s="1559" t="s">
        <v>11</v>
      </c>
      <c r="U34" s="1560">
        <f t="shared" si="13"/>
        <v>100</v>
      </c>
      <c r="V34" s="1559" t="s">
        <v>11</v>
      </c>
      <c r="W34" s="1560">
        <f t="shared" si="14"/>
        <v>100</v>
      </c>
      <c r="X34" s="1553"/>
      <c r="Y34" s="3413"/>
      <c r="Z34" s="1561" t="str">
        <f t="shared" si="15"/>
        <v>建筑结构</v>
      </c>
      <c r="AA34" s="1562">
        <f t="shared" si="3"/>
        <v>1</v>
      </c>
      <c r="AB34" s="1562">
        <f t="shared" si="4"/>
        <v>1</v>
      </c>
      <c r="AC34" s="1562">
        <f t="shared" si="5"/>
        <v>1</v>
      </c>
    </row>
    <row r="35" spans="1:29" ht="15">
      <c r="A35" s="593"/>
      <c r="B35" s="526" t="s">
        <v>728</v>
      </c>
      <c r="C35" s="598" t="s">
        <v>3244</v>
      </c>
      <c r="D35" s="539">
        <v>100</v>
      </c>
      <c r="E35" s="873" t="s">
        <v>3244</v>
      </c>
      <c r="F35" s="574">
        <f>SUMIF(107:107,E35,108:108)-SUMIF(107:107,C35,108:108)+100</f>
        <v>100</v>
      </c>
      <c r="G35" s="598" t="s">
        <v>3244</v>
      </c>
      <c r="H35" s="539">
        <f>SUMIF(107:107,G35,108:108)-SUMIF(107:107,C35,108:108)+100</f>
        <v>100</v>
      </c>
      <c r="I35" s="873" t="s">
        <v>3244</v>
      </c>
      <c r="J35" s="539">
        <f>SUMIF(107:107,I35,108:108)-SUMIF(107:107,C35,108:108)+100</f>
        <v>100</v>
      </c>
      <c r="K35" s="863">
        <v>3</v>
      </c>
      <c r="L35" s="2127"/>
      <c r="M35" s="2119"/>
      <c r="N35" s="2119"/>
      <c r="O35" s="2126"/>
      <c r="P35" s="3413"/>
      <c r="Q35" s="1558" t="str">
        <f t="shared" si="11"/>
        <v>建筑品质</v>
      </c>
      <c r="R35" s="1559" t="s">
        <v>11</v>
      </c>
      <c r="S35" s="1560">
        <f t="shared" si="12"/>
        <v>100</v>
      </c>
      <c r="T35" s="1559" t="s">
        <v>11</v>
      </c>
      <c r="U35" s="1560">
        <f t="shared" si="13"/>
        <v>100</v>
      </c>
      <c r="V35" s="1559" t="s">
        <v>11</v>
      </c>
      <c r="W35" s="1560">
        <f t="shared" si="14"/>
        <v>100</v>
      </c>
      <c r="X35" s="1553"/>
      <c r="Y35" s="3413"/>
      <c r="Z35" s="1561" t="str">
        <f t="shared" si="15"/>
        <v>建筑品质</v>
      </c>
      <c r="AA35" s="1562">
        <f t="shared" si="3"/>
        <v>1</v>
      </c>
      <c r="AB35" s="1562">
        <f t="shared" si="4"/>
        <v>1</v>
      </c>
      <c r="AC35" s="1562">
        <f t="shared" si="5"/>
        <v>1</v>
      </c>
    </row>
    <row r="36" spans="1:29" ht="15">
      <c r="A36" s="593"/>
      <c r="B36" s="526" t="s">
        <v>729</v>
      </c>
      <c r="C36" s="598" t="s">
        <v>3245</v>
      </c>
      <c r="D36" s="539">
        <v>100</v>
      </c>
      <c r="E36" s="873" t="s">
        <v>3245</v>
      </c>
      <c r="F36" s="574">
        <f>SUMIF(109:109,E36,110:110)-SUMIF(109:109,C36,110:110)+100</f>
        <v>100</v>
      </c>
      <c r="G36" s="598" t="s">
        <v>3245</v>
      </c>
      <c r="H36" s="539">
        <f>SUMIF(109:109,G36,110:110)-SUMIF(109:109,C36,110:110)+100</f>
        <v>100</v>
      </c>
      <c r="I36" s="873" t="s">
        <v>3245</v>
      </c>
      <c r="J36" s="539">
        <f>SUMIF(109:109,I36,110:110)-SUMIF(109:109,C36,110:110)+100</f>
        <v>100</v>
      </c>
      <c r="K36" s="863">
        <v>3</v>
      </c>
      <c r="L36" s="2127"/>
      <c r="M36" s="2119"/>
      <c r="N36" s="2119"/>
      <c r="O36" s="2126"/>
      <c r="P36" s="3413"/>
      <c r="Q36" s="1558" t="str">
        <f t="shared" si="11"/>
        <v>公共部分装修</v>
      </c>
      <c r="R36" s="1559" t="s">
        <v>11</v>
      </c>
      <c r="S36" s="1560">
        <f t="shared" si="12"/>
        <v>100</v>
      </c>
      <c r="T36" s="1559" t="s">
        <v>11</v>
      </c>
      <c r="U36" s="1560">
        <f t="shared" si="13"/>
        <v>100</v>
      </c>
      <c r="V36" s="1559" t="s">
        <v>11</v>
      </c>
      <c r="W36" s="1560">
        <f t="shared" si="14"/>
        <v>100</v>
      </c>
      <c r="X36" s="1553"/>
      <c r="Y36" s="3413"/>
      <c r="Z36" s="1561" t="str">
        <f t="shared" si="15"/>
        <v>公共部分装修</v>
      </c>
      <c r="AA36" s="1562">
        <f t="shared" si="3"/>
        <v>1</v>
      </c>
      <c r="AB36" s="1562">
        <f t="shared" si="4"/>
        <v>1</v>
      </c>
      <c r="AC36" s="1562">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20"/>
      <c r="M37" s="2121"/>
      <c r="N37" s="2121"/>
      <c r="O37" s="2122"/>
      <c r="P37" s="3413"/>
      <c r="Q37" s="1146" t="str">
        <f t="shared" si="11"/>
        <v>成新度</v>
      </c>
      <c r="R37" s="1554" t="s">
        <v>11</v>
      </c>
      <c r="S37" s="1555">
        <f t="shared" si="12"/>
        <v>100</v>
      </c>
      <c r="T37" s="1554" t="s">
        <v>11</v>
      </c>
      <c r="U37" s="1555">
        <f t="shared" si="13"/>
        <v>100</v>
      </c>
      <c r="V37" s="1554" t="s">
        <v>11</v>
      </c>
      <c r="W37" s="1555">
        <f t="shared" si="14"/>
        <v>100</v>
      </c>
      <c r="X37" s="1556"/>
      <c r="Y37" s="3413"/>
      <c r="Z37" s="1145" t="str">
        <f t="shared" si="15"/>
        <v>成新度</v>
      </c>
      <c r="AA37" s="1557">
        <f t="shared" si="3"/>
        <v>1</v>
      </c>
      <c r="AB37" s="1557">
        <f t="shared" si="4"/>
        <v>1</v>
      </c>
      <c r="AC37" s="1557">
        <f t="shared" si="5"/>
        <v>1</v>
      </c>
    </row>
    <row r="38" spans="1:29" ht="15">
      <c r="A38" s="593"/>
      <c r="B38" s="526" t="s">
        <v>731</v>
      </c>
      <c r="C38" s="598" t="s">
        <v>3246</v>
      </c>
      <c r="D38" s="539">
        <v>100</v>
      </c>
      <c r="E38" s="873" t="s">
        <v>3246</v>
      </c>
      <c r="F38" s="574">
        <f>SUMIF(114:114,E38,115:115)-SUMIF(114:114,C38,115:115)+100</f>
        <v>100</v>
      </c>
      <c r="G38" s="598" t="s">
        <v>3246</v>
      </c>
      <c r="H38" s="539">
        <f>SUMIF(114:114,G38,115:115)-SUMIF(114:114,C38,115:115)+100</f>
        <v>100</v>
      </c>
      <c r="I38" s="873" t="s">
        <v>3246</v>
      </c>
      <c r="J38" s="539">
        <f>SUMIF(114:114,I38,115:115)-SUMIF(114:114,C38,115:115)+100</f>
        <v>100</v>
      </c>
      <c r="K38" s="863">
        <v>2</v>
      </c>
      <c r="L38" s="2127"/>
      <c r="M38" s="2119"/>
      <c r="N38" s="2119"/>
      <c r="O38" s="2126"/>
      <c r="P38" s="3413" t="s">
        <v>550</v>
      </c>
      <c r="Q38" s="1558" t="str">
        <f t="shared" si="11"/>
        <v>物业管理</v>
      </c>
      <c r="R38" s="1559" t="s">
        <v>11</v>
      </c>
      <c r="S38" s="1560">
        <f t="shared" si="12"/>
        <v>100</v>
      </c>
      <c r="T38" s="1559" t="s">
        <v>11</v>
      </c>
      <c r="U38" s="1560">
        <f t="shared" si="13"/>
        <v>100</v>
      </c>
      <c r="V38" s="1559" t="s">
        <v>11</v>
      </c>
      <c r="W38" s="1560">
        <f t="shared" si="14"/>
        <v>100</v>
      </c>
      <c r="X38" s="1553"/>
      <c r="Y38" s="3413" t="s">
        <v>550</v>
      </c>
      <c r="Z38" s="1561" t="str">
        <f t="shared" si="15"/>
        <v>物业管理</v>
      </c>
      <c r="AA38" s="1562">
        <f t="shared" si="3"/>
        <v>1</v>
      </c>
      <c r="AB38" s="1562">
        <f t="shared" si="4"/>
        <v>1</v>
      </c>
      <c r="AC38" s="1562">
        <f t="shared" si="5"/>
        <v>1</v>
      </c>
    </row>
    <row r="39" spans="1:29" ht="15">
      <c r="A39" s="593"/>
      <c r="B39" s="1880" t="s">
        <v>2564</v>
      </c>
      <c r="C39" s="598" t="s">
        <v>3227</v>
      </c>
      <c r="D39" s="539">
        <v>100</v>
      </c>
      <c r="E39" s="873" t="s">
        <v>3227</v>
      </c>
      <c r="F39" s="574">
        <f>SUMIF(116:116,E39,117:117)-SUMIF(116:116,C39,117:117)+100</f>
        <v>100</v>
      </c>
      <c r="G39" s="598" t="s">
        <v>3227</v>
      </c>
      <c r="H39" s="539">
        <f>SUMIF(116:116,G39,117:117)-SUMIF(116:116,C39,117:117)+100</f>
        <v>100</v>
      </c>
      <c r="I39" s="873" t="s">
        <v>3227</v>
      </c>
      <c r="J39" s="539">
        <f>SUMIF(116:116,I39,117:117)-SUMIF(116:116,C39,117:117)+100</f>
        <v>100</v>
      </c>
      <c r="K39" s="863">
        <v>1</v>
      </c>
      <c r="L39" s="2127"/>
      <c r="M39" s="2119"/>
      <c r="N39" s="2119"/>
      <c r="O39" s="2126"/>
      <c r="P39" s="3413"/>
      <c r="Q39" s="1558" t="str">
        <f t="shared" si="11"/>
        <v>市政基础设施</v>
      </c>
      <c r="R39" s="1559" t="s">
        <v>11</v>
      </c>
      <c r="S39" s="1560">
        <f t="shared" si="12"/>
        <v>100</v>
      </c>
      <c r="T39" s="1559" t="s">
        <v>11</v>
      </c>
      <c r="U39" s="1560">
        <f t="shared" si="13"/>
        <v>100</v>
      </c>
      <c r="V39" s="1559" t="s">
        <v>11</v>
      </c>
      <c r="W39" s="1560">
        <f t="shared" si="14"/>
        <v>100</v>
      </c>
      <c r="X39" s="1553"/>
      <c r="Y39" s="3413"/>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7"/>
      <c r="M40" s="2119"/>
      <c r="N40" s="2119"/>
      <c r="O40" s="2126"/>
      <c r="P40" s="3413"/>
      <c r="Q40" s="1558" t="str">
        <f t="shared" si="11"/>
        <v>房型</v>
      </c>
      <c r="R40" s="1559" t="s">
        <v>11</v>
      </c>
      <c r="S40" s="1560">
        <f t="shared" si="12"/>
        <v>100</v>
      </c>
      <c r="T40" s="1559" t="s">
        <v>11</v>
      </c>
      <c r="U40" s="1560">
        <f t="shared" si="13"/>
        <v>100</v>
      </c>
      <c r="V40" s="1559" t="s">
        <v>11</v>
      </c>
      <c r="W40" s="1560">
        <f t="shared" si="14"/>
        <v>100</v>
      </c>
      <c r="X40" s="1553"/>
      <c r="Y40" s="3413"/>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13"/>
      <c r="Q41" s="1590" t="str">
        <f t="shared" si="11"/>
        <v>单套/主力户型建筑面积</v>
      </c>
      <c r="R41" s="1563" t="s">
        <v>11</v>
      </c>
      <c r="S41" s="1564">
        <f t="shared" si="12"/>
        <v>100</v>
      </c>
      <c r="T41" s="1563" t="s">
        <v>11</v>
      </c>
      <c r="U41" s="1564">
        <f t="shared" si="13"/>
        <v>100</v>
      </c>
      <c r="V41" s="1563" t="s">
        <v>11</v>
      </c>
      <c r="W41" s="1564">
        <f t="shared" si="14"/>
        <v>100</v>
      </c>
      <c r="X41" s="1565"/>
      <c r="Y41" s="3413"/>
      <c r="Z41" s="1566" t="str">
        <f t="shared" si="15"/>
        <v>单套/主力户型建筑面积</v>
      </c>
      <c r="AA41" s="1562">
        <f t="shared" si="3"/>
        <v>1</v>
      </c>
      <c r="AB41" s="1562">
        <f t="shared" si="4"/>
        <v>1</v>
      </c>
      <c r="AC41" s="1562">
        <f t="shared" si="5"/>
        <v>1</v>
      </c>
    </row>
    <row r="42" spans="1:29" ht="15">
      <c r="A42" s="593"/>
      <c r="B42" s="526" t="s">
        <v>734</v>
      </c>
      <c r="C42" s="598" t="s">
        <v>3247</v>
      </c>
      <c r="D42" s="539">
        <v>100</v>
      </c>
      <c r="E42" s="873" t="s">
        <v>3247</v>
      </c>
      <c r="F42" s="574">
        <f>SUMIF(122:122,E42,123:123)-SUMIF(122:122,C42,123:123)+100</f>
        <v>100</v>
      </c>
      <c r="G42" s="598" t="s">
        <v>3247</v>
      </c>
      <c r="H42" s="539">
        <f>SUMIF(122:122,G42,123:123)-SUMIF(122:122,C42,123:123)+100</f>
        <v>100</v>
      </c>
      <c r="I42" s="873" t="s">
        <v>3247</v>
      </c>
      <c r="J42" s="539">
        <f>SUMIF(122:122,I42,123:123)-SUMIF(122:122,C42,123:123)+100</f>
        <v>100</v>
      </c>
      <c r="K42" s="863">
        <v>5</v>
      </c>
      <c r="L42" s="2127"/>
      <c r="M42" s="2119"/>
      <c r="N42" s="2119"/>
      <c r="O42" s="2126"/>
      <c r="P42" s="3413"/>
      <c r="Q42" s="1558" t="str">
        <f t="shared" si="11"/>
        <v>内部装修</v>
      </c>
      <c r="R42" s="1559" t="s">
        <v>11</v>
      </c>
      <c r="S42" s="1560">
        <f t="shared" si="12"/>
        <v>100</v>
      </c>
      <c r="T42" s="1559" t="s">
        <v>11</v>
      </c>
      <c r="U42" s="1560">
        <f t="shared" si="13"/>
        <v>100</v>
      </c>
      <c r="V42" s="1559" t="s">
        <v>11</v>
      </c>
      <c r="W42" s="1560">
        <f t="shared" si="14"/>
        <v>100</v>
      </c>
      <c r="X42" s="1553"/>
      <c r="Y42" s="3413"/>
      <c r="Z42" s="1561" t="str">
        <f t="shared" si="15"/>
        <v>内部装修</v>
      </c>
      <c r="AA42" s="1562">
        <f t="shared" si="3"/>
        <v>1</v>
      </c>
      <c r="AB42" s="1562">
        <f t="shared" si="4"/>
        <v>1</v>
      </c>
      <c r="AC42" s="1562">
        <f t="shared" si="5"/>
        <v>1</v>
      </c>
    </row>
    <row r="43" spans="1:29" ht="27">
      <c r="A43" s="593"/>
      <c r="B43" s="526" t="s">
        <v>735</v>
      </c>
      <c r="C43" s="598" t="s">
        <v>3237</v>
      </c>
      <c r="D43" s="539">
        <v>100</v>
      </c>
      <c r="E43" s="873" t="s">
        <v>3237</v>
      </c>
      <c r="F43" s="574">
        <f>SUMIF(124:124,E43,125:125)-SUMIF(124:124,C43,125:125)+100</f>
        <v>100</v>
      </c>
      <c r="G43" s="598" t="s">
        <v>3237</v>
      </c>
      <c r="H43" s="539">
        <f>SUMIF(124:124,G43,125:125)-SUMIF(124:124,C43,125:125)+100</f>
        <v>100</v>
      </c>
      <c r="I43" s="873" t="s">
        <v>3237</v>
      </c>
      <c r="J43" s="539">
        <f>SUMIF(124:124,I43,125:125)-SUMIF(124:124,C43,125:125)+100</f>
        <v>100</v>
      </c>
      <c r="K43" s="863">
        <v>2</v>
      </c>
      <c r="L43" s="2127"/>
      <c r="M43" s="2119"/>
      <c r="N43" s="2119"/>
      <c r="O43" s="2126"/>
      <c r="P43" s="3413"/>
      <c r="Q43" s="1558" t="str">
        <f t="shared" si="11"/>
        <v>内部装修维护情况</v>
      </c>
      <c r="R43" s="1559" t="s">
        <v>11</v>
      </c>
      <c r="S43" s="1560">
        <f t="shared" si="12"/>
        <v>100</v>
      </c>
      <c r="T43" s="1559" t="s">
        <v>11</v>
      </c>
      <c r="U43" s="1560">
        <f t="shared" si="13"/>
        <v>100</v>
      </c>
      <c r="V43" s="1559" t="s">
        <v>11</v>
      </c>
      <c r="W43" s="1560">
        <f t="shared" si="14"/>
        <v>100</v>
      </c>
      <c r="X43" s="1553"/>
      <c r="Y43" s="3413"/>
      <c r="Z43" s="1561" t="str">
        <f t="shared" si="15"/>
        <v>内部装修维护情况</v>
      </c>
      <c r="AA43" s="1562">
        <f t="shared" si="3"/>
        <v>1</v>
      </c>
      <c r="AB43" s="1562">
        <f t="shared" si="4"/>
        <v>1</v>
      </c>
      <c r="AC43" s="1562">
        <f t="shared" si="5"/>
        <v>1</v>
      </c>
    </row>
    <row r="44" spans="1:29" s="1215" customFormat="1" ht="15">
      <c r="A44" s="599"/>
      <c r="B44" s="3193" t="s">
        <v>3268</v>
      </c>
      <c r="C44" s="3192" t="s">
        <v>3248</v>
      </c>
      <c r="D44" s="254">
        <v>100</v>
      </c>
      <c r="E44" s="3192" t="s">
        <v>3269</v>
      </c>
      <c r="F44" s="862">
        <f>SUMIF(126:126,E44,127:127)-SUMIF(126:126,C44,127:127)+100</f>
        <v>97</v>
      </c>
      <c r="G44" s="3192" t="s">
        <v>3249</v>
      </c>
      <c r="H44" s="254">
        <f>SUMIF(126:126,G44,127:127)-SUMIF(126:126,C44,127:127)+100</f>
        <v>97</v>
      </c>
      <c r="I44" s="3192" t="s">
        <v>3249</v>
      </c>
      <c r="J44" s="254">
        <f>SUMIF(126:126,I44,127:127)-SUMIF(126:126,C44,127:127)+100</f>
        <v>97</v>
      </c>
      <c r="K44" s="864"/>
      <c r="L44" s="2120"/>
      <c r="M44" s="2121"/>
      <c r="N44" s="2121"/>
      <c r="O44" s="2122"/>
      <c r="P44" s="3413"/>
      <c r="Q44" s="1146" t="str">
        <f t="shared" si="11"/>
        <v>层高</v>
      </c>
      <c r="R44" s="1554" t="s">
        <v>11</v>
      </c>
      <c r="S44" s="1555">
        <f t="shared" si="12"/>
        <v>97</v>
      </c>
      <c r="T44" s="1554" t="s">
        <v>11</v>
      </c>
      <c r="U44" s="1555">
        <f t="shared" si="13"/>
        <v>97</v>
      </c>
      <c r="V44" s="1554" t="s">
        <v>11</v>
      </c>
      <c r="W44" s="1555">
        <f t="shared" si="14"/>
        <v>97</v>
      </c>
      <c r="X44" s="1556"/>
      <c r="Y44" s="3413"/>
      <c r="Z44" s="1145" t="str">
        <f t="shared" si="15"/>
        <v>层高</v>
      </c>
      <c r="AA44" s="1557">
        <f t="shared" si="3"/>
        <v>1.0309278350515463</v>
      </c>
      <c r="AB44" s="1557">
        <f t="shared" si="4"/>
        <v>1.0309278350515463</v>
      </c>
      <c r="AC44" s="1557">
        <f t="shared" si="5"/>
        <v>1.0309278350515463</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3"/>
      <c r="Q45" s="1558">
        <f t="shared" si="11"/>
        <v>111</v>
      </c>
      <c r="R45" s="1559" t="s">
        <v>11</v>
      </c>
      <c r="S45" s="1560">
        <f t="shared" si="12"/>
        <v>100</v>
      </c>
      <c r="T45" s="1559" t="s">
        <v>11</v>
      </c>
      <c r="U45" s="1560">
        <f t="shared" si="13"/>
        <v>100</v>
      </c>
      <c r="V45" s="1559" t="s">
        <v>11</v>
      </c>
      <c r="W45" s="1560">
        <f t="shared" si="14"/>
        <v>100</v>
      </c>
      <c r="X45" s="1553"/>
      <c r="Y45" s="3413"/>
      <c r="Z45" s="1561">
        <f t="shared" si="15"/>
        <v>111</v>
      </c>
      <c r="AA45" s="1562">
        <f t="shared" si="3"/>
        <v>1</v>
      </c>
      <c r="AB45" s="1562">
        <f t="shared" si="4"/>
        <v>1</v>
      </c>
      <c r="AC45" s="1562">
        <f t="shared" si="5"/>
        <v>1</v>
      </c>
    </row>
    <row r="46" spans="1:29" ht="15.75" thickBot="1">
      <c r="A46" s="885"/>
      <c r="B46" s="543">
        <v>0.95</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71"/>
      <c r="Q46" s="1558">
        <f t="shared" si="11"/>
        <v>0.95</v>
      </c>
      <c r="R46" s="1559" t="s">
        <v>10</v>
      </c>
      <c r="S46" s="1560">
        <f t="shared" si="12"/>
        <v>100</v>
      </c>
      <c r="T46" s="1559" t="s">
        <v>10</v>
      </c>
      <c r="U46" s="1560">
        <f t="shared" si="13"/>
        <v>100</v>
      </c>
      <c r="V46" s="1559" t="s">
        <v>10</v>
      </c>
      <c r="W46" s="1560">
        <f t="shared" si="14"/>
        <v>100</v>
      </c>
      <c r="X46" s="1553"/>
      <c r="Y46" s="3471"/>
      <c r="Z46" s="1561">
        <f t="shared" si="15"/>
        <v>0.95</v>
      </c>
      <c r="AA46" s="1562">
        <f t="shared" si="3"/>
        <v>1</v>
      </c>
      <c r="AB46" s="1562">
        <f t="shared" si="4"/>
        <v>1</v>
      </c>
      <c r="AC46" s="1562">
        <f t="shared" si="5"/>
        <v>1</v>
      </c>
    </row>
    <row r="47" spans="1:29" ht="15">
      <c r="A47" s="606" t="s">
        <v>736</v>
      </c>
      <c r="B47" s="886"/>
      <c r="C47" s="2590" t="s">
        <v>9</v>
      </c>
      <c r="D47" s="2591"/>
      <c r="E47" s="2592">
        <f>ROUND(28000*0.95,0)</f>
        <v>26600</v>
      </c>
      <c r="F47" s="2593"/>
      <c r="G47" s="2594">
        <f>ROUND(32000*B46,0)</f>
        <v>30400</v>
      </c>
      <c r="H47" s="2595"/>
      <c r="I47" s="2592">
        <f>ROUND(30000*B46,0)</f>
        <v>28500</v>
      </c>
      <c r="J47" s="2595"/>
      <c r="K47" s="1591"/>
      <c r="L47" s="2129"/>
      <c r="M47" s="2130"/>
      <c r="N47" s="2119"/>
      <c r="O47" s="2130"/>
      <c r="P47" s="3376" t="str">
        <f>A47</f>
        <v>成交单价（元/平方米）</v>
      </c>
      <c r="Q47" s="3376"/>
      <c r="R47" s="3470">
        <f>E47</f>
        <v>26600</v>
      </c>
      <c r="S47" s="3470"/>
      <c r="T47" s="3470">
        <f>G47</f>
        <v>30400</v>
      </c>
      <c r="U47" s="3470"/>
      <c r="V47" s="3470">
        <f>I47</f>
        <v>28500</v>
      </c>
      <c r="W47" s="3470"/>
      <c r="X47" s="1545"/>
      <c r="Y47" s="1567"/>
      <c r="Z47" s="1545"/>
      <c r="AA47" s="1545"/>
      <c r="AB47" s="1545"/>
      <c r="AC47" s="1545"/>
    </row>
    <row r="48" spans="1:29" ht="15.75" thickBot="1">
      <c r="A48" s="614" t="s">
        <v>2759</v>
      </c>
      <c r="B48" s="887"/>
      <c r="C48" s="2596">
        <f>R49</f>
        <v>30808</v>
      </c>
      <c r="D48" s="2597"/>
      <c r="E48" s="2598">
        <f>R48</f>
        <v>30284</v>
      </c>
      <c r="F48" s="2598"/>
      <c r="G48" s="2596">
        <f>T48</f>
        <v>33780</v>
      </c>
      <c r="H48" s="2597"/>
      <c r="I48" s="2598">
        <f>V48</f>
        <v>28360</v>
      </c>
      <c r="J48" s="2597"/>
      <c r="K48" s="1592"/>
      <c r="L48" s="2129"/>
      <c r="M48" s="2130"/>
      <c r="N48" s="2130"/>
      <c r="O48" s="2130"/>
      <c r="P48" s="3376" t="str">
        <f>A48</f>
        <v>比较价格（元/平方米）</v>
      </c>
      <c r="Q48" s="3376"/>
      <c r="R48" s="3470">
        <f>IF(F1="售价",ROUND(PRODUCT(R47,AA7:AA46),0),ROUND(PRODUCT(R47,AA7:AA46),1))</f>
        <v>30284</v>
      </c>
      <c r="S48" s="3470"/>
      <c r="T48" s="3470">
        <f>IF(F1="售价",ROUND(PRODUCT(T47,AB7:AB46),0),ROUND(PRODUCT(T47,AB7:AB46),1))</f>
        <v>33780</v>
      </c>
      <c r="U48" s="3470"/>
      <c r="V48" s="3470">
        <f>IF(F1="售价",ROUND(PRODUCT(V47,AC7:AC46),0),ROUND(PRODUCT(V47,AC7:AC46),1))</f>
        <v>28360</v>
      </c>
      <c r="W48" s="3470"/>
      <c r="X48" s="1545"/>
      <c r="Y48" s="1545"/>
      <c r="Z48" s="1545"/>
      <c r="AA48" s="1545"/>
      <c r="AB48" s="1545"/>
      <c r="AC48" s="1545"/>
    </row>
    <row r="49" spans="1:29" ht="15.75" thickBot="1">
      <c r="A49" s="620" t="s">
        <v>2932</v>
      </c>
      <c r="B49" s="621"/>
      <c r="C49" s="2599">
        <f>R49</f>
        <v>30808</v>
      </c>
      <c r="D49" s="2599"/>
      <c r="E49" s="2599"/>
      <c r="F49" s="2599"/>
      <c r="G49" s="2599"/>
      <c r="H49" s="2599"/>
      <c r="I49" s="2599"/>
      <c r="J49" s="2599"/>
      <c r="K49" s="1593"/>
      <c r="L49" s="2129"/>
      <c r="M49" s="2130"/>
      <c r="N49" s="2130"/>
      <c r="O49" s="2130"/>
      <c r="P49" s="3373" t="str">
        <f>A49</f>
        <v>估价对象XX用房的比较价格（楼面单价，元/平方米）</v>
      </c>
      <c r="Q49" s="3374"/>
      <c r="R49" s="3469">
        <f>IF(F1="售价",ROUND(AVERAGE(R48:V48),0),ROUND(AVERAGE(R48:V48),1))</f>
        <v>30808</v>
      </c>
      <c r="S49" s="3469"/>
      <c r="T49" s="3469"/>
      <c r="U49" s="3469"/>
      <c r="V49" s="3469"/>
      <c r="W49" s="34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f>IF(E47&lt;E48,E48/E47-1,E47/E48-1)</f>
        <v>0.13849624060150378</v>
      </c>
      <c r="F52" s="626" t="str">
        <f>IF(OR(E52&gt;=0.3,E52&lt;=-0.3),"超过30%","")</f>
        <v/>
      </c>
      <c r="G52" s="625">
        <f>IF(G47&lt;G48,G48/G47-1,G47/G48-1)</f>
        <v>0.11118421052631589</v>
      </c>
      <c r="H52" s="626" t="str">
        <f>IF(OR(G52&gt;=0.3,G52&lt;=-0.3),"超过30%","")</f>
        <v/>
      </c>
      <c r="I52" s="625">
        <f>IF(I47&lt;I48,I48/I47-1,I47/I48-1)</f>
        <v>4.9365303244006675E-3</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f>IF(E48&lt;G48,G48/E48-1,E48/G48-1)</f>
        <v>0.11544049663188471</v>
      </c>
      <c r="F53" s="626" t="str">
        <f>IF(OR(E53&gt;=0.2,E53&lt;=-0.2),"超过20%","")</f>
        <v/>
      </c>
      <c r="G53" s="625">
        <f>IF(G48&lt;I48,I48/G48-1,G48/I48-1)</f>
        <v>0.19111424541607902</v>
      </c>
      <c r="H53" s="626" t="str">
        <f>IF(OR(G53&gt;=0.2,G53&lt;=-0.2),"超过20%","")</f>
        <v/>
      </c>
      <c r="I53" s="625">
        <f>IF(I48&lt;E48,E48/I48-1,I48/E48-1)</f>
        <v>6.7842031029619276E-2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f>IF(E47&lt;G47,G47/E47-1,E47/G47-1)</f>
        <v>0.14285714285714279</v>
      </c>
      <c r="F54" s="626" t="str">
        <f>IF(OR(E54&gt;=0.3,E54&lt;=-0.3),"超过30%","")</f>
        <v/>
      </c>
      <c r="G54" s="625">
        <f>IF(G47&lt;I47,I47/G47-1,G47/I47-1)</f>
        <v>6.6666666666666652E-2</v>
      </c>
      <c r="H54" s="626" t="str">
        <f>IF(OR(G54&gt;=0.3,G54&lt;=-0.3),"超过30%","")</f>
        <v/>
      </c>
      <c r="I54" s="625">
        <f>IF(I47&lt;E47,E47/I47-1,I47/E47-1)</f>
        <v>7.1428571428571397E-2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100</v>
      </c>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97</v>
      </c>
      <c r="E79" s="678">
        <f>D79-$K17</f>
        <v>94</v>
      </c>
      <c r="F79" s="678">
        <f>E79-$K17</f>
        <v>91</v>
      </c>
      <c r="G79" s="678">
        <f>F79-$K17</f>
        <v>88</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98</v>
      </c>
      <c r="E81" s="678">
        <f>D81-$K19</f>
        <v>96</v>
      </c>
      <c r="F81" s="678">
        <f>E81-$K19</f>
        <v>94</v>
      </c>
      <c r="G81" s="678">
        <f>F81-$K19</f>
        <v>92</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98</v>
      </c>
      <c r="E83" s="678">
        <f>D83-$K21</f>
        <v>96</v>
      </c>
      <c r="F83" s="678">
        <f>E83-$K21</f>
        <v>94</v>
      </c>
      <c r="G83" s="678">
        <f>F83-$K21</f>
        <v>92</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98</v>
      </c>
      <c r="E85" s="678">
        <f>D85-$K23</f>
        <v>96</v>
      </c>
      <c r="F85" s="678">
        <f>E85-$K23</f>
        <v>94</v>
      </c>
      <c r="G85" s="678">
        <f>F85-$K23</f>
        <v>92</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2257</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3185" t="s">
        <v>3272</v>
      </c>
      <c r="D100" s="3185" t="s">
        <v>3274</v>
      </c>
      <c r="E100" s="3185" t="s">
        <v>3273</v>
      </c>
      <c r="F100" s="3185" t="s">
        <v>3275</v>
      </c>
      <c r="G100" s="3185"/>
      <c r="H100" s="3185"/>
      <c r="I100" s="3185"/>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94</v>
      </c>
      <c r="E101" s="678">
        <f t="shared" si="22"/>
        <v>88</v>
      </c>
      <c r="F101" s="678">
        <f t="shared" si="22"/>
        <v>82</v>
      </c>
      <c r="G101" s="678">
        <f t="shared" si="22"/>
        <v>76</v>
      </c>
      <c r="H101" s="678">
        <f t="shared" si="22"/>
        <v>70</v>
      </c>
      <c r="I101" s="678">
        <f t="shared" si="22"/>
        <v>64</v>
      </c>
      <c r="J101" s="678">
        <f t="shared" si="22"/>
        <v>58</v>
      </c>
      <c r="K101" s="678">
        <f t="shared" si="22"/>
        <v>52</v>
      </c>
      <c r="L101" s="678">
        <f t="shared" si="22"/>
        <v>46</v>
      </c>
      <c r="M101" s="678">
        <f t="shared" si="22"/>
        <v>40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50000</v>
      </c>
      <c r="E103" s="729">
        <v>100000</v>
      </c>
      <c r="F103" s="729">
        <v>150000</v>
      </c>
      <c r="G103" s="729">
        <v>200000</v>
      </c>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102</v>
      </c>
      <c r="E104" s="670">
        <v>104</v>
      </c>
      <c r="F104" s="670">
        <v>106</v>
      </c>
      <c r="G104" s="670">
        <v>108</v>
      </c>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3186" t="s">
        <v>3267</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3187" t="s">
        <v>3252</v>
      </c>
      <c r="D107" s="3187" t="s">
        <v>3253</v>
      </c>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3186" t="s">
        <v>3254</v>
      </c>
      <c r="D109" s="3186" t="s">
        <v>3255</v>
      </c>
      <c r="E109" s="3186" t="s">
        <v>3256</v>
      </c>
      <c r="F109" s="3187" t="s">
        <v>3257</v>
      </c>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3186" t="s">
        <v>3258</v>
      </c>
      <c r="D114" s="3186" t="s">
        <v>3253</v>
      </c>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2556</v>
      </c>
      <c r="C116" s="3186" t="s">
        <v>3250</v>
      </c>
      <c r="D116" s="3186" t="s">
        <v>3251</v>
      </c>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3186" t="s">
        <v>3254</v>
      </c>
      <c r="D122" s="3186" t="s">
        <v>3255</v>
      </c>
      <c r="E122" s="3186" t="s">
        <v>3256</v>
      </c>
      <c r="F122" s="3187" t="s">
        <v>3257</v>
      </c>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t="str">
        <f>B44</f>
        <v>层高</v>
      </c>
      <c r="C126" s="3186" t="s">
        <v>3248</v>
      </c>
      <c r="D126" s="3186" t="s">
        <v>3249</v>
      </c>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v>100</v>
      </c>
      <c r="D127" s="670">
        <v>97</v>
      </c>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0.95</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4" sqref="F34"/>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7"/>
      <c r="C1" s="772" t="s">
        <v>35</v>
      </c>
      <c r="D1" s="3075" t="s">
        <v>3261</v>
      </c>
      <c r="E1" s="2351" t="s">
        <v>2374</v>
      </c>
      <c r="F1" s="2352">
        <f ca="1">J53</f>
        <v>45.43</v>
      </c>
      <c r="G1" s="773">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1688</v>
      </c>
      <c r="C2" s="2042"/>
      <c r="D2" s="2040"/>
      <c r="E2" s="2041"/>
      <c r="F2" s="2041"/>
      <c r="G2" s="1576"/>
      <c r="H2" s="2042"/>
      <c r="I2" s="2042"/>
      <c r="J2" s="2042"/>
      <c r="K2" s="2043"/>
      <c r="L2" s="2042"/>
      <c r="M2" s="2042"/>
    </row>
    <row r="3" spans="1:33" ht="18" customHeight="1" thickBot="1">
      <c r="A3" s="832" t="s">
        <v>1727</v>
      </c>
      <c r="B3" s="833">
        <f ca="1">IF(ISERROR(B2*10000/F43),0,ROUND(B2*10000/F43,0))</f>
        <v>2293</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2458</v>
      </c>
      <c r="C5" s="54">
        <f ca="1">C6+C10+C12</f>
        <v>121</v>
      </c>
      <c r="D5" s="2460" t="s">
        <v>2461</v>
      </c>
      <c r="E5" s="2454"/>
      <c r="F5" s="2455"/>
      <c r="G5" s="1578"/>
      <c r="H5" s="780">
        <v>1</v>
      </c>
      <c r="I5" s="781" t="s">
        <v>2458</v>
      </c>
      <c r="J5" s="54">
        <f ca="1">J6+J10+J12</f>
        <v>0</v>
      </c>
      <c r="K5" s="2460" t="s">
        <v>2461</v>
      </c>
      <c r="L5" s="2454"/>
      <c r="M5" s="2455"/>
    </row>
    <row r="6" spans="1:33" ht="18" customHeight="1">
      <c r="A6" s="1815" t="s">
        <v>1824</v>
      </c>
      <c r="B6" s="3463" t="s">
        <v>2463</v>
      </c>
      <c r="C6" s="782">
        <f ca="1">ROUND(F6*F8*F7*(1-F9)/10000,0)</f>
        <v>121</v>
      </c>
      <c r="D6" s="2461" t="s">
        <v>2462</v>
      </c>
      <c r="E6" s="783" t="s">
        <v>1738</v>
      </c>
      <c r="F6" s="784">
        <f ca="1">INDIRECT("'数据-取费表'!u"&amp;$G$1)</f>
        <v>0.5</v>
      </c>
      <c r="G6" s="1578"/>
      <c r="H6" s="2468" t="s">
        <v>2468</v>
      </c>
      <c r="I6" s="3463" t="s">
        <v>2463</v>
      </c>
      <c r="J6" s="782">
        <f ca="1">ROUND(M6*M8*M7*(1-M9)/10000,0)</f>
        <v>0</v>
      </c>
      <c r="K6" s="340" t="s">
        <v>1737</v>
      </c>
      <c r="L6" s="783" t="s">
        <v>1738</v>
      </c>
      <c r="M6" s="784">
        <f ca="1">INDIRECT("'数据-取费表'!z"&amp;$G$1)</f>
        <v>0</v>
      </c>
    </row>
    <row r="7" spans="1:33" ht="18" customHeight="1">
      <c r="A7" s="2464"/>
      <c r="B7" s="3464"/>
      <c r="C7" s="787"/>
      <c r="D7" s="788"/>
      <c r="E7" s="783" t="s">
        <v>1739</v>
      </c>
      <c r="F7" s="784">
        <f ca="1">IF(INDIRECT("'数据-取费表'!ah"&amp;$G$1)="",INDIRECT("'数据-取费表'!k"&amp;$G$1),INDIRECT("'数据-取费表'!ah"&amp;$G$1))</f>
        <v>7361.87</v>
      </c>
      <c r="G7" s="1578"/>
      <c r="H7" s="2453"/>
      <c r="I7" s="3464"/>
      <c r="J7" s="787"/>
      <c r="K7" s="788"/>
      <c r="L7" s="783" t="s">
        <v>1739</v>
      </c>
      <c r="M7" s="784">
        <f ca="1">F7</f>
        <v>7361.87</v>
      </c>
    </row>
    <row r="8" spans="1:33" ht="18" customHeight="1">
      <c r="A8" s="2457"/>
      <c r="B8" s="3465"/>
      <c r="C8" s="787"/>
      <c r="D8" s="788"/>
      <c r="E8" s="783" t="s">
        <v>1740</v>
      </c>
      <c r="F8" s="784">
        <f ca="1">INDIRECT("'数据-取费表'!ai"&amp;$G$1)</f>
        <v>365</v>
      </c>
      <c r="G8" s="1578"/>
      <c r="H8" s="2453"/>
      <c r="I8" s="3465"/>
      <c r="J8" s="787"/>
      <c r="K8" s="788"/>
      <c r="L8" s="783" t="s">
        <v>1740</v>
      </c>
      <c r="M8" s="784">
        <f ca="1">INDIRECT("'数据-取费表'!ai"&amp;$G$1)</f>
        <v>365</v>
      </c>
    </row>
    <row r="9" spans="1:33" ht="18" customHeight="1">
      <c r="A9" s="785"/>
      <c r="B9" s="3466"/>
      <c r="C9" s="787"/>
      <c r="D9" s="788"/>
      <c r="E9" s="783" t="s">
        <v>1741</v>
      </c>
      <c r="F9" s="793">
        <f ca="1">INDIRECT("'数据-取费表'!w"&amp;$G$1)</f>
        <v>0.1</v>
      </c>
      <c r="G9" s="1578"/>
      <c r="H9" s="2469"/>
      <c r="I9" s="3465"/>
      <c r="J9" s="787"/>
      <c r="K9" s="788"/>
      <c r="L9" s="794" t="s">
        <v>1741</v>
      </c>
      <c r="M9" s="795">
        <f ca="1">INDIRECT("'数据-取费表'!ab"&amp;$G$1)</f>
        <v>0</v>
      </c>
    </row>
    <row r="10" spans="1:33" ht="18" customHeight="1">
      <c r="A10" s="1815" t="s">
        <v>2466</v>
      </c>
      <c r="B10" s="2458" t="s">
        <v>2459</v>
      </c>
      <c r="C10" s="798">
        <f ca="1">ROUND(IF(F10="押一",C6/12*F11,IF(F10="押二",C6/12*2*F11,IF(F10="押三",C6/12*3*F11,C11*F11))),0)</f>
        <v>0</v>
      </c>
      <c r="D10" s="2465" t="s">
        <v>2970</v>
      </c>
      <c r="E10" s="2462" t="s">
        <v>2464</v>
      </c>
      <c r="F10" s="3197" t="s">
        <v>3259</v>
      </c>
      <c r="G10" s="1578"/>
      <c r="H10" s="2525" t="s">
        <v>2469</v>
      </c>
      <c r="I10" s="2530" t="s">
        <v>2459</v>
      </c>
      <c r="J10" s="782">
        <f ca="1">ROUND(IF(M10="押一",J6/12*M11,IF(M10="押二",J6/12*2*M11,IF(M10="押三",J6/12*3*M11,J11*M11))),0)</f>
        <v>0</v>
      </c>
      <c r="K10" s="2465" t="s">
        <v>2970</v>
      </c>
      <c r="L10" s="2462" t="s">
        <v>2464</v>
      </c>
      <c r="M10" s="2585"/>
    </row>
    <row r="11" spans="1:33" ht="18" customHeight="1">
      <c r="A11" s="789"/>
      <c r="B11" s="2459" t="s">
        <v>2573</v>
      </c>
      <c r="C11" s="2463"/>
      <c r="D11" s="788"/>
      <c r="E11" s="2462" t="s">
        <v>2465</v>
      </c>
      <c r="F11" s="795">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1">
        <f ca="1">ROUND(C29*F13,0)</f>
        <v>1789</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1325</v>
      </c>
      <c r="D14" s="1964" t="s">
        <v>1745</v>
      </c>
      <c r="E14" s="1965"/>
      <c r="F14" s="804"/>
      <c r="G14" s="1578"/>
      <c r="H14" s="1634" t="s">
        <v>1830</v>
      </c>
      <c r="I14" s="2216" t="s">
        <v>2825</v>
      </c>
      <c r="J14" s="52">
        <f ca="1">C29</f>
        <v>1789</v>
      </c>
      <c r="K14" s="25"/>
      <c r="L14" s="800"/>
      <c r="M14" s="801"/>
    </row>
    <row r="15" spans="1:33" s="2049" customFormat="1" ht="18" customHeight="1" thickBot="1">
      <c r="A15" s="1633" t="s">
        <v>1885</v>
      </c>
      <c r="B15" s="783" t="s">
        <v>647</v>
      </c>
      <c r="C15" s="52">
        <f ca="1">ROUND(C14*F15,0)</f>
        <v>40</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2">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178</v>
      </c>
      <c r="K16" s="1806" t="s">
        <v>1750</v>
      </c>
      <c r="L16" s="2450"/>
      <c r="M16" s="2455"/>
    </row>
    <row r="17" spans="1:33" s="2049" customFormat="1" ht="18" customHeight="1">
      <c r="A17" s="1633" t="s">
        <v>1887</v>
      </c>
      <c r="B17" s="783" t="s">
        <v>653</v>
      </c>
      <c r="C17" s="52">
        <f ca="1">ROUND(F17*(F43+INDIRECT("'数据-取费表'!S"&amp;$G$1))/10000,0)</f>
        <v>110</v>
      </c>
      <c r="D17" s="783" t="s">
        <v>1751</v>
      </c>
      <c r="E17" s="783" t="s">
        <v>1752</v>
      </c>
      <c r="F17" s="55">
        <f>'数据-取费表'!B35</f>
        <v>150</v>
      </c>
      <c r="G17" s="1579"/>
      <c r="H17" s="1634" t="s">
        <v>1830</v>
      </c>
      <c r="I17" s="783" t="s">
        <v>656</v>
      </c>
      <c r="J17" s="52">
        <f ca="1">ROUND(IF(项目基本情况!B11="自然人",J6*M17/(1+'数据-取费表'!C42),J18+J19+J20),0)</f>
        <v>151</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2">
        <f ca="1">ROUND(C14*F18,0)</f>
        <v>20</v>
      </c>
      <c r="D18" s="783" t="s">
        <v>1746</v>
      </c>
      <c r="E18" s="783" t="s">
        <v>1747</v>
      </c>
      <c r="F18" s="808">
        <f>'数据-取费表'!B36</f>
        <v>1.4999999999999999E-2</v>
      </c>
      <c r="G18" s="1579"/>
      <c r="H18" s="1633" t="s">
        <v>1884</v>
      </c>
      <c r="I18" s="783" t="s">
        <v>1755</v>
      </c>
      <c r="J18" s="52">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2">
        <f ca="1">SUM(C14:C18)</f>
        <v>1495</v>
      </c>
      <c r="D19" s="260" t="s">
        <v>1757</v>
      </c>
      <c r="E19" s="1967"/>
      <c r="F19" s="55"/>
      <c r="G19" s="1578"/>
      <c r="H19" s="1633" t="s">
        <v>1885</v>
      </c>
      <c r="I19" s="783" t="s">
        <v>1758</v>
      </c>
      <c r="J19" s="52">
        <f ca="1">IF(K19="按租金收入计税",ROUND(J6*M19/(1+'数据-取费表'!C42),1),ROUND(C29*F33*0.7,1))</f>
        <v>150.30000000000001</v>
      </c>
      <c r="K19" s="810" t="s">
        <v>665</v>
      </c>
      <c r="L19" s="783" t="s">
        <v>1747</v>
      </c>
      <c r="M19" s="808">
        <f>IF(K19="按租金收入计税",'数据-取费表'!B51,'数据-取费表'!B50)</f>
        <v>1.2E-2</v>
      </c>
    </row>
    <row r="20" spans="1:33" s="2049" customFormat="1" ht="18" customHeight="1">
      <c r="A20" s="1634" t="s">
        <v>1889</v>
      </c>
      <c r="B20" s="783" t="s">
        <v>666</v>
      </c>
      <c r="C20" s="52">
        <f ca="1">ROUND(C19*F20,0)</f>
        <v>30</v>
      </c>
      <c r="D20" s="811" t="s">
        <v>1759</v>
      </c>
      <c r="E20" s="783" t="s">
        <v>1747</v>
      </c>
      <c r="F20" s="808">
        <f>'数据-取费表'!B37</f>
        <v>0.02</v>
      </c>
      <c r="G20" s="1579"/>
      <c r="H20" s="1636" t="s">
        <v>1880</v>
      </c>
      <c r="I20" s="340" t="s">
        <v>1760</v>
      </c>
      <c r="J20" s="53">
        <f ca="1">ROUND(M20*M21/10000,0)</f>
        <v>1</v>
      </c>
      <c r="K20" s="813" t="s">
        <v>1761</v>
      </c>
      <c r="L20" s="783" t="s">
        <v>1762</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2" t="s">
        <v>1764</v>
      </c>
      <c r="D21" s="811" t="s">
        <v>2298</v>
      </c>
      <c r="E21" s="783" t="s">
        <v>1765</v>
      </c>
      <c r="F21" s="808">
        <f>'数据-取费表'!B38</f>
        <v>0.02</v>
      </c>
      <c r="G21" s="1579"/>
      <c r="H21" s="2470"/>
      <c r="I21" s="792"/>
      <c r="J21" s="68"/>
      <c r="K21" s="815"/>
      <c r="L21" s="783" t="s">
        <v>1766</v>
      </c>
      <c r="M21" s="784">
        <f ca="1">INDIRECT("'数据-取费表'!r"&amp;$G$1)</f>
        <v>2327.9699999999998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2"/>
      <c r="D22" s="2536" t="str">
        <f>IF(F23&lt;=1,"单利计息。","复利计息。")&amp;"建造成本、管理费用、销售费用产生的利息。"</f>
        <v>复利计息。建造成本、管理费用、销售费用产生的利息。</v>
      </c>
      <c r="E22" s="1967"/>
      <c r="F22" s="55"/>
      <c r="G22" s="1578"/>
      <c r="H22" s="1634" t="s">
        <v>1889</v>
      </c>
      <c r="I22" s="783" t="s">
        <v>1768</v>
      </c>
      <c r="J22" s="52">
        <f ca="1">ROUND(J14*M22,0)</f>
        <v>27</v>
      </c>
      <c r="K22" s="2448" t="s">
        <v>1769</v>
      </c>
      <c r="L22" s="783" t="s">
        <v>1747</v>
      </c>
      <c r="M22" s="816">
        <f ca="1">INDIRECT("'数据-取费表'!Ak"&amp;$G$1)</f>
        <v>1.4999999999999999E-2</v>
      </c>
    </row>
    <row r="23" spans="1:33" s="2049" customFormat="1" ht="18" customHeight="1">
      <c r="A23" s="1633" t="s">
        <v>1831</v>
      </c>
      <c r="B23" s="783" t="s">
        <v>2535</v>
      </c>
      <c r="C23" s="52">
        <f ca="1">ROUND(IF('数据-取费表'!B22&lt;=1,(C19+C20)*F24*F23/2,(C19+C20)*(POWER((1+F24),F23/2)-1)),0)</f>
        <v>54</v>
      </c>
      <c r="D23" s="2535" t="str">
        <f>IF(F23&lt;=1,"(建造成本+管理费用)×利率×(建设周期÷2)","(建造成本+管理费用)×((1+利率)^(建设周期÷2)-1)")</f>
        <v>(建造成本+管理费用)×((1+利率)^(建设周期÷2)-1)</v>
      </c>
      <c r="E23" s="783" t="s">
        <v>1770</v>
      </c>
      <c r="F23" s="639">
        <f>'数据-取费表'!B20</f>
        <v>1.5</v>
      </c>
      <c r="G23" s="1579"/>
      <c r="H23" s="1634" t="s">
        <v>1890</v>
      </c>
      <c r="I23" s="783" t="s">
        <v>679</v>
      </c>
      <c r="J23" s="52">
        <f ca="1">ROUND(J13*M23,0)</f>
        <v>0</v>
      </c>
      <c r="K23" s="2448" t="s">
        <v>1771</v>
      </c>
      <c r="L23" s="783" t="s">
        <v>1747</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2">
        <f ca="1">ROUND(IF('数据-取费表'!B22&lt;=1,F21*F24*F23/2,F21*(POWER((1+F24),F23/2)-1)),4)</f>
        <v>6.9999999999999999E-4</v>
      </c>
      <c r="D24" s="2535" t="str">
        <f>IF(F23&lt;=1,"销售费用×利率×(建设周期÷2)","销售费用×((1+利率)^(建设周期÷2)-1)")</f>
        <v>销售费用×((1+利率)^(建设周期÷2)-1)</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2"/>
      <c r="D25" s="260" t="s">
        <v>1775</v>
      </c>
      <c r="E25" s="1967"/>
      <c r="F25" s="55"/>
      <c r="G25" s="1578"/>
      <c r="H25" s="1814" t="s">
        <v>1776</v>
      </c>
      <c r="I25" s="2961" t="s">
        <v>2821</v>
      </c>
      <c r="J25" s="791">
        <f ca="1">J5-J16</f>
        <v>-178</v>
      </c>
      <c r="K25" s="2512" t="s">
        <v>1777</v>
      </c>
      <c r="L25" s="2513"/>
      <c r="M25" s="2514"/>
    </row>
    <row r="26" spans="1:33" ht="18" customHeight="1">
      <c r="A26" s="1633" t="s">
        <v>1831</v>
      </c>
      <c r="B26" s="783" t="s">
        <v>2438</v>
      </c>
      <c r="C26" s="52">
        <f ca="1">ROUND((C19+C20)*F26,0)</f>
        <v>76</v>
      </c>
      <c r="D26" s="811" t="s">
        <v>1778</v>
      </c>
      <c r="E26" s="794" t="s">
        <v>1779</v>
      </c>
      <c r="F26" s="793">
        <f ca="1">INDIRECT("'数据-取费表'!q"&amp;$G$1)</f>
        <v>0.05</v>
      </c>
      <c r="G26" s="1578"/>
      <c r="H26" s="2466" t="s">
        <v>1780</v>
      </c>
      <c r="I26" s="2217" t="s">
        <v>2826</v>
      </c>
      <c r="J26" s="782">
        <f ca="1">IF(J5&lt;&gt;0,ROUND(J25*(1-((1+M28)/(1+M26))^M27)/(M26-M28),0),0)</f>
        <v>0</v>
      </c>
      <c r="K26" s="813" t="s">
        <v>1781</v>
      </c>
      <c r="L26" s="783" t="s">
        <v>2419</v>
      </c>
      <c r="M26" s="793">
        <f ca="1">INDIRECT("'数据-取费表'!I"&amp;$G$1)</f>
        <v>4.4999999999999998E-2</v>
      </c>
    </row>
    <row r="27" spans="1:33" ht="18" customHeight="1">
      <c r="A27" s="1633" t="s">
        <v>1832</v>
      </c>
      <c r="B27" s="783" t="s">
        <v>686</v>
      </c>
      <c r="C27" s="52">
        <f ca="1">ROUND(F21*F26,4)</f>
        <v>1E-3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2">
        <f>ROUND(F28/(1+'数据-取费表'!C42),4)</f>
        <v>5.33E-2</v>
      </c>
      <c r="D28" s="811" t="s">
        <v>2299</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1789</v>
      </c>
      <c r="D29" s="2509"/>
      <c r="E29" s="2510"/>
      <c r="F29" s="2511"/>
      <c r="G29" s="1579"/>
      <c r="H29" s="822" t="s">
        <v>1787</v>
      </c>
      <c r="I29" s="823" t="s">
        <v>1788</v>
      </c>
      <c r="J29" s="824">
        <f ca="1">ROUND(J26/(1+F40)^F41,0)</f>
        <v>0</v>
      </c>
      <c r="K29" s="825" t="s">
        <v>1789</v>
      </c>
      <c r="L29" s="826"/>
      <c r="M29" s="827">
        <f ca="1">INDIRECT("'数据-取费表'!k"&amp;$G$1)</f>
        <v>7361.87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52</v>
      </c>
      <c r="D30" s="1806" t="s">
        <v>1791</v>
      </c>
      <c r="E30" s="2450"/>
      <c r="F30" s="2455"/>
      <c r="G30" s="2047"/>
      <c r="H30" s="2050"/>
      <c r="I30" s="2051"/>
      <c r="J30" s="2052"/>
      <c r="K30" s="2053"/>
      <c r="L30" s="2054"/>
      <c r="M30" s="2055"/>
    </row>
    <row r="31" spans="1:33" ht="18" customHeight="1">
      <c r="A31" s="1634" t="s">
        <v>1830</v>
      </c>
      <c r="B31" s="783" t="s">
        <v>656</v>
      </c>
      <c r="C31" s="52">
        <f ca="1">ROUND(IF(项目基本情况!B11="自然人",C6*F31/(1+'数据-取费表'!C42),C32+C33+C34),1)</f>
        <v>21.5</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2">
        <f ca="1">ROUND(C6*F32/(1+'数据-取费表'!C42),1)</f>
        <v>6.5</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3201">
        <f ca="1">IF(D33="按租金收入计税",ROUND(C6*F33/(1+'数据-取费表'!C42),1),IF(D33="按房产原值计税",ROUND(C29*F33*0.7,1),INDIRECT("'数据-取费表'!Aj"&amp;$G$1)))</f>
        <v>13.8</v>
      </c>
      <c r="D33" s="810" t="s">
        <v>3260</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3202">
        <f ca="1">ROUND(F34*F35/10000,1)</f>
        <v>1.2</v>
      </c>
      <c r="D34" s="813" t="s">
        <v>1799</v>
      </c>
      <c r="E34" s="783" t="s">
        <v>1800</v>
      </c>
      <c r="F34" s="639">
        <f>'数据-取费表'!B52</f>
        <v>5</v>
      </c>
      <c r="G34" s="2047"/>
      <c r="H34" s="2050"/>
      <c r="I34" s="834" t="s">
        <v>1813</v>
      </c>
      <c r="J34" s="835"/>
      <c r="K34" s="2065"/>
      <c r="L34" s="2064"/>
      <c r="M34" s="2064"/>
    </row>
    <row r="35" spans="1:18" ht="18" customHeight="1">
      <c r="A35" s="814"/>
      <c r="B35" s="792"/>
      <c r="C35" s="68"/>
      <c r="D35" s="815"/>
      <c r="E35" s="783" t="s">
        <v>1801</v>
      </c>
      <c r="F35" s="784">
        <f ca="1">INDIRECT("'数据-取费表'!r"&amp;$G$1)</f>
        <v>2327.9699999999998</v>
      </c>
      <c r="G35" s="2047"/>
      <c r="H35" s="2050"/>
      <c r="I35" s="836" t="s">
        <v>1814</v>
      </c>
      <c r="J35" s="837">
        <f ca="1">ROUND(C13*J36,0)</f>
        <v>152</v>
      </c>
      <c r="K35" s="2063"/>
      <c r="L35" s="2062"/>
      <c r="M35" s="2062"/>
    </row>
    <row r="36" spans="1:18" ht="18" customHeight="1">
      <c r="A36" s="1634" t="s">
        <v>1889</v>
      </c>
      <c r="B36" s="783" t="s">
        <v>1802</v>
      </c>
      <c r="C36" s="52">
        <f ca="1">ROUND(C29*F36,1)</f>
        <v>26.8</v>
      </c>
      <c r="D36" s="1962" t="s">
        <v>1803</v>
      </c>
      <c r="E36" s="783" t="s">
        <v>1796</v>
      </c>
      <c r="F36" s="816">
        <f ca="1">INDIRECT("'数据-取费表'!Ak"&amp;$G$1)</f>
        <v>1.4999999999999999E-2</v>
      </c>
      <c r="G36" s="2047"/>
      <c r="H36" s="2062"/>
      <c r="I36" s="838" t="s">
        <v>1815</v>
      </c>
      <c r="J36" s="839">
        <f ca="1">INDIRECT("'数据-取费表'!j"&amp;$G$1)</f>
        <v>8.5000000000000006E-2</v>
      </c>
      <c r="K36" s="2067"/>
      <c r="L36" s="2062"/>
      <c r="M36" s="2062"/>
    </row>
    <row r="37" spans="1:18" ht="18" customHeight="1">
      <c r="A37" s="1634" t="s">
        <v>1890</v>
      </c>
      <c r="B37" s="783" t="s">
        <v>679</v>
      </c>
      <c r="C37" s="52">
        <f ca="1">ROUND(C13*F37,1)</f>
        <v>2.7</v>
      </c>
      <c r="D37" s="1962" t="s">
        <v>1804</v>
      </c>
      <c r="E37" s="783" t="s">
        <v>1796</v>
      </c>
      <c r="F37" s="817">
        <f ca="1">INDIRECT("'数据-取费表'!Al"&amp;$G$1)</f>
        <v>1.5E-3</v>
      </c>
      <c r="G37" s="2047"/>
      <c r="H37" s="2062"/>
      <c r="I37" s="840" t="s">
        <v>1816</v>
      </c>
      <c r="J37" s="841"/>
      <c r="K37" s="2067"/>
      <c r="L37" s="2062"/>
      <c r="M37" s="2062"/>
    </row>
    <row r="38" spans="1:18" ht="18" customHeight="1" thickBot="1">
      <c r="A38" s="2515" t="s">
        <v>1891</v>
      </c>
      <c r="B38" s="2510" t="s">
        <v>666</v>
      </c>
      <c r="C38" s="2508">
        <f ca="1">ROUND(C5*F38,1)</f>
        <v>1.2</v>
      </c>
      <c r="D38" s="2509" t="s">
        <v>1805</v>
      </c>
      <c r="E38" s="2510" t="s">
        <v>1796</v>
      </c>
      <c r="F38" s="2506">
        <f ca="1">INDIRECT("'数据-取费表'!Am"&amp;$G$1)</f>
        <v>0.01</v>
      </c>
      <c r="G38" s="2047"/>
      <c r="H38" s="2062"/>
      <c r="I38" s="842" t="s">
        <v>1817</v>
      </c>
      <c r="J38" s="843"/>
      <c r="K38" s="2068"/>
      <c r="L38" s="2062"/>
      <c r="M38" s="2062"/>
    </row>
    <row r="39" spans="1:18" ht="24.6" customHeight="1" thickTop="1">
      <c r="A39" s="1814" t="s">
        <v>1894</v>
      </c>
      <c r="B39" s="2961" t="s">
        <v>2821</v>
      </c>
      <c r="C39" s="791">
        <f ca="1">C5-C30</f>
        <v>69</v>
      </c>
      <c r="D39" s="2512" t="s">
        <v>1806</v>
      </c>
      <c r="E39" s="2513"/>
      <c r="F39" s="2514"/>
      <c r="G39" s="2047"/>
      <c r="H39" s="2062"/>
      <c r="I39" s="836" t="s">
        <v>1818</v>
      </c>
      <c r="J39" s="844">
        <f ca="1">ROUND(J35/C39,3)</f>
        <v>2.2029999999999998</v>
      </c>
      <c r="K39" s="2068"/>
      <c r="L39" s="2062"/>
      <c r="M39" s="2062"/>
    </row>
    <row r="40" spans="1:18" ht="18" customHeight="1">
      <c r="A40" s="780" t="s">
        <v>1895</v>
      </c>
      <c r="B40" s="2217" t="s">
        <v>2301</v>
      </c>
      <c r="C40" s="782">
        <f ca="1">ROUND(C39*(1-((1+F42)/(1+F40))^F41)/(F40-F42),0)</f>
        <v>1688</v>
      </c>
      <c r="D40" s="813" t="s">
        <v>1807</v>
      </c>
      <c r="E40" s="783" t="s">
        <v>2419</v>
      </c>
      <c r="F40" s="793">
        <f ca="1">INDIRECT("'数据-取费表'!I"&amp;$G$1)</f>
        <v>4.4999999999999998E-2</v>
      </c>
      <c r="G40" s="2047"/>
      <c r="H40" s="2047"/>
      <c r="I40" s="836" t="s">
        <v>1819</v>
      </c>
      <c r="J40" s="844">
        <f ca="1">1-J39</f>
        <v>-1.2029999999999998</v>
      </c>
      <c r="K40" s="2068"/>
      <c r="L40" s="2047"/>
      <c r="M40" s="2047"/>
    </row>
    <row r="41" spans="1:18" ht="18" customHeight="1">
      <c r="A41" s="785"/>
      <c r="B41" s="786"/>
      <c r="C41" s="787"/>
      <c r="D41" s="820" t="s">
        <v>1808</v>
      </c>
      <c r="E41" s="783" t="s">
        <v>2960</v>
      </c>
      <c r="F41" s="821">
        <f ca="1">IF(INDIRECT("'数据-取费表'!af"&amp;$G$1)=0,INDIRECT("'数据-取费表'!ae"&amp;$G$1),INDIRECT("'数据-取费表'!af"&amp;$G$1))</f>
        <v>45.43</v>
      </c>
      <c r="G41" s="2047"/>
      <c r="H41" s="1973"/>
      <c r="I41" s="842" t="s">
        <v>1820</v>
      </c>
      <c r="J41" s="845"/>
      <c r="K41" s="2067"/>
      <c r="L41" s="1973"/>
      <c r="M41" s="1973"/>
    </row>
    <row r="42" spans="1:18" ht="18" customHeight="1">
      <c r="A42" s="789"/>
      <c r="B42" s="790"/>
      <c r="C42" s="791"/>
      <c r="D42" s="815"/>
      <c r="E42" s="783" t="s">
        <v>1809</v>
      </c>
      <c r="F42" s="793">
        <f ca="1">INDIRECT("'数据-取费表'!v"&amp;$G$1)</f>
        <v>1.4999999999999999E-2</v>
      </c>
      <c r="G42" s="2047"/>
      <c r="H42" s="1973"/>
      <c r="I42" s="846" t="s">
        <v>1821</v>
      </c>
      <c r="J42" s="844">
        <f ca="1">ROUND(C13/C40,3)</f>
        <v>1.06</v>
      </c>
      <c r="K42" s="2067"/>
      <c r="L42" s="1973"/>
      <c r="M42" s="1973"/>
    </row>
    <row r="43" spans="1:18" ht="18" customHeight="1" thickBot="1">
      <c r="A43" s="822" t="s">
        <v>1787</v>
      </c>
      <c r="B43" s="823" t="s">
        <v>1810</v>
      </c>
      <c r="C43" s="824">
        <f ca="1">ROUND(C40*10000/F43,0)</f>
        <v>2293</v>
      </c>
      <c r="D43" s="825" t="s">
        <v>1811</v>
      </c>
      <c r="E43" s="826" t="s">
        <v>1812</v>
      </c>
      <c r="F43" s="827">
        <f ca="1">INDIRECT("'数据-取费表'!k"&amp;$G$1)</f>
        <v>7361.87</v>
      </c>
      <c r="G43" s="2047"/>
      <c r="H43" s="1973"/>
      <c r="I43" s="846" t="s">
        <v>1822</v>
      </c>
      <c r="J43" s="847">
        <f ca="1">1-J42</f>
        <v>-6.0000000000000053E-2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-2284</v>
      </c>
      <c r="D46" s="2070"/>
      <c r="E46" s="2070"/>
      <c r="F46" s="2070"/>
      <c r="I46" s="2342" t="s">
        <v>2343</v>
      </c>
      <c r="J46" s="2343"/>
      <c r="K46" s="2344"/>
      <c r="L46" s="3106">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7" t="s">
        <v>2344</v>
      </c>
      <c r="J47" s="2345" t="s">
        <v>3243</v>
      </c>
      <c r="K47" s="3103" t="s">
        <v>2349</v>
      </c>
      <c r="L47" s="3107">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5" t="s">
        <v>2537</v>
      </c>
      <c r="B48" s="2606" t="s">
        <v>2538</v>
      </c>
      <c r="C48" s="2338">
        <f ca="1">ROUND(F48*F50*F49*(1-F51)/10000,0)</f>
        <v>0</v>
      </c>
      <c r="D48" s="2339" t="s">
        <v>636</v>
      </c>
      <c r="E48" s="2340" t="s">
        <v>2296</v>
      </c>
      <c r="F48" s="2341"/>
      <c r="G48" s="2075"/>
      <c r="I48" s="3076" t="s">
        <v>2345</v>
      </c>
      <c r="J48" s="2346" t="s">
        <v>2350</v>
      </c>
      <c r="K48" s="3104" t="s">
        <v>2351</v>
      </c>
      <c r="L48" s="1893">
        <f ca="1">INDIRECT("'数据-取费表'!f"&amp;$G$1)</f>
        <v>46.93</v>
      </c>
      <c r="O48" s="2362" t="s">
        <v>2379</v>
      </c>
      <c r="P48" s="2363" t="s">
        <v>2405</v>
      </c>
      <c r="Q48" s="2364">
        <f ca="1">C40+J29</f>
        <v>1688</v>
      </c>
      <c r="R48" s="2363" t="s">
        <v>2380</v>
      </c>
    </row>
    <row r="49" spans="1:18" s="2044" customFormat="1" ht="18" customHeight="1" thickBot="1">
      <c r="A49" s="785"/>
      <c r="B49" s="786"/>
      <c r="C49" s="787"/>
      <c r="D49" s="788"/>
      <c r="E49" s="783" t="s">
        <v>1739</v>
      </c>
      <c r="F49" s="784">
        <f ca="1">F7</f>
        <v>7361.87</v>
      </c>
      <c r="G49" s="2075"/>
      <c r="H49" s="2078"/>
      <c r="I49" s="3076" t="s">
        <v>2346</v>
      </c>
      <c r="J49" s="2347">
        <v>2020</v>
      </c>
      <c r="K49" s="3105" t="s">
        <v>2352</v>
      </c>
      <c r="L49" s="2348"/>
      <c r="O49" s="2362" t="s">
        <v>2381</v>
      </c>
      <c r="P49" s="2363" t="s">
        <v>2406</v>
      </c>
      <c r="Q49" s="2364">
        <f ca="1">J60</f>
        <v>14</v>
      </c>
      <c r="R49" s="2363" t="s">
        <v>2382</v>
      </c>
    </row>
    <row r="50" spans="1:18" s="2044" customFormat="1" ht="18" customHeight="1" thickBot="1">
      <c r="A50" s="785"/>
      <c r="B50" s="786"/>
      <c r="C50" s="787"/>
      <c r="D50" s="788"/>
      <c r="E50" s="783" t="s">
        <v>1740</v>
      </c>
      <c r="F50" s="784">
        <f ca="1">F8</f>
        <v>365</v>
      </c>
      <c r="G50" s="2080"/>
      <c r="H50" s="2078"/>
      <c r="I50" s="3076" t="s">
        <v>2347</v>
      </c>
      <c r="J50" s="3101">
        <f>SUMPRODUCT((I63:I65=J47)*(J62:L62=J48)*(J63:L65))</f>
        <v>60</v>
      </c>
      <c r="K50" s="3105" t="s">
        <v>2353</v>
      </c>
      <c r="L50" s="2348"/>
      <c r="O50" s="2365" t="s">
        <v>2383</v>
      </c>
      <c r="P50" s="2363" t="s">
        <v>2407</v>
      </c>
      <c r="Q50" s="2364">
        <f ca="1">C29</f>
        <v>1789</v>
      </c>
      <c r="R50" s="2363" t="s">
        <v>2380</v>
      </c>
    </row>
    <row r="51" spans="1:18" s="2044" customFormat="1" ht="18" customHeight="1" thickBot="1">
      <c r="A51" s="785"/>
      <c r="B51" s="786"/>
      <c r="C51" s="787"/>
      <c r="D51" s="788"/>
      <c r="E51" s="783" t="s">
        <v>640</v>
      </c>
      <c r="F51" s="2335"/>
      <c r="H51" s="2078"/>
      <c r="I51" s="3098" t="s">
        <v>2348</v>
      </c>
      <c r="J51" s="3102">
        <f>IF(J49="",J50,J49+J50-YEAR('数据-取费表'!B2))</f>
        <v>61</v>
      </c>
      <c r="K51" s="3076" t="s">
        <v>2354</v>
      </c>
      <c r="L51" s="3108">
        <f ca="1">ROUND(-PV(INDIRECT("'数据-取费表'!h"&amp;$G$1),L48,(C39-C13*J36),0),0)</f>
        <v>-1747</v>
      </c>
      <c r="O51" s="2365" t="s">
        <v>2384</v>
      </c>
      <c r="P51" s="2363" t="s">
        <v>2385</v>
      </c>
      <c r="Q51" s="2366">
        <f ca="1">J58</f>
        <v>0.4</v>
      </c>
      <c r="R51" s="2367"/>
    </row>
    <row r="52" spans="1:18" s="2044" customFormat="1" ht="18" customHeight="1" thickBot="1">
      <c r="A52" s="780" t="s">
        <v>2536</v>
      </c>
      <c r="B52" s="2458" t="s">
        <v>2459</v>
      </c>
      <c r="C52" s="798">
        <f ca="1">ROUND(IF(F52="押一",C48/12*F11,IF(F52="押二",C48/12*2*F11,IF(F52="押三",C48/12*3*F11,C53*F11))),0)</f>
        <v>0</v>
      </c>
      <c r="D52" s="2465" t="s">
        <v>2971</v>
      </c>
      <c r="E52" s="2462" t="s">
        <v>2464</v>
      </c>
      <c r="F52" s="2585"/>
      <c r="I52" s="3099" t="s">
        <v>2421</v>
      </c>
      <c r="J52" s="2349">
        <v>0.09</v>
      </c>
      <c r="K52" s="3099" t="s">
        <v>2420</v>
      </c>
      <c r="L52" s="2349"/>
      <c r="O52" s="2365" t="s">
        <v>2386</v>
      </c>
      <c r="P52" s="2363" t="s">
        <v>2387</v>
      </c>
      <c r="Q52" s="2366">
        <f>J52</f>
        <v>0.09</v>
      </c>
      <c r="R52" s="2367"/>
    </row>
    <row r="53" spans="1:18" s="2044" customFormat="1" ht="39.75" customHeight="1" thickBot="1">
      <c r="A53" s="785"/>
      <c r="B53" s="2459" t="s">
        <v>2573</v>
      </c>
      <c r="C53" s="2463"/>
      <c r="D53" s="2465"/>
      <c r="E53" s="2462"/>
      <c r="F53" s="799"/>
      <c r="I53" s="3100" t="s">
        <v>2974</v>
      </c>
      <c r="J53" s="3179">
        <f ca="1">IF(M47="住宅",IF(D1="——",MAX(J51,L48),MAX(J51,L48-'数据-取费表'!B20)),IF(D1="——",MIN(J51,L48),MIN(J51,L48-'数据-取费表'!B20)))</f>
        <v>45.43</v>
      </c>
      <c r="K53" s="3476" t="s">
        <v>2962</v>
      </c>
      <c r="L53" s="3477"/>
      <c r="O53" s="2365" t="s">
        <v>2388</v>
      </c>
      <c r="P53" s="2363" t="s">
        <v>2389</v>
      </c>
      <c r="Q53" s="2364">
        <f ca="1">J53</f>
        <v>45.43</v>
      </c>
      <c r="R53" s="2363" t="s">
        <v>2390</v>
      </c>
    </row>
    <row r="54" spans="1:18" s="2044" customFormat="1" ht="18" customHeight="1" thickBot="1">
      <c r="A54" s="2501" t="s">
        <v>2467</v>
      </c>
      <c r="B54" s="2502" t="s">
        <v>2460</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1702</v>
      </c>
      <c r="R54" s="2367" t="s">
        <v>2392</v>
      </c>
    </row>
    <row r="55" spans="1:18" s="2044" customFormat="1" ht="18" customHeight="1" thickTop="1" thickBot="1">
      <c r="A55" s="796">
        <v>2</v>
      </c>
      <c r="B55" s="797" t="s">
        <v>644</v>
      </c>
      <c r="C55" s="798">
        <f ca="1">C13</f>
        <v>1789</v>
      </c>
      <c r="D55" s="794"/>
      <c r="E55" s="794"/>
      <c r="F55" s="799"/>
      <c r="I55" s="3111" t="s">
        <v>2355</v>
      </c>
      <c r="J55" s="3051">
        <f ca="1">ROUND(IF(J47="钢混",J57/J50,1-(1-2%)*(J50-J57)/J50),3)</f>
        <v>0.23499999999999999</v>
      </c>
      <c r="K55" s="3112" t="s">
        <v>2356</v>
      </c>
      <c r="L55" s="2350"/>
      <c r="O55" s="2368" t="s">
        <v>2411</v>
      </c>
      <c r="P55" s="1578"/>
      <c r="Q55" s="1589"/>
      <c r="R55" s="1578"/>
    </row>
    <row r="56" spans="1:18" s="2044" customFormat="1" ht="42.75" customHeight="1" thickBot="1">
      <c r="A56" s="1635"/>
      <c r="B56" s="2216" t="s">
        <v>2302</v>
      </c>
      <c r="C56" s="52">
        <f ca="1">C29</f>
        <v>1789</v>
      </c>
      <c r="D56" s="2602"/>
      <c r="E56" s="783"/>
      <c r="F56" s="808"/>
      <c r="I56" s="3113" t="s">
        <v>2357</v>
      </c>
      <c r="J56" s="3123" t="s">
        <v>3004</v>
      </c>
      <c r="K56" s="3076" t="s">
        <v>2362</v>
      </c>
      <c r="L56" s="1893" t="str">
        <f ca="1">IF(L48&lt;J51,"——",L48-J51)</f>
        <v>——</v>
      </c>
      <c r="O56" s="2359" t="s">
        <v>2375</v>
      </c>
      <c r="P56" s="2360" t="s">
        <v>2376</v>
      </c>
      <c r="Q56" s="2361" t="s">
        <v>2377</v>
      </c>
      <c r="R56" s="2360" t="s">
        <v>2378</v>
      </c>
    </row>
    <row r="57" spans="1:18" s="2044" customFormat="1" ht="28.5" customHeight="1" thickBot="1">
      <c r="A57" s="796" t="s">
        <v>1748</v>
      </c>
      <c r="B57" s="797" t="s">
        <v>651</v>
      </c>
      <c r="C57" s="798">
        <f ca="1">ROUND(C58+C63+C64+C65,0)</f>
        <v>31</v>
      </c>
      <c r="D57" s="25" t="s">
        <v>1750</v>
      </c>
      <c r="E57" s="2603"/>
      <c r="F57" s="55"/>
      <c r="I57" s="3114" t="s">
        <v>2358</v>
      </c>
      <c r="J57" s="3115">
        <f ca="1">IF(OR(M47="住宅",J51&lt;L48,J56="是"),"——",J51-L48)</f>
        <v>14.07</v>
      </c>
      <c r="K57" s="3076" t="s">
        <v>2363</v>
      </c>
      <c r="L57" s="1893" t="str">
        <f ca="1">IF(L48&lt;J51,"——",IF(L55="比较法",L49,IF(L55="基准地价",L50,L51)))</f>
        <v>——</v>
      </c>
      <c r="O57" s="2362" t="s">
        <v>2379</v>
      </c>
      <c r="P57" s="2363" t="s">
        <v>2409</v>
      </c>
      <c r="Q57" s="2364">
        <f ca="1">C40+J29</f>
        <v>1688</v>
      </c>
      <c r="R57" s="2363" t="s">
        <v>2380</v>
      </c>
    </row>
    <row r="58" spans="1:18" s="2044" customFormat="1" ht="28.5" customHeight="1" thickBot="1">
      <c r="A58" s="1634" t="s">
        <v>1824</v>
      </c>
      <c r="B58" s="783" t="s">
        <v>656</v>
      </c>
      <c r="C58" s="52">
        <f ca="1">ROUND(IF(项目基本情况!B11="自然人",C47*F58,C59+C60+C61),1)</f>
        <v>1.2</v>
      </c>
      <c r="D58" s="2601" t="s">
        <v>657</v>
      </c>
      <c r="E58" s="2602" t="s">
        <v>690</v>
      </c>
      <c r="F58" s="809" t="str">
        <f ca="1">IF(项目基本情况!B11="企业","",IF(INDIRECT("'数据-取费表'!c"&amp;$G$1)="住宅",5%,IF(F48*F49*F50/12/(1+'数据-取费表'!C42)&gt;20000,12%,7%)))</f>
        <v/>
      </c>
      <c r="I58" s="3114" t="s">
        <v>2359</v>
      </c>
      <c r="J58" s="3052">
        <f ca="1">IF(J55&lt;0.4,0.4,J55)</f>
        <v>0.4</v>
      </c>
      <c r="K58" s="3076"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3" t="s">
        <v>660</v>
      </c>
      <c r="C59" s="52">
        <f ca="1">ROUND(C47*F59/1.05,1)</f>
        <v>0</v>
      </c>
      <c r="D59" s="2602" t="s">
        <v>1756</v>
      </c>
      <c r="E59" s="783" t="s">
        <v>1747</v>
      </c>
      <c r="F59" s="808">
        <f t="shared" ref="F59:F65" si="0">F32</f>
        <v>5.6000000000000001E-2</v>
      </c>
      <c r="I59" s="3114" t="s">
        <v>2360</v>
      </c>
      <c r="J59" s="3115">
        <f ca="1">IF(OR(M47="住宅",J51&lt;L48,J56="是"),"——",ROUND(C29*J58,0))</f>
        <v>716</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3" t="s">
        <v>1758</v>
      </c>
      <c r="C60" s="52">
        <f ca="1">IF(D60="按租金收入计税",ROUND(C47*F60,1),IF(D60="按房产原值计税",ROUND(C56*F60*0.7,1),INDIRECT("'数据-取费表'!Aj"&amp;$G$1)))</f>
        <v>0</v>
      </c>
      <c r="D60" s="2602" t="str">
        <f>D33</f>
        <v>按租金收入计税</v>
      </c>
      <c r="E60" s="783" t="s">
        <v>1747</v>
      </c>
      <c r="F60" s="808">
        <f t="shared" si="0"/>
        <v>0.12</v>
      </c>
      <c r="I60" s="3116" t="s">
        <v>2361</v>
      </c>
      <c r="J60" s="3117">
        <f ca="1">IF(OR(M47="住宅",J51&lt;L48,J56="是"),"0",ROUND(J59/(1+J52)^J53,0))</f>
        <v>14</v>
      </c>
      <c r="K60" s="3118" t="s">
        <v>2366</v>
      </c>
      <c r="L60" s="3117">
        <f ca="1">IF(OR(M47="住宅",L48&lt;J51),0,ROUND(L57*(L58/L59-1),0))</f>
        <v>0</v>
      </c>
      <c r="O60" s="2365" t="s">
        <v>2384</v>
      </c>
      <c r="P60" s="2363" t="s">
        <v>2393</v>
      </c>
      <c r="Q60" s="2366">
        <f>L52</f>
        <v>0</v>
      </c>
      <c r="R60" s="2367"/>
    </row>
    <row r="61" spans="1:18" s="2044" customFormat="1" ht="18" customHeight="1" thickBot="1">
      <c r="A61" s="1636" t="s">
        <v>1833</v>
      </c>
      <c r="B61" s="340" t="s">
        <v>668</v>
      </c>
      <c r="C61" s="53">
        <f ca="1">ROUND(F61*F62/10000,1)</f>
        <v>1.2</v>
      </c>
      <c r="D61" s="813" t="s">
        <v>669</v>
      </c>
      <c r="E61" s="783" t="s">
        <v>670</v>
      </c>
      <c r="F61" s="639">
        <f t="shared" si="0"/>
        <v>5</v>
      </c>
      <c r="K61" s="2071"/>
      <c r="O61" s="2365" t="s">
        <v>2386</v>
      </c>
      <c r="P61" s="2363" t="s">
        <v>2394</v>
      </c>
      <c r="Q61" s="2364" t="e">
        <f ca="1">L58</f>
        <v>#DIV/0!</v>
      </c>
      <c r="R61" s="2367" t="s">
        <v>2395</v>
      </c>
    </row>
    <row r="62" spans="1:18" s="2044" customFormat="1" ht="15.75" thickBot="1">
      <c r="A62" s="814"/>
      <c r="B62" s="792"/>
      <c r="C62" s="68"/>
      <c r="D62" s="815"/>
      <c r="E62" s="783" t="s">
        <v>674</v>
      </c>
      <c r="F62" s="784">
        <f t="shared" ca="1" si="0"/>
        <v>2327.9699999999998</v>
      </c>
      <c r="I62" s="3119" t="s">
        <v>2367</v>
      </c>
      <c r="J62" s="3120" t="s">
        <v>2368</v>
      </c>
      <c r="K62" s="3120" t="s">
        <v>2369</v>
      </c>
      <c r="L62" s="3120" t="s">
        <v>2350</v>
      </c>
      <c r="M62" s="3121" t="s">
        <v>2939</v>
      </c>
      <c r="O62" s="2365" t="s">
        <v>2388</v>
      </c>
      <c r="P62" s="2363" t="str">
        <f>K59</f>
        <v>建设期及建筑物耐用年限下的土地年期修正系数Kn</v>
      </c>
      <c r="Q62" s="2364" t="e">
        <f ca="1">L59</f>
        <v>#DIV/0!</v>
      </c>
      <c r="R62" s="2367" t="s">
        <v>2397</v>
      </c>
    </row>
    <row r="63" spans="1:18" s="2044" customFormat="1" ht="15.75" thickBot="1">
      <c r="A63" s="1634" t="s">
        <v>1889</v>
      </c>
      <c r="B63" s="783" t="s">
        <v>676</v>
      </c>
      <c r="C63" s="52">
        <f ca="1">ROUND(C56*F63,1)</f>
        <v>26.8</v>
      </c>
      <c r="D63" s="2602" t="s">
        <v>1803</v>
      </c>
      <c r="E63" s="783" t="s">
        <v>1747</v>
      </c>
      <c r="F63" s="816">
        <f t="shared" ca="1" si="0"/>
        <v>1.4999999999999999E-2</v>
      </c>
      <c r="I63" s="3119" t="s">
        <v>2370</v>
      </c>
      <c r="J63" s="3120">
        <v>70</v>
      </c>
      <c r="K63" s="3120">
        <v>50</v>
      </c>
      <c r="L63" s="3120">
        <v>80</v>
      </c>
      <c r="M63" s="3122">
        <v>0.02</v>
      </c>
      <c r="O63" s="2362" t="s">
        <v>2391</v>
      </c>
      <c r="P63" s="2363" t="s">
        <v>2408</v>
      </c>
      <c r="Q63" s="2364">
        <f ca="1">Q57+Q58</f>
        <v>1688</v>
      </c>
      <c r="R63" s="2367" t="s">
        <v>2392</v>
      </c>
    </row>
    <row r="64" spans="1:18" s="2044" customFormat="1" ht="16.5" thickBot="1">
      <c r="A64" s="1634" t="s">
        <v>1890</v>
      </c>
      <c r="B64" s="783" t="s">
        <v>679</v>
      </c>
      <c r="C64" s="52">
        <f ca="1">ROUND(C55*F64,1)</f>
        <v>2.7</v>
      </c>
      <c r="D64" s="2602" t="s">
        <v>680</v>
      </c>
      <c r="E64" s="783" t="s">
        <v>1747</v>
      </c>
      <c r="F64" s="817">
        <f t="shared" ca="1" si="0"/>
        <v>1.5E-3</v>
      </c>
      <c r="I64" s="3119" t="s">
        <v>2371</v>
      </c>
      <c r="J64" s="3120">
        <v>50</v>
      </c>
      <c r="K64" s="3120">
        <v>35</v>
      </c>
      <c r="L64" s="3120">
        <v>60</v>
      </c>
      <c r="M64" s="845">
        <v>0</v>
      </c>
      <c r="O64" s="2368" t="s">
        <v>2415</v>
      </c>
      <c r="P64" s="1578"/>
      <c r="Q64" s="1589"/>
      <c r="R64" s="1578"/>
    </row>
    <row r="65" spans="1:18" s="2044" customFormat="1" ht="15.75" thickBot="1">
      <c r="A65" s="1634" t="s">
        <v>1891</v>
      </c>
      <c r="B65" s="783" t="s">
        <v>666</v>
      </c>
      <c r="C65" s="52">
        <f ca="1">ROUND(C47*F65,1)</f>
        <v>0</v>
      </c>
      <c r="D65" s="2602" t="s">
        <v>683</v>
      </c>
      <c r="E65" s="783" t="s">
        <v>1747</v>
      </c>
      <c r="F65" s="793">
        <f t="shared" ca="1" si="0"/>
        <v>0.01</v>
      </c>
      <c r="I65" s="3119" t="s">
        <v>2372</v>
      </c>
      <c r="J65" s="3120">
        <v>40</v>
      </c>
      <c r="K65" s="3120">
        <v>30</v>
      </c>
      <c r="L65" s="3120">
        <v>50</v>
      </c>
      <c r="M65" s="3122">
        <v>0.02</v>
      </c>
      <c r="O65" s="2359" t="s">
        <v>2375</v>
      </c>
      <c r="P65" s="2360" t="s">
        <v>2376</v>
      </c>
      <c r="Q65" s="2361" t="s">
        <v>2377</v>
      </c>
      <c r="R65" s="2360" t="s">
        <v>2378</v>
      </c>
    </row>
    <row r="66" spans="1:18" s="2044" customFormat="1" ht="24.75" thickBot="1">
      <c r="A66" s="796" t="s">
        <v>1776</v>
      </c>
      <c r="B66" s="2962" t="s">
        <v>2821</v>
      </c>
      <c r="C66" s="798">
        <f ca="1">C47-C57</f>
        <v>-31</v>
      </c>
      <c r="D66" s="2601" t="s">
        <v>700</v>
      </c>
      <c r="E66" s="2600"/>
      <c r="F66" s="819"/>
      <c r="K66" s="2071"/>
      <c r="O66" s="2362" t="s">
        <v>2379</v>
      </c>
      <c r="P66" s="2363" t="s">
        <v>2409</v>
      </c>
      <c r="Q66" s="2364">
        <f ca="1">C40+J29</f>
        <v>1688</v>
      </c>
      <c r="R66" s="2363" t="s">
        <v>2380</v>
      </c>
    </row>
    <row r="67" spans="1:18" s="2044" customFormat="1" ht="20.25" thickBot="1">
      <c r="A67" s="780" t="s">
        <v>1780</v>
      </c>
      <c r="B67" s="2217" t="s">
        <v>2301</v>
      </c>
      <c r="C67" s="782">
        <f ca="1">ROUND(C66*(1-((1+F69)/(1+F67))^F68)/(F67-F69),0)</f>
        <v>-596</v>
      </c>
      <c r="D67" s="813" t="s">
        <v>704</v>
      </c>
      <c r="E67" s="783" t="s">
        <v>705</v>
      </c>
      <c r="F67" s="793">
        <f ca="1">F40</f>
        <v>4.4999999999999998E-2</v>
      </c>
      <c r="K67" s="2071"/>
      <c r="O67" s="2362" t="s">
        <v>2381</v>
      </c>
      <c r="P67" s="2363" t="s">
        <v>2412</v>
      </c>
      <c r="Q67" s="2364">
        <f ca="1">L60</f>
        <v>0</v>
      </c>
      <c r="R67" s="2367" t="s">
        <v>2414</v>
      </c>
    </row>
    <row r="68" spans="1:18" ht="21.75" thickBot="1">
      <c r="A68" s="785"/>
      <c r="B68" s="786"/>
      <c r="C68" s="787"/>
      <c r="D68" s="820" t="s">
        <v>1808</v>
      </c>
      <c r="E68" s="783" t="s">
        <v>1784</v>
      </c>
      <c r="F68" s="821">
        <f ca="1">F41</f>
        <v>45.43</v>
      </c>
      <c r="O68" s="2365" t="s">
        <v>2383</v>
      </c>
      <c r="P68" s="2363" t="s">
        <v>2413</v>
      </c>
      <c r="Q68" s="2369">
        <f ca="1">L51</f>
        <v>-1747</v>
      </c>
      <c r="R68" s="2370" t="s">
        <v>2416</v>
      </c>
    </row>
    <row r="69" spans="1:18" ht="20.25" thickBot="1">
      <c r="A69" s="789"/>
      <c r="B69" s="790"/>
      <c r="C69" s="791"/>
      <c r="D69" s="815"/>
      <c r="E69" s="783" t="s">
        <v>710</v>
      </c>
      <c r="F69" s="2335"/>
      <c r="O69" s="2365" t="s">
        <v>2384</v>
      </c>
      <c r="P69" s="2371" t="s">
        <v>2398</v>
      </c>
      <c r="Q69" s="2364">
        <f ca="1">ROUND(Q70-Q71*Q72,0)</f>
        <v>-83</v>
      </c>
      <c r="R69" s="2367"/>
    </row>
    <row r="70" spans="1:18" ht="15.75" thickBot="1">
      <c r="A70" s="822" t="s">
        <v>1787</v>
      </c>
      <c r="B70" s="823" t="s">
        <v>1810</v>
      </c>
      <c r="C70" s="824">
        <f ca="1">ROUND(C67*10000/F70,0)</f>
        <v>-810</v>
      </c>
      <c r="D70" s="825" t="s">
        <v>1811</v>
      </c>
      <c r="E70" s="826" t="s">
        <v>1812</v>
      </c>
      <c r="F70" s="827">
        <f ca="1">F43</f>
        <v>7361.87</v>
      </c>
      <c r="O70" s="2365" t="s">
        <v>2399</v>
      </c>
      <c r="P70" s="2371" t="s">
        <v>2400</v>
      </c>
      <c r="Q70" s="2364">
        <f ca="1">C39</f>
        <v>69</v>
      </c>
      <c r="R70" s="2363" t="s">
        <v>2380</v>
      </c>
    </row>
    <row r="71" spans="1:18" ht="15.75" thickBot="1">
      <c r="O71" s="2365" t="s">
        <v>2401</v>
      </c>
      <c r="P71" s="2371" t="s">
        <v>2402</v>
      </c>
      <c r="Q71" s="2364">
        <f ca="1">C13</f>
        <v>1789</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1688</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2471</v>
      </c>
      <c r="B1" s="3479"/>
      <c r="C1" s="3480"/>
      <c r="D1" s="3481">
        <f>SUM(I10,I15,I20,I21,I23)</f>
        <v>0</v>
      </c>
      <c r="E1" s="3481"/>
      <c r="F1" s="3481"/>
      <c r="G1" s="3481"/>
      <c r="H1" s="3481"/>
      <c r="I1" s="3482"/>
    </row>
    <row r="2" spans="1:9">
      <c r="A2" s="3483" t="s">
        <v>2472</v>
      </c>
      <c r="B2" s="3484" t="s">
        <v>2473</v>
      </c>
      <c r="C2" s="3484"/>
      <c r="D2" s="2471" t="s">
        <v>2474</v>
      </c>
      <c r="E2" s="2471" t="s">
        <v>2475</v>
      </c>
      <c r="F2" s="2471" t="s">
        <v>2476</v>
      </c>
      <c r="G2" s="2471" t="s">
        <v>2477</v>
      </c>
      <c r="H2" s="2471" t="s">
        <v>2478</v>
      </c>
      <c r="I2" s="2472" t="s">
        <v>2479</v>
      </c>
    </row>
    <row r="3" spans="1:9">
      <c r="A3" s="3483"/>
      <c r="B3" s="3484" t="s">
        <v>2480</v>
      </c>
      <c r="C3" s="3484"/>
      <c r="D3" s="2473"/>
      <c r="E3" s="2471"/>
      <c r="F3" s="2474"/>
      <c r="G3" s="2474"/>
      <c r="H3" s="2475"/>
      <c r="I3" s="2476">
        <f>ROUND(D3*E3*F3*G3*H3/10000,0)</f>
        <v>0</v>
      </c>
    </row>
    <row r="4" spans="1:9">
      <c r="A4" s="3483"/>
      <c r="B4" s="3484" t="s">
        <v>2481</v>
      </c>
      <c r="C4" s="3484"/>
      <c r="D4" s="2473"/>
      <c r="E4" s="2471"/>
      <c r="F4" s="2474"/>
      <c r="G4" s="2474"/>
      <c r="H4" s="2475"/>
      <c r="I4" s="2476">
        <f t="shared" ref="I4:I9" si="0">ROUND(D4*E4*F4*G4*H4/10000,0)</f>
        <v>0</v>
      </c>
    </row>
    <row r="5" spans="1:9">
      <c r="A5" s="3483"/>
      <c r="B5" s="3484" t="s">
        <v>2482</v>
      </c>
      <c r="C5" s="3484"/>
      <c r="D5" s="2473"/>
      <c r="E5" s="2471"/>
      <c r="F5" s="2474"/>
      <c r="G5" s="2474"/>
      <c r="H5" s="2475"/>
      <c r="I5" s="2476">
        <f t="shared" si="0"/>
        <v>0</v>
      </c>
    </row>
    <row r="6" spans="1:9">
      <c r="A6" s="3483"/>
      <c r="B6" s="3484" t="s">
        <v>2483</v>
      </c>
      <c r="C6" s="3484"/>
      <c r="D6" s="2473"/>
      <c r="E6" s="2471"/>
      <c r="F6" s="2474"/>
      <c r="G6" s="2474"/>
      <c r="H6" s="2475"/>
      <c r="I6" s="2476">
        <f t="shared" si="0"/>
        <v>0</v>
      </c>
    </row>
    <row r="7" spans="1:9">
      <c r="A7" s="3483"/>
      <c r="B7" s="3484" t="s">
        <v>2484</v>
      </c>
      <c r="C7" s="3484"/>
      <c r="D7" s="2473"/>
      <c r="E7" s="2471"/>
      <c r="F7" s="2474"/>
      <c r="G7" s="2474"/>
      <c r="H7" s="2475"/>
      <c r="I7" s="2476">
        <f t="shared" si="0"/>
        <v>0</v>
      </c>
    </row>
    <row r="8" spans="1:9">
      <c r="A8" s="3483"/>
      <c r="B8" s="3484" t="s">
        <v>2485</v>
      </c>
      <c r="C8" s="3484"/>
      <c r="D8" s="2473"/>
      <c r="E8" s="2471"/>
      <c r="F8" s="2474"/>
      <c r="G8" s="2474"/>
      <c r="H8" s="2475"/>
      <c r="I8" s="2476">
        <f t="shared" si="0"/>
        <v>0</v>
      </c>
    </row>
    <row r="9" spans="1:9">
      <c r="A9" s="3483"/>
      <c r="B9" s="3484" t="s">
        <v>2486</v>
      </c>
      <c r="C9" s="3484"/>
      <c r="D9" s="2473"/>
      <c r="E9" s="2471"/>
      <c r="F9" s="2474"/>
      <c r="G9" s="2474"/>
      <c r="H9" s="2475"/>
      <c r="I9" s="2476">
        <f t="shared" si="0"/>
        <v>0</v>
      </c>
    </row>
    <row r="10" spans="1:9">
      <c r="A10" s="3483"/>
      <c r="B10" s="3485" t="s">
        <v>2487</v>
      </c>
      <c r="C10" s="3485"/>
      <c r="D10" s="2477">
        <v>527</v>
      </c>
      <c r="E10" s="2477" t="e">
        <f>ROUND(D1*10000/D10/H9,0)</f>
        <v>#DIV/0!</v>
      </c>
      <c r="F10" s="2478"/>
      <c r="G10" s="2478"/>
      <c r="H10" s="2479"/>
      <c r="I10" s="2480">
        <f>SUM(I3:I9)</f>
        <v>0</v>
      </c>
    </row>
    <row r="11" spans="1:9" ht="14.25">
      <c r="A11" s="3483" t="s">
        <v>2488</v>
      </c>
      <c r="B11" s="3484" t="s">
        <v>2489</v>
      </c>
      <c r="C11" s="3484"/>
      <c r="D11" s="2473" t="s">
        <v>2490</v>
      </c>
      <c r="E11" s="2473" t="s">
        <v>2491</v>
      </c>
      <c r="F11" s="2474" t="s">
        <v>2492</v>
      </c>
      <c r="G11" s="2474" t="s">
        <v>2493</v>
      </c>
      <c r="H11" s="2481" t="s">
        <v>2494</v>
      </c>
      <c r="I11" s="2472" t="s">
        <v>2495</v>
      </c>
    </row>
    <row r="12" spans="1:9">
      <c r="A12" s="3483"/>
      <c r="B12" s="3484" t="s">
        <v>2496</v>
      </c>
      <c r="C12" s="3484"/>
      <c r="D12" s="2473"/>
      <c r="E12" s="2473"/>
      <c r="F12" s="2474"/>
      <c r="G12" s="2475"/>
      <c r="H12" s="2482"/>
      <c r="I12" s="2472">
        <f>ROUND(D12*E12*F12*G12/10000,0)</f>
        <v>0</v>
      </c>
    </row>
    <row r="13" spans="1:9">
      <c r="A13" s="3483"/>
      <c r="B13" s="3484" t="s">
        <v>2497</v>
      </c>
      <c r="C13" s="3484"/>
      <c r="D13" s="2473"/>
      <c r="E13" s="2473"/>
      <c r="F13" s="2474"/>
      <c r="G13" s="2475"/>
      <c r="H13" s="2482"/>
      <c r="I13" s="2472">
        <f>ROUND(D13*E13*F13*G13/10000,0)</f>
        <v>0</v>
      </c>
    </row>
    <row r="14" spans="1:9">
      <c r="A14" s="3483"/>
      <c r="B14" s="3484" t="s">
        <v>2498</v>
      </c>
      <c r="C14" s="3484"/>
      <c r="D14" s="2473"/>
      <c r="E14" s="2473"/>
      <c r="F14" s="2474"/>
      <c r="G14" s="2475"/>
      <c r="H14" s="2482"/>
      <c r="I14" s="2472">
        <f>ROUND(D14*E14*F14*G14/10000,0)</f>
        <v>0</v>
      </c>
    </row>
    <row r="15" spans="1:9">
      <c r="A15" s="3483"/>
      <c r="B15" s="3485" t="s">
        <v>2487</v>
      </c>
      <c r="C15" s="3485"/>
      <c r="D15" s="2477"/>
      <c r="E15" s="2477">
        <f>SUM(E12:E14)</f>
        <v>0</v>
      </c>
      <c r="F15" s="2478"/>
      <c r="G15" s="2475"/>
      <c r="H15" s="2482"/>
      <c r="I15" s="2483">
        <f>SUM(I12:I14)</f>
        <v>0</v>
      </c>
    </row>
    <row r="16" spans="1:9" ht="24">
      <c r="A16" s="3483" t="s">
        <v>2499</v>
      </c>
      <c r="B16" s="3484" t="s">
        <v>2500</v>
      </c>
      <c r="C16" s="3484"/>
      <c r="D16" s="2473" t="s">
        <v>2501</v>
      </c>
      <c r="E16" s="2484" t="s">
        <v>2502</v>
      </c>
      <c r="F16" s="2474" t="s">
        <v>2503</v>
      </c>
      <c r="G16" s="2475" t="s">
        <v>2493</v>
      </c>
      <c r="H16" s="2481" t="s">
        <v>2494</v>
      </c>
      <c r="I16" s="2472" t="s">
        <v>2495</v>
      </c>
    </row>
    <row r="17" spans="1:9" ht="14.25">
      <c r="A17" s="3483"/>
      <c r="B17" s="3484" t="s">
        <v>2504</v>
      </c>
      <c r="C17" s="3484"/>
      <c r="D17" s="2473"/>
      <c r="E17" s="2473"/>
      <c r="F17" s="2474"/>
      <c r="G17" s="2475"/>
      <c r="H17" s="2485"/>
      <c r="I17" s="2486">
        <f>ROUND(D17*E17*F17*G17/10000,0)</f>
        <v>0</v>
      </c>
    </row>
    <row r="18" spans="1:9" ht="14.25">
      <c r="A18" s="3483"/>
      <c r="B18" s="3484" t="s">
        <v>2505</v>
      </c>
      <c r="C18" s="3484"/>
      <c r="D18" s="2473"/>
      <c r="E18" s="2473"/>
      <c r="F18" s="2474"/>
      <c r="G18" s="2475"/>
      <c r="H18" s="2485"/>
      <c r="I18" s="2486">
        <f>ROUND(D18*E18*F18*G18/10000,0)</f>
        <v>0</v>
      </c>
    </row>
    <row r="19" spans="1:9" ht="14.25">
      <c r="A19" s="3483"/>
      <c r="B19" s="3484" t="s">
        <v>2506</v>
      </c>
      <c r="C19" s="3484"/>
      <c r="D19" s="2473"/>
      <c r="E19" s="2473"/>
      <c r="F19" s="2474"/>
      <c r="G19" s="2475"/>
      <c r="H19" s="2485"/>
      <c r="I19" s="2486">
        <f>ROUND(D19*E19*F19*G19/10000,0)</f>
        <v>0</v>
      </c>
    </row>
    <row r="20" spans="1:9">
      <c r="A20" s="3483"/>
      <c r="B20" s="3485" t="s">
        <v>2487</v>
      </c>
      <c r="C20" s="3485"/>
      <c r="D20" s="2477">
        <f>SUM(D17:D19)</f>
        <v>0</v>
      </c>
      <c r="E20" s="2477"/>
      <c r="F20" s="2478"/>
      <c r="G20" s="2475"/>
      <c r="H20" s="2482"/>
      <c r="I20" s="2483">
        <f>SUM(I17:I19)</f>
        <v>0</v>
      </c>
    </row>
    <row r="21" spans="1:9">
      <c r="A21" s="3483" t="s">
        <v>2507</v>
      </c>
      <c r="B21" s="3487"/>
      <c r="C21" s="3487"/>
      <c r="D21" s="3487"/>
      <c r="E21" s="3487"/>
      <c r="F21" s="3487"/>
      <c r="G21" s="3487"/>
      <c r="H21" s="2487">
        <v>0.1</v>
      </c>
      <c r="I21" s="2480">
        <f>ROUND(I10*H21,0)</f>
        <v>0</v>
      </c>
    </row>
    <row r="22" spans="1:9" ht="14.25">
      <c r="A22" s="3488" t="s">
        <v>2508</v>
      </c>
      <c r="B22" s="3489"/>
      <c r="C22" s="3490"/>
      <c r="D22" s="2488" t="s">
        <v>2509</v>
      </c>
      <c r="E22" s="2488" t="s">
        <v>2510</v>
      </c>
      <c r="F22" s="2489" t="s">
        <v>2511</v>
      </c>
      <c r="G22" s="2489" t="s">
        <v>2512</v>
      </c>
      <c r="H22" s="2481" t="s">
        <v>2513</v>
      </c>
      <c r="I22" s="2472" t="s">
        <v>2514</v>
      </c>
    </row>
    <row r="23" spans="1:9" ht="14.25" thickBot="1">
      <c r="A23" s="3491"/>
      <c r="B23" s="3492"/>
      <c r="C23" s="3493"/>
      <c r="D23" s="2490"/>
      <c r="E23" s="2490"/>
      <c r="F23" s="2490"/>
      <c r="G23" s="2491"/>
      <c r="H23" s="2492"/>
      <c r="I23" s="2493">
        <f>ROUND(E23*D23*F23*(1-G23)/10000,0)</f>
        <v>0</v>
      </c>
    </row>
    <row r="26" spans="1:9">
      <c r="A26" s="2494" t="s">
        <v>2515</v>
      </c>
      <c r="B26" s="2494"/>
      <c r="C26" s="2494"/>
      <c r="D26" s="2494"/>
      <c r="E26" s="3494">
        <f>C27-C30-C31-C32</f>
        <v>0</v>
      </c>
      <c r="F26" s="3494"/>
      <c r="G26" s="3494"/>
      <c r="H26" s="2993" t="s">
        <v>2842</v>
      </c>
    </row>
    <row r="27" spans="1:9">
      <c r="A27" s="2495">
        <v>1</v>
      </c>
      <c r="B27" s="2496" t="s">
        <v>2516</v>
      </c>
      <c r="C27" s="2496"/>
      <c r="D27" s="2496"/>
      <c r="E27" s="3495"/>
      <c r="F27" s="3495"/>
      <c r="G27" s="3495"/>
    </row>
    <row r="28" spans="1:9">
      <c r="A28" s="2497" t="s">
        <v>2517</v>
      </c>
      <c r="B28" s="2496" t="s">
        <v>2518</v>
      </c>
      <c r="C28" s="2496"/>
      <c r="D28" s="2496"/>
      <c r="E28" s="3495"/>
      <c r="F28" s="3495"/>
      <c r="G28" s="3495"/>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86"/>
      <c r="F32" s="3486"/>
      <c r="G32" s="3486"/>
    </row>
    <row r="33" spans="1:7" hidden="1">
      <c r="A33" s="3496" t="s">
        <v>2526</v>
      </c>
      <c r="B33" s="3497"/>
      <c r="C33" s="3497"/>
      <c r="D33" s="3498"/>
      <c r="E33" s="3494"/>
      <c r="F33" s="3494"/>
      <c r="G33" s="3494"/>
    </row>
    <row r="34" spans="1:7" hidden="1">
      <c r="A34" s="2499">
        <v>1</v>
      </c>
      <c r="B34" s="2496" t="s">
        <v>2527</v>
      </c>
      <c r="C34" s="2496"/>
      <c r="D34" s="2496"/>
      <c r="E34" s="3495"/>
      <c r="F34" s="3495"/>
      <c r="G34" s="3495"/>
    </row>
    <row r="35" spans="1:7" hidden="1">
      <c r="A35" s="2499">
        <v>2</v>
      </c>
      <c r="B35" s="2496" t="s">
        <v>2528</v>
      </c>
      <c r="C35" s="2496"/>
      <c r="D35" s="2496"/>
      <c r="E35" s="3495"/>
      <c r="F35" s="3495"/>
      <c r="G35" s="3495"/>
    </row>
    <row r="36" spans="1:7" hidden="1">
      <c r="A36" s="2499">
        <v>3</v>
      </c>
      <c r="B36" s="2496" t="s">
        <v>2529</v>
      </c>
      <c r="C36" s="2496"/>
      <c r="D36" s="2496"/>
      <c r="E36" s="3495"/>
      <c r="F36" s="3495"/>
      <c r="G36" s="3495"/>
    </row>
    <row r="37" spans="1:7" hidden="1">
      <c r="A37" s="2499">
        <v>4</v>
      </c>
      <c r="B37" s="2496" t="s">
        <v>2530</v>
      </c>
      <c r="C37" s="2496"/>
      <c r="D37" s="2496"/>
      <c r="E37" s="3495"/>
      <c r="F37" s="3495"/>
      <c r="G37" s="3495"/>
    </row>
    <row r="38" spans="1:7" hidden="1">
      <c r="A38" s="3496" t="s">
        <v>2531</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2440</v>
      </c>
      <c r="B8" s="2436" t="s">
        <v>2442</v>
      </c>
      <c r="C8" s="2437"/>
      <c r="D8" s="748"/>
      <c r="E8" s="749"/>
      <c r="F8" s="749"/>
      <c r="G8" s="750"/>
    </row>
    <row r="9" spans="1:25" s="2168" customFormat="1" ht="13.5" customHeight="1">
      <c r="A9" s="2433" t="s">
        <v>2441</v>
      </c>
      <c r="B9" s="2436" t="s">
        <v>2443</v>
      </c>
      <c r="C9" s="2437"/>
      <c r="D9" s="748"/>
      <c r="E9" s="749"/>
      <c r="F9" s="749"/>
      <c r="G9" s="750"/>
    </row>
    <row r="10" spans="1:25" s="2168" customFormat="1" ht="36">
      <c r="A10" s="2433">
        <v>2</v>
      </c>
      <c r="B10" s="747" t="s">
        <v>613</v>
      </c>
      <c r="C10" s="748">
        <f>C11+C14+C15</f>
        <v>0</v>
      </c>
      <c r="D10" s="759">
        <f>'数据-汇总表'!E3</f>
        <v>27186.68</v>
      </c>
      <c r="E10" s="748">
        <f>'数据-取费表'!B31</f>
        <v>150</v>
      </c>
      <c r="F10" s="760"/>
      <c r="G10" s="758" t="s">
        <v>614</v>
      </c>
    </row>
    <row r="11" spans="1:25" s="2168" customFormat="1" ht="13.5" customHeight="1">
      <c r="A11" s="2433" t="s">
        <v>2440</v>
      </c>
      <c r="B11" s="751" t="s">
        <v>610</v>
      </c>
      <c r="C11" s="752">
        <f>'数据-取费表'!B29</f>
        <v>0</v>
      </c>
      <c r="D11" s="753"/>
      <c r="E11" s="752"/>
      <c r="F11" s="754"/>
      <c r="G11" s="2442" t="s">
        <v>2451</v>
      </c>
    </row>
    <row r="12" spans="1:25" s="2168" customFormat="1" ht="13.5" customHeight="1">
      <c r="A12" s="2440" t="s">
        <v>2448</v>
      </c>
      <c r="B12" s="755" t="s">
        <v>611</v>
      </c>
      <c r="C12" s="756">
        <f>ROUND(D12*E12/10000,0)</f>
        <v>189</v>
      </c>
      <c r="D12" s="757">
        <f>'数据-汇总表'!E5</f>
        <v>18024.47</v>
      </c>
      <c r="E12" s="756">
        <f>'数据-取费表'!B27</f>
        <v>105</v>
      </c>
      <c r="F12" s="754"/>
      <c r="G12" s="758"/>
    </row>
    <row r="13" spans="1:25" s="2168" customFormat="1" ht="13.5" customHeight="1">
      <c r="A13" s="2440" t="s">
        <v>2447</v>
      </c>
      <c r="B13" s="755" t="s">
        <v>612</v>
      </c>
      <c r="C13" s="756">
        <f>ROUND(D13*E13/10000,0)</f>
        <v>96</v>
      </c>
      <c r="D13" s="757">
        <f>'数据-汇总表'!E6</f>
        <v>9162.2099999999991</v>
      </c>
      <c r="E13" s="756">
        <f>'数据-取费表'!B28</f>
        <v>105</v>
      </c>
      <c r="F13" s="754"/>
      <c r="G13" s="758"/>
    </row>
    <row r="14" spans="1:25" s="2168" customFormat="1" ht="13.5" customHeight="1">
      <c r="A14" s="2433" t="s">
        <v>2441</v>
      </c>
      <c r="B14" s="2439" t="s">
        <v>2444</v>
      </c>
      <c r="C14" s="2437"/>
      <c r="D14" s="757"/>
      <c r="E14" s="756"/>
      <c r="F14" s="2438"/>
      <c r="G14" s="2441" t="s">
        <v>2449</v>
      </c>
    </row>
    <row r="15" spans="1:25" s="2168" customFormat="1" ht="13.5" customHeight="1">
      <c r="A15" s="2433" t="s">
        <v>2446</v>
      </c>
      <c r="B15" s="2439" t="s">
        <v>2445</v>
      </c>
      <c r="C15" s="2437"/>
      <c r="D15" s="757"/>
      <c r="E15" s="756"/>
      <c r="F15" s="2438"/>
      <c r="G15" s="2441" t="s">
        <v>2450</v>
      </c>
    </row>
    <row r="16" spans="1:25" s="2169" customFormat="1" ht="48">
      <c r="A16" s="2433">
        <v>3</v>
      </c>
      <c r="B16" s="747" t="s">
        <v>615</v>
      </c>
      <c r="C16" s="2437"/>
      <c r="D16" s="759"/>
      <c r="E16" s="748"/>
      <c r="F16" s="760"/>
      <c r="G16" s="758"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0.12</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0.91600000000000004</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4"/>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82" t="s">
        <v>522</v>
      </c>
      <c r="D4" s="3383"/>
      <c r="E4" s="3416" t="s">
        <v>523</v>
      </c>
      <c r="F4" s="3417"/>
      <c r="G4" s="3382" t="s">
        <v>524</v>
      </c>
      <c r="H4" s="3383"/>
      <c r="I4" s="3382" t="s">
        <v>525</v>
      </c>
      <c r="J4" s="3383"/>
      <c r="K4" s="513" t="s">
        <v>526</v>
      </c>
      <c r="L4" s="2118"/>
      <c r="M4" s="2119"/>
      <c r="N4" s="2119"/>
      <c r="O4" s="2119"/>
      <c r="P4" s="3384" t="s">
        <v>527</v>
      </c>
      <c r="Q4" s="3385"/>
      <c r="R4" s="3390" t="s">
        <v>523</v>
      </c>
      <c r="S4" s="3391"/>
      <c r="T4" s="3390" t="s">
        <v>524</v>
      </c>
      <c r="U4" s="3391"/>
      <c r="V4" s="3377" t="s">
        <v>525</v>
      </c>
      <c r="W4" s="3377"/>
      <c r="X4" s="1553"/>
      <c r="Y4" s="3390" t="s">
        <v>527</v>
      </c>
      <c r="Z4" s="3391"/>
      <c r="AA4" s="3379" t="s">
        <v>523</v>
      </c>
      <c r="AB4" s="3377" t="s">
        <v>524</v>
      </c>
      <c r="AC4" s="3379" t="s">
        <v>525</v>
      </c>
    </row>
    <row r="5" spans="1:29" ht="15">
      <c r="A5" s="514"/>
      <c r="B5" s="515"/>
      <c r="C5" s="3398" t="s">
        <v>2926</v>
      </c>
      <c r="D5" s="3399"/>
      <c r="E5" s="3418" t="s">
        <v>2927</v>
      </c>
      <c r="F5" s="3419"/>
      <c r="G5" s="3398" t="s">
        <v>2928</v>
      </c>
      <c r="H5" s="3399"/>
      <c r="I5" s="3398" t="s">
        <v>2929</v>
      </c>
      <c r="J5" s="3399"/>
      <c r="K5" s="513"/>
      <c r="L5" s="2118"/>
      <c r="M5" s="2119"/>
      <c r="N5" s="2119"/>
      <c r="O5" s="2119"/>
      <c r="P5" s="3386"/>
      <c r="Q5" s="3387"/>
      <c r="R5" s="3392"/>
      <c r="S5" s="3393"/>
      <c r="T5" s="3392"/>
      <c r="U5" s="3393"/>
      <c r="V5" s="3377"/>
      <c r="W5" s="3377"/>
      <c r="X5" s="1553"/>
      <c r="Y5" s="3392"/>
      <c r="Z5" s="3393"/>
      <c r="AA5" s="3380"/>
      <c r="AB5" s="3377"/>
      <c r="AC5" s="3380"/>
    </row>
    <row r="6" spans="1:29" ht="15.75" thickBot="1">
      <c r="A6" s="516"/>
      <c r="B6" s="517"/>
      <c r="C6" s="3396" t="s">
        <v>2930</v>
      </c>
      <c r="D6" s="3397"/>
      <c r="E6" s="3414" t="s">
        <v>2930</v>
      </c>
      <c r="F6" s="3415"/>
      <c r="G6" s="3396" t="s">
        <v>2930</v>
      </c>
      <c r="H6" s="3397"/>
      <c r="I6" s="3396" t="s">
        <v>2930</v>
      </c>
      <c r="J6" s="3397"/>
      <c r="K6" s="513" t="s">
        <v>528</v>
      </c>
      <c r="L6" s="2118"/>
      <c r="M6" s="2119"/>
      <c r="N6" s="2119"/>
      <c r="O6" s="2119"/>
      <c r="P6" s="3388"/>
      <c r="Q6" s="3389"/>
      <c r="R6" s="3392"/>
      <c r="S6" s="3393"/>
      <c r="T6" s="3394"/>
      <c r="U6" s="3395"/>
      <c r="V6" s="3377"/>
      <c r="W6" s="3377"/>
      <c r="X6" s="1553"/>
      <c r="Y6" s="3394"/>
      <c r="Z6" s="3395"/>
      <c r="AA6" s="3381"/>
      <c r="AB6" s="3377"/>
      <c r="AC6" s="3381"/>
    </row>
    <row r="7" spans="1:29" s="1215" customFormat="1" ht="15.75" thickBot="1">
      <c r="A7" s="2866"/>
      <c r="B7" s="2873" t="s">
        <v>529</v>
      </c>
      <c r="C7" s="518">
        <f>'数据-取费表'!B2</f>
        <v>43754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07" t="s">
        <v>530</v>
      </c>
      <c r="Q7" s="3409"/>
      <c r="R7" s="1554" t="s">
        <v>8</v>
      </c>
      <c r="S7" s="1555">
        <f t="shared" ref="S7:S15" si="0">F7</f>
        <v>0</v>
      </c>
      <c r="T7" s="1554" t="s">
        <v>8</v>
      </c>
      <c r="U7" s="1555">
        <f t="shared" ref="U7:U15" si="1">H7</f>
        <v>0</v>
      </c>
      <c r="V7" s="1554" t="s">
        <v>8</v>
      </c>
      <c r="W7" s="1555">
        <f t="shared" ref="W7:W15" si="2">J7</f>
        <v>0</v>
      </c>
      <c r="X7" s="1556"/>
      <c r="Y7" s="3407" t="s">
        <v>530</v>
      </c>
      <c r="Z7" s="3408"/>
      <c r="AA7" s="1557" t="e">
        <f>D7/F7</f>
        <v>#DIV/0!</v>
      </c>
      <c r="AB7" s="1557" t="e">
        <f>D7/H7</f>
        <v>#DIV/0!</v>
      </c>
      <c r="AC7" s="1557"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07" t="s">
        <v>533</v>
      </c>
      <c r="Q8" s="3408"/>
      <c r="R8" s="1554" t="s">
        <v>8</v>
      </c>
      <c r="S8" s="1555">
        <f t="shared" si="0"/>
        <v>0</v>
      </c>
      <c r="T8" s="1554" t="s">
        <v>8</v>
      </c>
      <c r="U8" s="1555">
        <f t="shared" si="1"/>
        <v>0</v>
      </c>
      <c r="V8" s="1554" t="s">
        <v>8</v>
      </c>
      <c r="W8" s="1555">
        <f t="shared" si="2"/>
        <v>0</v>
      </c>
      <c r="X8" s="1556"/>
      <c r="Y8" s="3407" t="s">
        <v>533</v>
      </c>
      <c r="Z8" s="3408"/>
      <c r="AA8" s="1557" t="e">
        <f t="shared" ref="AA8:AA46" si="3">D8/F8</f>
        <v>#DIV/0!</v>
      </c>
      <c r="AB8" s="1557" t="e">
        <f t="shared" ref="AB8:AB46" si="4">D8/H8</f>
        <v>#DIV/0!</v>
      </c>
      <c r="AC8" s="1557" t="e">
        <f t="shared" ref="AC8:AC46" si="5">D8/J8</f>
        <v>#DIV/0!</v>
      </c>
    </row>
    <row r="9" spans="1:29" s="1215"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6" t="s">
        <v>535</v>
      </c>
      <c r="Q9" s="1146" t="str">
        <f t="shared" ref="Q9:Q15" si="6">B9</f>
        <v>用途</v>
      </c>
      <c r="R9" s="1554" t="s">
        <v>8</v>
      </c>
      <c r="S9" s="1555">
        <f t="shared" si="0"/>
        <v>100</v>
      </c>
      <c r="T9" s="1554" t="s">
        <v>8</v>
      </c>
      <c r="U9" s="1555">
        <f t="shared" si="1"/>
        <v>100</v>
      </c>
      <c r="V9" s="1554" t="s">
        <v>8</v>
      </c>
      <c r="W9" s="1555">
        <f t="shared" si="2"/>
        <v>100</v>
      </c>
      <c r="X9" s="1556"/>
      <c r="Y9" s="3322"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6"/>
      <c r="Q11" s="1146" t="str">
        <f t="shared" si="6"/>
        <v>容积率</v>
      </c>
      <c r="R11" s="1554" t="s">
        <v>8</v>
      </c>
      <c r="S11" s="1555" t="e">
        <f t="shared" si="0"/>
        <v>#N/A</v>
      </c>
      <c r="T11" s="1554" t="s">
        <v>8</v>
      </c>
      <c r="U11" s="1555" t="e">
        <f t="shared" si="1"/>
        <v>#N/A</v>
      </c>
      <c r="V11" s="1554" t="s">
        <v>8</v>
      </c>
      <c r="W11" s="1555" t="e">
        <f t="shared" si="2"/>
        <v>#N/A</v>
      </c>
      <c r="X11" s="1556"/>
      <c r="Y11" s="332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6"/>
      <c r="Q12" s="1146">
        <f t="shared" si="6"/>
        <v>111</v>
      </c>
      <c r="R12" s="1554" t="s">
        <v>8</v>
      </c>
      <c r="S12" s="1555">
        <f t="shared" si="0"/>
        <v>100</v>
      </c>
      <c r="T12" s="1554" t="s">
        <v>8</v>
      </c>
      <c r="U12" s="1555">
        <f t="shared" si="1"/>
        <v>100</v>
      </c>
      <c r="V12" s="1554" t="s">
        <v>8</v>
      </c>
      <c r="W12" s="1555">
        <f t="shared" si="2"/>
        <v>100</v>
      </c>
      <c r="X12" s="1556"/>
      <c r="Y12" s="3322"/>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6"/>
      <c r="Q13" s="1146">
        <f t="shared" si="6"/>
        <v>111</v>
      </c>
      <c r="R13" s="1554" t="s">
        <v>8</v>
      </c>
      <c r="S13" s="1555">
        <f t="shared" si="0"/>
        <v>100</v>
      </c>
      <c r="T13" s="1554" t="s">
        <v>8</v>
      </c>
      <c r="U13" s="1555">
        <f t="shared" si="1"/>
        <v>100</v>
      </c>
      <c r="V13" s="1554" t="s">
        <v>8</v>
      </c>
      <c r="W13" s="1555">
        <f t="shared" si="2"/>
        <v>100</v>
      </c>
      <c r="X13" s="1556"/>
      <c r="Y13" s="3322"/>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6"/>
      <c r="Q14" s="1146">
        <f t="shared" si="6"/>
        <v>111</v>
      </c>
      <c r="R14" s="1554" t="s">
        <v>8</v>
      </c>
      <c r="S14" s="1555">
        <f t="shared" si="0"/>
        <v>100</v>
      </c>
      <c r="T14" s="1554" t="s">
        <v>8</v>
      </c>
      <c r="U14" s="1555">
        <f t="shared" si="1"/>
        <v>100</v>
      </c>
      <c r="V14" s="1554" t="s">
        <v>8</v>
      </c>
      <c r="W14" s="1555">
        <f t="shared" si="2"/>
        <v>100</v>
      </c>
      <c r="X14" s="1556"/>
      <c r="Y14" s="3322"/>
      <c r="Z14" s="1145">
        <f t="shared" si="7"/>
        <v>111</v>
      </c>
      <c r="AA14" s="1557">
        <f t="shared" si="3"/>
        <v>1</v>
      </c>
      <c r="AB14" s="1557">
        <f t="shared" si="4"/>
        <v>1</v>
      </c>
      <c r="AC14" s="1557">
        <f t="shared" si="5"/>
        <v>1</v>
      </c>
    </row>
    <row r="15" spans="1:29" ht="99.75">
      <c r="A15" s="2864"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10" t="s">
        <v>540</v>
      </c>
      <c r="Q15" s="1558" t="str">
        <f t="shared" si="6"/>
        <v>商业繁华度</v>
      </c>
      <c r="R15" s="1559" t="s">
        <v>8</v>
      </c>
      <c r="S15" s="1560">
        <f t="shared" si="0"/>
        <v>100</v>
      </c>
      <c r="T15" s="1559" t="s">
        <v>8</v>
      </c>
      <c r="U15" s="1560">
        <f t="shared" si="1"/>
        <v>100</v>
      </c>
      <c r="V15" s="1559" t="s">
        <v>8</v>
      </c>
      <c r="W15" s="1560">
        <f t="shared" si="2"/>
        <v>100</v>
      </c>
      <c r="X15" s="1553"/>
      <c r="Y15" s="3410"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11"/>
      <c r="Q16" s="1558"/>
      <c r="R16" s="1559"/>
      <c r="S16" s="1560"/>
      <c r="T16" s="1559"/>
      <c r="U16" s="1560"/>
      <c r="V16" s="1559"/>
      <c r="W16" s="1560"/>
      <c r="X16" s="1553"/>
      <c r="Y16" s="3411"/>
      <c r="Z16" s="1561"/>
      <c r="AA16" s="1562">
        <v>1</v>
      </c>
      <c r="AB16" s="1562">
        <v>1</v>
      </c>
      <c r="AC16" s="1562">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11"/>
      <c r="Q17" s="1558" t="str">
        <f>B17</f>
        <v>交通便捷度</v>
      </c>
      <c r="R17" s="1559" t="s">
        <v>8</v>
      </c>
      <c r="S17" s="1560">
        <f>F17</f>
        <v>100</v>
      </c>
      <c r="T17" s="1559" t="s">
        <v>8</v>
      </c>
      <c r="U17" s="1560">
        <f>H17</f>
        <v>100</v>
      </c>
      <c r="V17" s="1559" t="s">
        <v>8</v>
      </c>
      <c r="W17" s="1560">
        <f>J17</f>
        <v>100</v>
      </c>
      <c r="X17" s="1553"/>
      <c r="Y17" s="341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11"/>
      <c r="Q18" s="1558"/>
      <c r="R18" s="1559"/>
      <c r="S18" s="1560"/>
      <c r="T18" s="1559"/>
      <c r="U18" s="1560"/>
      <c r="V18" s="1559"/>
      <c r="W18" s="1560"/>
      <c r="X18" s="1553"/>
      <c r="Y18" s="3411"/>
      <c r="Z18" s="1561"/>
      <c r="AA18" s="1562">
        <v>1</v>
      </c>
      <c r="AB18" s="1562">
        <v>1</v>
      </c>
      <c r="AC18" s="1562">
        <v>1</v>
      </c>
    </row>
    <row r="19" spans="1:29" ht="42.75">
      <c r="A19" s="531"/>
      <c r="B19" s="256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11"/>
      <c r="Q19" s="1558" t="str">
        <f>B19</f>
        <v>公共配套设施</v>
      </c>
      <c r="R19" s="1559" t="s">
        <v>8</v>
      </c>
      <c r="S19" s="1560">
        <f>F19</f>
        <v>100</v>
      </c>
      <c r="T19" s="1559" t="s">
        <v>8</v>
      </c>
      <c r="U19" s="1560">
        <f>H19</f>
        <v>100</v>
      </c>
      <c r="V19" s="1559" t="s">
        <v>8</v>
      </c>
      <c r="W19" s="1560">
        <f>J19</f>
        <v>100</v>
      </c>
      <c r="X19" s="1553"/>
      <c r="Y19" s="3411"/>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11"/>
      <c r="Q20" s="1558"/>
      <c r="R20" s="1559"/>
      <c r="S20" s="1560"/>
      <c r="T20" s="1559"/>
      <c r="U20" s="1560"/>
      <c r="V20" s="1559"/>
      <c r="W20" s="1560"/>
      <c r="X20" s="1553"/>
      <c r="Y20" s="3411"/>
      <c r="Z20" s="1561"/>
      <c r="AA20" s="1562">
        <v>1</v>
      </c>
      <c r="AB20" s="1562">
        <v>1</v>
      </c>
      <c r="AC20" s="1562">
        <v>1</v>
      </c>
    </row>
    <row r="21" spans="1:29" ht="42.75">
      <c r="A21" s="531"/>
      <c r="B21" s="255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11"/>
      <c r="Q21" s="2543" t="str">
        <f>B21</f>
        <v>基础设施水平</v>
      </c>
      <c r="R21" s="1559" t="s">
        <v>8</v>
      </c>
      <c r="S21" s="1560">
        <f>F21</f>
        <v>100</v>
      </c>
      <c r="T21" s="1559" t="s">
        <v>8</v>
      </c>
      <c r="U21" s="1560">
        <f>H21</f>
        <v>100</v>
      </c>
      <c r="V21" s="1559" t="s">
        <v>8</v>
      </c>
      <c r="W21" s="1560">
        <f>J21</f>
        <v>100</v>
      </c>
      <c r="X21" s="2545"/>
      <c r="Y21" s="3411"/>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11"/>
      <c r="Q22" s="2543"/>
      <c r="R22" s="1559"/>
      <c r="S22" s="1560"/>
      <c r="T22" s="1559"/>
      <c r="U22" s="1560"/>
      <c r="V22" s="1559"/>
      <c r="W22" s="1560"/>
      <c r="X22" s="2545"/>
      <c r="Y22" s="3411"/>
      <c r="Z22" s="2544"/>
      <c r="AA22" s="1562">
        <v>1</v>
      </c>
      <c r="AB22" s="1562">
        <v>1</v>
      </c>
      <c r="AC22" s="1562">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11"/>
      <c r="Q23" s="1558" t="str">
        <f>B23</f>
        <v>自然及人文环境</v>
      </c>
      <c r="R23" s="1559" t="s">
        <v>8</v>
      </c>
      <c r="S23" s="1560">
        <f>F23</f>
        <v>100</v>
      </c>
      <c r="T23" s="1559" t="s">
        <v>8</v>
      </c>
      <c r="U23" s="1560">
        <f>H23</f>
        <v>100</v>
      </c>
      <c r="V23" s="1559" t="s">
        <v>8</v>
      </c>
      <c r="W23" s="1560">
        <f>J23</f>
        <v>100</v>
      </c>
      <c r="X23" s="1553"/>
      <c r="Y23" s="3411"/>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11"/>
      <c r="Q24" s="1558"/>
      <c r="R24" s="1559"/>
      <c r="S24" s="1560"/>
      <c r="T24" s="1559"/>
      <c r="U24" s="1560"/>
      <c r="V24" s="1559"/>
      <c r="W24" s="1560"/>
      <c r="X24" s="1553"/>
      <c r="Y24" s="3411"/>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11"/>
      <c r="Q25" s="1558" t="str">
        <f t="shared" ref="Q25:Q46" si="11">B25</f>
        <v>临街状况</v>
      </c>
      <c r="R25" s="1559" t="s">
        <v>8</v>
      </c>
      <c r="S25" s="1560">
        <f>F25</f>
        <v>100</v>
      </c>
      <c r="T25" s="1559" t="s">
        <v>8</v>
      </c>
      <c r="U25" s="1560">
        <f>H25</f>
        <v>100</v>
      </c>
      <c r="V25" s="1559" t="s">
        <v>8</v>
      </c>
      <c r="W25" s="1560">
        <f>J25</f>
        <v>100</v>
      </c>
      <c r="X25" s="1553"/>
      <c r="Y25" s="3411"/>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11"/>
      <c r="Q26" s="1558" t="str">
        <f t="shared" si="11"/>
        <v>平面位置/可视性</v>
      </c>
      <c r="R26" s="1559" t="s">
        <v>8</v>
      </c>
      <c r="S26" s="1560">
        <f>F26</f>
        <v>100</v>
      </c>
      <c r="T26" s="1559" t="s">
        <v>8</v>
      </c>
      <c r="U26" s="1560">
        <f>H26</f>
        <v>100</v>
      </c>
      <c r="V26" s="1559" t="s">
        <v>8</v>
      </c>
      <c r="W26" s="1560">
        <f>J26</f>
        <v>100</v>
      </c>
      <c r="X26" s="1553"/>
      <c r="Y26" s="3411"/>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11"/>
      <c r="Q27" s="1146" t="str">
        <f t="shared" si="11"/>
        <v>人流量</v>
      </c>
      <c r="R27" s="1554" t="s">
        <v>8</v>
      </c>
      <c r="S27" s="1555">
        <f>F27</f>
        <v>100</v>
      </c>
      <c r="T27" s="1554" t="s">
        <v>8</v>
      </c>
      <c r="U27" s="1555">
        <f>H27</f>
        <v>100</v>
      </c>
      <c r="V27" s="1554" t="s">
        <v>8</v>
      </c>
      <c r="W27" s="1555">
        <f>J27</f>
        <v>100</v>
      </c>
      <c r="X27" s="1556"/>
      <c r="Y27" s="3411"/>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1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1"/>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11"/>
      <c r="Q29" s="1558">
        <f t="shared" si="11"/>
        <v>111</v>
      </c>
      <c r="R29" s="1559" t="s">
        <v>8</v>
      </c>
      <c r="S29" s="1560">
        <f t="shared" si="12"/>
        <v>100</v>
      </c>
      <c r="T29" s="1559" t="s">
        <v>8</v>
      </c>
      <c r="U29" s="1560">
        <f t="shared" si="13"/>
        <v>100</v>
      </c>
      <c r="V29" s="1559" t="s">
        <v>8</v>
      </c>
      <c r="W29" s="1560">
        <f t="shared" si="14"/>
        <v>100</v>
      </c>
      <c r="X29" s="1553"/>
      <c r="Y29" s="3411"/>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11"/>
      <c r="Q30" s="1558">
        <f t="shared" si="11"/>
        <v>111</v>
      </c>
      <c r="R30" s="1559" t="s">
        <v>8</v>
      </c>
      <c r="S30" s="1560">
        <f t="shared" si="12"/>
        <v>100</v>
      </c>
      <c r="T30" s="1559" t="s">
        <v>8</v>
      </c>
      <c r="U30" s="1560">
        <f t="shared" si="13"/>
        <v>100</v>
      </c>
      <c r="V30" s="1559" t="s">
        <v>8</v>
      </c>
      <c r="W30" s="1560">
        <f t="shared" si="14"/>
        <v>100</v>
      </c>
      <c r="X30" s="1553"/>
      <c r="Y30" s="3411"/>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11"/>
      <c r="Q31" s="1558">
        <f t="shared" si="11"/>
        <v>111</v>
      </c>
      <c r="R31" s="1559" t="s">
        <v>8</v>
      </c>
      <c r="S31" s="1560">
        <f t="shared" si="12"/>
        <v>100</v>
      </c>
      <c r="T31" s="1559" t="s">
        <v>8</v>
      </c>
      <c r="U31" s="1560">
        <f t="shared" si="13"/>
        <v>100</v>
      </c>
      <c r="V31" s="1559" t="s">
        <v>8</v>
      </c>
      <c r="W31" s="1560">
        <f t="shared" si="14"/>
        <v>100</v>
      </c>
      <c r="X31" s="1553"/>
      <c r="Y31" s="3411"/>
      <c r="Z31" s="1561">
        <f t="shared" si="15"/>
        <v>111</v>
      </c>
      <c r="AA31" s="1562">
        <f t="shared" si="3"/>
        <v>1</v>
      </c>
      <c r="AB31" s="1562">
        <f t="shared" si="4"/>
        <v>1</v>
      </c>
      <c r="AC31" s="1562">
        <f t="shared" si="5"/>
        <v>1</v>
      </c>
    </row>
    <row r="32" spans="1:29" ht="15">
      <c r="A32" s="286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12" t="s">
        <v>550</v>
      </c>
      <c r="Q32" s="1558" t="str">
        <f t="shared" si="11"/>
        <v>商业类型</v>
      </c>
      <c r="R32" s="1559" t="s">
        <v>8</v>
      </c>
      <c r="S32" s="1560">
        <f t="shared" si="12"/>
        <v>100</v>
      </c>
      <c r="T32" s="1559" t="s">
        <v>8</v>
      </c>
      <c r="U32" s="1560">
        <f t="shared" si="13"/>
        <v>100</v>
      </c>
      <c r="V32" s="1559" t="s">
        <v>8</v>
      </c>
      <c r="W32" s="1560">
        <f t="shared" si="14"/>
        <v>100</v>
      </c>
      <c r="X32" s="1553"/>
      <c r="Y32" s="3413"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3"/>
      <c r="Q33" s="1590" t="str">
        <f t="shared" si="11"/>
        <v>项目建筑规模</v>
      </c>
      <c r="R33" s="1563" t="s">
        <v>8</v>
      </c>
      <c r="S33" s="1564" t="e">
        <f t="shared" si="12"/>
        <v>#N/A</v>
      </c>
      <c r="T33" s="1563" t="s">
        <v>8</v>
      </c>
      <c r="U33" s="1564" t="e">
        <f t="shared" si="13"/>
        <v>#N/A</v>
      </c>
      <c r="V33" s="1563" t="s">
        <v>8</v>
      </c>
      <c r="W33" s="1564" t="e">
        <f t="shared" si="14"/>
        <v>#N/A</v>
      </c>
      <c r="X33" s="1565"/>
      <c r="Y33" s="3413"/>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3"/>
      <c r="Q34" s="1558" t="str">
        <f t="shared" si="11"/>
        <v>建筑结构</v>
      </c>
      <c r="R34" s="1559" t="s">
        <v>8</v>
      </c>
      <c r="S34" s="1560">
        <f t="shared" si="12"/>
        <v>100</v>
      </c>
      <c r="T34" s="1559" t="s">
        <v>8</v>
      </c>
      <c r="U34" s="1560">
        <f t="shared" si="13"/>
        <v>100</v>
      </c>
      <c r="V34" s="1559" t="s">
        <v>8</v>
      </c>
      <c r="W34" s="1560">
        <f t="shared" si="14"/>
        <v>100</v>
      </c>
      <c r="X34" s="1553"/>
      <c r="Y34" s="3413"/>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3"/>
      <c r="Q35" s="1558" t="str">
        <f t="shared" si="11"/>
        <v>公共部分装修</v>
      </c>
      <c r="R35" s="1559" t="s">
        <v>8</v>
      </c>
      <c r="S35" s="1560">
        <f t="shared" si="12"/>
        <v>100</v>
      </c>
      <c r="T35" s="1559" t="s">
        <v>8</v>
      </c>
      <c r="U35" s="1560">
        <f t="shared" si="13"/>
        <v>100</v>
      </c>
      <c r="V35" s="1559" t="s">
        <v>8</v>
      </c>
      <c r="W35" s="1560">
        <f t="shared" si="14"/>
        <v>100</v>
      </c>
      <c r="X35" s="1553"/>
      <c r="Y35" s="3413"/>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3"/>
      <c r="Q36" s="1558" t="str">
        <f t="shared" si="11"/>
        <v>成新度</v>
      </c>
      <c r="R36" s="1559" t="s">
        <v>8</v>
      </c>
      <c r="S36" s="1560" t="e">
        <f t="shared" si="12"/>
        <v>#N/A</v>
      </c>
      <c r="T36" s="1559" t="s">
        <v>8</v>
      </c>
      <c r="U36" s="1560" t="e">
        <f t="shared" si="13"/>
        <v>#N/A</v>
      </c>
      <c r="V36" s="1559" t="s">
        <v>8</v>
      </c>
      <c r="W36" s="1560" t="e">
        <f t="shared" si="14"/>
        <v>#N/A</v>
      </c>
      <c r="X36" s="1553"/>
      <c r="Y36" s="3413"/>
      <c r="Z36" s="1561" t="str">
        <f t="shared" si="15"/>
        <v>成新度</v>
      </c>
      <c r="AA36" s="1562" t="e">
        <f t="shared" si="3"/>
        <v>#N/A</v>
      </c>
      <c r="AB36" s="1562" t="e">
        <f t="shared" si="4"/>
        <v>#N/A</v>
      </c>
      <c r="AC36" s="1562" t="e">
        <f t="shared" si="5"/>
        <v>#N/A</v>
      </c>
    </row>
    <row r="37" spans="1:29" s="1215" customFormat="1" ht="15">
      <c r="A37" s="599"/>
      <c r="B37" s="1880"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3"/>
      <c r="Q37" s="1146" t="str">
        <f t="shared" si="11"/>
        <v>市政基础设施</v>
      </c>
      <c r="R37" s="1554" t="s">
        <v>8</v>
      </c>
      <c r="S37" s="1555">
        <f t="shared" si="12"/>
        <v>100</v>
      </c>
      <c r="T37" s="1554" t="s">
        <v>8</v>
      </c>
      <c r="U37" s="1555">
        <f t="shared" si="13"/>
        <v>100</v>
      </c>
      <c r="V37" s="1554" t="s">
        <v>8</v>
      </c>
      <c r="W37" s="1555">
        <f t="shared" si="14"/>
        <v>100</v>
      </c>
      <c r="X37" s="1556"/>
      <c r="Y37" s="3413"/>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3" t="s">
        <v>766</v>
      </c>
      <c r="Q38" s="1558" t="str">
        <f t="shared" si="11"/>
        <v>业态</v>
      </c>
      <c r="R38" s="1559" t="s">
        <v>8</v>
      </c>
      <c r="S38" s="1560">
        <f t="shared" si="12"/>
        <v>100</v>
      </c>
      <c r="T38" s="1559" t="s">
        <v>8</v>
      </c>
      <c r="U38" s="1560">
        <f t="shared" si="13"/>
        <v>100</v>
      </c>
      <c r="V38" s="1559" t="s">
        <v>8</v>
      </c>
      <c r="W38" s="1560">
        <f t="shared" si="14"/>
        <v>100</v>
      </c>
      <c r="X38" s="1553"/>
      <c r="Y38" s="3413"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3"/>
      <c r="Q39" s="1558" t="str">
        <f t="shared" si="11"/>
        <v>层高</v>
      </c>
      <c r="R39" s="1559" t="s">
        <v>8</v>
      </c>
      <c r="S39" s="1560">
        <f t="shared" si="12"/>
        <v>100</v>
      </c>
      <c r="T39" s="1559" t="s">
        <v>8</v>
      </c>
      <c r="U39" s="1560">
        <f t="shared" si="13"/>
        <v>100</v>
      </c>
      <c r="V39" s="1559" t="s">
        <v>8</v>
      </c>
      <c r="W39" s="1560">
        <f t="shared" si="14"/>
        <v>100</v>
      </c>
      <c r="X39" s="1553"/>
      <c r="Y39" s="3413"/>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3"/>
      <c r="Q40" s="1558" t="str">
        <f t="shared" si="11"/>
        <v>单套建筑面积</v>
      </c>
      <c r="R40" s="1559" t="s">
        <v>8</v>
      </c>
      <c r="S40" s="1560">
        <f t="shared" si="12"/>
        <v>100</v>
      </c>
      <c r="T40" s="1559" t="s">
        <v>8</v>
      </c>
      <c r="U40" s="1560">
        <f t="shared" si="13"/>
        <v>100</v>
      </c>
      <c r="V40" s="1559" t="s">
        <v>8</v>
      </c>
      <c r="W40" s="1560">
        <f t="shared" si="14"/>
        <v>100</v>
      </c>
      <c r="X40" s="1553"/>
      <c r="Y40" s="3413"/>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3"/>
      <c r="Q41" s="1590" t="str">
        <f t="shared" si="11"/>
        <v>进深比</v>
      </c>
      <c r="R41" s="1563" t="s">
        <v>8</v>
      </c>
      <c r="S41" s="1564">
        <f t="shared" si="12"/>
        <v>100</v>
      </c>
      <c r="T41" s="1563" t="s">
        <v>8</v>
      </c>
      <c r="U41" s="1564">
        <f t="shared" si="13"/>
        <v>100</v>
      </c>
      <c r="V41" s="1563" t="s">
        <v>8</v>
      </c>
      <c r="W41" s="1564">
        <f t="shared" si="14"/>
        <v>100</v>
      </c>
      <c r="X41" s="1565"/>
      <c r="Y41" s="3413"/>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3"/>
      <c r="Q42" s="1558" t="str">
        <f t="shared" si="11"/>
        <v>内部装修</v>
      </c>
      <c r="R42" s="1559" t="s">
        <v>8</v>
      </c>
      <c r="S42" s="1560">
        <f t="shared" si="12"/>
        <v>100</v>
      </c>
      <c r="T42" s="1559" t="s">
        <v>8</v>
      </c>
      <c r="U42" s="1560">
        <f t="shared" si="13"/>
        <v>100</v>
      </c>
      <c r="V42" s="1559" t="s">
        <v>8</v>
      </c>
      <c r="W42" s="1560">
        <f t="shared" si="14"/>
        <v>100</v>
      </c>
      <c r="X42" s="1553"/>
      <c r="Y42" s="3413"/>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3"/>
      <c r="Q43" s="1558" t="str">
        <f t="shared" si="11"/>
        <v>内部装修维护情况</v>
      </c>
      <c r="R43" s="1559" t="s">
        <v>8</v>
      </c>
      <c r="S43" s="1560">
        <f t="shared" si="12"/>
        <v>100</v>
      </c>
      <c r="T43" s="1559" t="s">
        <v>8</v>
      </c>
      <c r="U43" s="1560">
        <f t="shared" si="13"/>
        <v>100</v>
      </c>
      <c r="V43" s="1559" t="s">
        <v>8</v>
      </c>
      <c r="W43" s="1560">
        <f t="shared" si="14"/>
        <v>100</v>
      </c>
      <c r="X43" s="1553"/>
      <c r="Y43" s="3413"/>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3"/>
      <c r="Q44" s="1146">
        <f t="shared" si="11"/>
        <v>111</v>
      </c>
      <c r="R44" s="1554" t="s">
        <v>8</v>
      </c>
      <c r="S44" s="1555">
        <f t="shared" si="12"/>
        <v>100</v>
      </c>
      <c r="T44" s="1554" t="s">
        <v>8</v>
      </c>
      <c r="U44" s="1555">
        <f t="shared" si="13"/>
        <v>100</v>
      </c>
      <c r="V44" s="1554" t="s">
        <v>8</v>
      </c>
      <c r="W44" s="1555">
        <f t="shared" si="14"/>
        <v>100</v>
      </c>
      <c r="X44" s="1556"/>
      <c r="Y44" s="3413"/>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3"/>
      <c r="Q45" s="1558">
        <f t="shared" si="11"/>
        <v>111</v>
      </c>
      <c r="R45" s="1559" t="s">
        <v>8</v>
      </c>
      <c r="S45" s="1560">
        <f t="shared" si="12"/>
        <v>100</v>
      </c>
      <c r="T45" s="1559" t="s">
        <v>8</v>
      </c>
      <c r="U45" s="1560">
        <f t="shared" si="13"/>
        <v>100</v>
      </c>
      <c r="V45" s="1559" t="s">
        <v>8</v>
      </c>
      <c r="W45" s="1560">
        <f t="shared" si="14"/>
        <v>100</v>
      </c>
      <c r="X45" s="1553"/>
      <c r="Y45" s="3413"/>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71"/>
      <c r="Q46" s="1558">
        <f t="shared" si="11"/>
        <v>111</v>
      </c>
      <c r="R46" s="1559" t="s">
        <v>8</v>
      </c>
      <c r="S46" s="1560">
        <f t="shared" si="12"/>
        <v>100</v>
      </c>
      <c r="T46" s="1559" t="s">
        <v>8</v>
      </c>
      <c r="U46" s="1560">
        <f t="shared" si="13"/>
        <v>100</v>
      </c>
      <c r="V46" s="1559" t="s">
        <v>8</v>
      </c>
      <c r="W46" s="1560">
        <f t="shared" si="14"/>
        <v>100</v>
      </c>
      <c r="X46" s="1553"/>
      <c r="Y46" s="3471"/>
      <c r="Z46" s="1561">
        <f t="shared" si="15"/>
        <v>111</v>
      </c>
      <c r="AA46" s="1562">
        <f t="shared" si="3"/>
        <v>1</v>
      </c>
      <c r="AB46" s="1562">
        <f t="shared" si="4"/>
        <v>1</v>
      </c>
      <c r="AC46" s="1562">
        <f t="shared" si="5"/>
        <v>1</v>
      </c>
    </row>
    <row r="47" spans="1:29" ht="15">
      <c r="A47" s="606" t="s">
        <v>736</v>
      </c>
      <c r="B47" s="886"/>
      <c r="C47" s="2590" t="s">
        <v>1</v>
      </c>
      <c r="D47" s="2591"/>
      <c r="E47" s="2592"/>
      <c r="F47" s="2593"/>
      <c r="G47" s="2594"/>
      <c r="H47" s="2595"/>
      <c r="I47" s="2592"/>
      <c r="J47" s="2595"/>
      <c r="K47" s="1596"/>
      <c r="L47" s="2129"/>
      <c r="M47" s="2130"/>
      <c r="N47" s="2119"/>
      <c r="O47" s="2130"/>
      <c r="P47" s="3376" t="str">
        <f>A47</f>
        <v>成交单价（元/平方米）</v>
      </c>
      <c r="Q47" s="3376"/>
      <c r="R47" s="3470">
        <f>E47</f>
        <v>0</v>
      </c>
      <c r="S47" s="3470"/>
      <c r="T47" s="3470">
        <f>G47</f>
        <v>0</v>
      </c>
      <c r="U47" s="3470"/>
      <c r="V47" s="3470">
        <f>I47</f>
        <v>0</v>
      </c>
      <c r="W47" s="3470"/>
      <c r="X47" s="1545"/>
      <c r="Y47" s="1567"/>
      <c r="Z47" s="1545"/>
      <c r="AA47" s="1545"/>
      <c r="AB47" s="1545"/>
      <c r="AC47" s="1545"/>
    </row>
    <row r="48" spans="1:29" ht="15.75" thickBot="1">
      <c r="A48" s="614" t="s">
        <v>2759</v>
      </c>
      <c r="B48" s="887"/>
      <c r="C48" s="2596" t="e">
        <f>R49</f>
        <v>#DIV/0!</v>
      </c>
      <c r="D48" s="2597"/>
      <c r="E48" s="2598" t="e">
        <f>R48</f>
        <v>#DIV/0!</v>
      </c>
      <c r="F48" s="2598"/>
      <c r="G48" s="2596" t="e">
        <f>T48</f>
        <v>#DIV/0!</v>
      </c>
      <c r="H48" s="2597"/>
      <c r="I48" s="2598" t="e">
        <f>V48</f>
        <v>#DIV/0!</v>
      </c>
      <c r="J48" s="2597"/>
      <c r="K48" s="1597"/>
      <c r="L48" s="2129"/>
      <c r="M48" s="2130"/>
      <c r="N48" s="2119"/>
      <c r="O48" s="2130"/>
      <c r="P48" s="3376" t="str">
        <f>A48</f>
        <v>比较价格（元/平方米）</v>
      </c>
      <c r="Q48" s="3376"/>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45"/>
      <c r="Y48" s="1545"/>
      <c r="Z48" s="1545"/>
      <c r="AA48" s="1545"/>
      <c r="AB48" s="1545"/>
      <c r="AC48" s="1545"/>
    </row>
    <row r="49" spans="1:29" ht="15.75" thickBot="1">
      <c r="A49" s="620" t="s">
        <v>2932</v>
      </c>
      <c r="B49" s="621"/>
      <c r="C49" s="2599" t="e">
        <f>R49</f>
        <v>#DIV/0!</v>
      </c>
      <c r="D49" s="2599"/>
      <c r="E49" s="2599"/>
      <c r="F49" s="2599"/>
      <c r="G49" s="2599"/>
      <c r="H49" s="2599"/>
      <c r="I49" s="2599"/>
      <c r="J49" s="2599"/>
      <c r="K49" s="1598"/>
      <c r="L49" s="2129"/>
      <c r="M49" s="2130"/>
      <c r="N49" s="2119"/>
      <c r="O49" s="2130"/>
      <c r="P49" s="3373" t="str">
        <f>A49</f>
        <v>估价对象XX用房的比较价格（楼面单价，元/平方米）</v>
      </c>
      <c r="Q49" s="3374"/>
      <c r="R49" s="3469" t="e">
        <f>IF(F1="售价",ROUND(AVERAGE(R48:V48),0),ROUND(AVERAGE(R48:V48),1))</f>
        <v>#DIV/0!</v>
      </c>
      <c r="S49" s="3469"/>
      <c r="T49" s="3469"/>
      <c r="U49" s="3469"/>
      <c r="V49" s="3469"/>
      <c r="W49" s="34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2556</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82" t="s">
        <v>522</v>
      </c>
      <c r="D4" s="3383"/>
      <c r="E4" s="3416" t="s">
        <v>523</v>
      </c>
      <c r="F4" s="3417"/>
      <c r="G4" s="3382" t="s">
        <v>524</v>
      </c>
      <c r="H4" s="3383"/>
      <c r="I4" s="3382" t="s">
        <v>525</v>
      </c>
      <c r="J4" s="3383"/>
      <c r="K4" s="513" t="s">
        <v>526</v>
      </c>
      <c r="L4" s="2118"/>
      <c r="M4" s="2119"/>
      <c r="N4" s="2119"/>
      <c r="O4" s="2119"/>
      <c r="P4" s="3500" t="s">
        <v>527</v>
      </c>
      <c r="Q4" s="3385"/>
      <c r="R4" s="3390" t="s">
        <v>523</v>
      </c>
      <c r="S4" s="3391"/>
      <c r="T4" s="3390" t="s">
        <v>524</v>
      </c>
      <c r="U4" s="3391"/>
      <c r="V4" s="3377" t="s">
        <v>525</v>
      </c>
      <c r="W4" s="3377"/>
      <c r="X4" s="1553"/>
      <c r="Y4" s="3390" t="s">
        <v>527</v>
      </c>
      <c r="Z4" s="3391"/>
      <c r="AA4" s="3379" t="s">
        <v>523</v>
      </c>
      <c r="AB4" s="3379" t="s">
        <v>524</v>
      </c>
      <c r="AC4" s="3379" t="s">
        <v>525</v>
      </c>
    </row>
    <row r="5" spans="1:29" ht="15">
      <c r="A5" s="514"/>
      <c r="B5" s="515"/>
      <c r="C5" s="3398" t="s">
        <v>2926</v>
      </c>
      <c r="D5" s="3399"/>
      <c r="E5" s="3418" t="s">
        <v>2927</v>
      </c>
      <c r="F5" s="3419"/>
      <c r="G5" s="3398" t="s">
        <v>2928</v>
      </c>
      <c r="H5" s="3399"/>
      <c r="I5" s="3398" t="s">
        <v>2929</v>
      </c>
      <c r="J5" s="3399"/>
      <c r="K5" s="513"/>
      <c r="L5" s="2118"/>
      <c r="M5" s="2119"/>
      <c r="N5" s="2119"/>
      <c r="O5" s="2119"/>
      <c r="P5" s="3501"/>
      <c r="Q5" s="3387"/>
      <c r="R5" s="3392"/>
      <c r="S5" s="3393"/>
      <c r="T5" s="3392"/>
      <c r="U5" s="3393"/>
      <c r="V5" s="3377"/>
      <c r="W5" s="3377"/>
      <c r="X5" s="1553"/>
      <c r="Y5" s="3392"/>
      <c r="Z5" s="3393"/>
      <c r="AA5" s="3380"/>
      <c r="AB5" s="3380"/>
      <c r="AC5" s="3380"/>
    </row>
    <row r="6" spans="1:29" ht="15.75" thickBot="1">
      <c r="A6" s="516"/>
      <c r="B6" s="517"/>
      <c r="C6" s="3396" t="s">
        <v>2930</v>
      </c>
      <c r="D6" s="3397"/>
      <c r="E6" s="3414" t="s">
        <v>2930</v>
      </c>
      <c r="F6" s="3415"/>
      <c r="G6" s="3396" t="s">
        <v>2930</v>
      </c>
      <c r="H6" s="3397"/>
      <c r="I6" s="3396" t="s">
        <v>2930</v>
      </c>
      <c r="J6" s="3397"/>
      <c r="K6" s="513" t="s">
        <v>528</v>
      </c>
      <c r="L6" s="2118"/>
      <c r="M6" s="2119"/>
      <c r="N6" s="2119"/>
      <c r="O6" s="2119"/>
      <c r="P6" s="3502"/>
      <c r="Q6" s="3389"/>
      <c r="R6" s="3392"/>
      <c r="S6" s="3393"/>
      <c r="T6" s="3394"/>
      <c r="U6" s="3395"/>
      <c r="V6" s="3377"/>
      <c r="W6" s="3377"/>
      <c r="X6" s="1553"/>
      <c r="Y6" s="3394"/>
      <c r="Z6" s="3395"/>
      <c r="AA6" s="3381"/>
      <c r="AB6" s="3381"/>
      <c r="AC6" s="3381"/>
    </row>
    <row r="7" spans="1:29" s="1215" customFormat="1" ht="15.75" thickBot="1">
      <c r="A7" s="2866"/>
      <c r="B7" s="2873" t="s">
        <v>529</v>
      </c>
      <c r="C7" s="518">
        <f>'数据-取费表'!B2</f>
        <v>43754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9" t="s">
        <v>530</v>
      </c>
      <c r="Q7" s="3409"/>
      <c r="R7" s="1554" t="s">
        <v>8</v>
      </c>
      <c r="S7" s="1555">
        <f t="shared" ref="S7:S15" si="0">F7</f>
        <v>0</v>
      </c>
      <c r="T7" s="1554" t="s">
        <v>8</v>
      </c>
      <c r="U7" s="1555">
        <f t="shared" ref="U7:U15" si="1">H7</f>
        <v>0</v>
      </c>
      <c r="V7" s="1554" t="s">
        <v>8</v>
      </c>
      <c r="W7" s="1555">
        <f t="shared" ref="W7:W15" si="2">J7</f>
        <v>0</v>
      </c>
      <c r="X7" s="1556"/>
      <c r="Y7" s="3407" t="s">
        <v>530</v>
      </c>
      <c r="Z7" s="3408"/>
      <c r="AA7" s="1557" t="e">
        <f>D7/F7</f>
        <v>#DIV/0!</v>
      </c>
      <c r="AB7" s="1557" t="e">
        <f>D7/H7</f>
        <v>#DIV/0!</v>
      </c>
      <c r="AC7" s="1557"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9" t="s">
        <v>533</v>
      </c>
      <c r="Q8" s="3408"/>
      <c r="R8" s="1554" t="s">
        <v>8</v>
      </c>
      <c r="S8" s="1555">
        <f t="shared" si="0"/>
        <v>0</v>
      </c>
      <c r="T8" s="1554" t="s">
        <v>8</v>
      </c>
      <c r="U8" s="1555">
        <f t="shared" si="1"/>
        <v>0</v>
      </c>
      <c r="V8" s="1554" t="s">
        <v>8</v>
      </c>
      <c r="W8" s="1555">
        <f t="shared" si="2"/>
        <v>0</v>
      </c>
      <c r="X8" s="1556"/>
      <c r="Y8" s="3407" t="s">
        <v>533</v>
      </c>
      <c r="Z8" s="3408"/>
      <c r="AA8" s="1557" t="e">
        <f t="shared" ref="AA8:AA47" si="3">D8/F8</f>
        <v>#DIV/0!</v>
      </c>
      <c r="AB8" s="1557" t="e">
        <f t="shared" ref="AB8:AB47" si="4">D8/H8</f>
        <v>#DIV/0!</v>
      </c>
      <c r="AC8" s="1557" t="e">
        <f t="shared" ref="AC8:AC47" si="5">D8/J8</f>
        <v>#DIV/0!</v>
      </c>
    </row>
    <row r="9" spans="1:29" s="1215"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6" t="s">
        <v>535</v>
      </c>
      <c r="Q9" s="1146" t="str">
        <f t="shared" ref="Q9:Q15" si="6">B9</f>
        <v>用途</v>
      </c>
      <c r="R9" s="1554" t="s">
        <v>8</v>
      </c>
      <c r="S9" s="1555">
        <f t="shared" si="0"/>
        <v>100</v>
      </c>
      <c r="T9" s="1554" t="s">
        <v>8</v>
      </c>
      <c r="U9" s="1555">
        <f t="shared" si="1"/>
        <v>100</v>
      </c>
      <c r="V9" s="1554" t="s">
        <v>8</v>
      </c>
      <c r="W9" s="1555">
        <f t="shared" si="2"/>
        <v>100</v>
      </c>
      <c r="X9" s="1556"/>
      <c r="Y9" s="3322"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6"/>
      <c r="Q11" s="1146" t="str">
        <f t="shared" si="6"/>
        <v>容积率</v>
      </c>
      <c r="R11" s="1554" t="s">
        <v>8</v>
      </c>
      <c r="S11" s="1555" t="e">
        <f t="shared" si="0"/>
        <v>#N/A</v>
      </c>
      <c r="T11" s="1554" t="s">
        <v>8</v>
      </c>
      <c r="U11" s="1555" t="e">
        <f t="shared" si="1"/>
        <v>#N/A</v>
      </c>
      <c r="V11" s="1554" t="s">
        <v>8</v>
      </c>
      <c r="W11" s="1555" t="e">
        <f t="shared" si="2"/>
        <v>#N/A</v>
      </c>
      <c r="X11" s="1556"/>
      <c r="Y11" s="332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6"/>
      <c r="Q12" s="1146">
        <f t="shared" si="6"/>
        <v>111</v>
      </c>
      <c r="R12" s="1554" t="s">
        <v>8</v>
      </c>
      <c r="S12" s="1555">
        <f t="shared" si="0"/>
        <v>100</v>
      </c>
      <c r="T12" s="1554" t="s">
        <v>8</v>
      </c>
      <c r="U12" s="1555">
        <f t="shared" si="1"/>
        <v>100</v>
      </c>
      <c r="V12" s="1554" t="s">
        <v>8</v>
      </c>
      <c r="W12" s="1555">
        <f t="shared" si="2"/>
        <v>100</v>
      </c>
      <c r="X12" s="1556"/>
      <c r="Y12" s="3322"/>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6"/>
      <c r="Q13" s="1146">
        <f t="shared" si="6"/>
        <v>111</v>
      </c>
      <c r="R13" s="1554" t="s">
        <v>8</v>
      </c>
      <c r="S13" s="1555">
        <f t="shared" si="0"/>
        <v>100</v>
      </c>
      <c r="T13" s="1554" t="s">
        <v>8</v>
      </c>
      <c r="U13" s="1555">
        <f t="shared" si="1"/>
        <v>100</v>
      </c>
      <c r="V13" s="1554" t="s">
        <v>8</v>
      </c>
      <c r="W13" s="1555">
        <f t="shared" si="2"/>
        <v>100</v>
      </c>
      <c r="X13" s="1556"/>
      <c r="Y13" s="3322"/>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6"/>
      <c r="Q14" s="1146">
        <f t="shared" si="6"/>
        <v>111</v>
      </c>
      <c r="R14" s="1554" t="s">
        <v>8</v>
      </c>
      <c r="S14" s="1555">
        <f t="shared" si="0"/>
        <v>100</v>
      </c>
      <c r="T14" s="1554" t="s">
        <v>8</v>
      </c>
      <c r="U14" s="1555">
        <f t="shared" si="1"/>
        <v>100</v>
      </c>
      <c r="V14" s="1554" t="s">
        <v>8</v>
      </c>
      <c r="W14" s="1555">
        <f t="shared" si="2"/>
        <v>100</v>
      </c>
      <c r="X14" s="1556"/>
      <c r="Y14" s="3322"/>
      <c r="Z14" s="1145">
        <f t="shared" si="7"/>
        <v>111</v>
      </c>
      <c r="AA14" s="1557">
        <f t="shared" si="3"/>
        <v>1</v>
      </c>
      <c r="AB14" s="1557">
        <f t="shared" si="4"/>
        <v>1</v>
      </c>
      <c r="AC14" s="1557">
        <f t="shared" si="5"/>
        <v>1</v>
      </c>
    </row>
    <row r="15" spans="1:29" ht="15">
      <c r="A15" s="2864"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10" t="s">
        <v>540</v>
      </c>
      <c r="Q15" s="1558" t="str">
        <f t="shared" si="6"/>
        <v>办公集聚程度</v>
      </c>
      <c r="R15" s="1559" t="s">
        <v>8</v>
      </c>
      <c r="S15" s="1560">
        <f t="shared" si="0"/>
        <v>100</v>
      </c>
      <c r="T15" s="1559" t="s">
        <v>8</v>
      </c>
      <c r="U15" s="1560">
        <f t="shared" si="1"/>
        <v>100</v>
      </c>
      <c r="V15" s="1559" t="s">
        <v>8</v>
      </c>
      <c r="W15" s="1560">
        <f t="shared" si="2"/>
        <v>100</v>
      </c>
      <c r="X15" s="1553"/>
      <c r="Y15" s="3410"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11"/>
      <c r="Q16" s="1558"/>
      <c r="R16" s="1559"/>
      <c r="S16" s="1560"/>
      <c r="T16" s="1559"/>
      <c r="U16" s="1560"/>
      <c r="V16" s="1559"/>
      <c r="W16" s="1560"/>
      <c r="X16" s="1553"/>
      <c r="Y16" s="3411"/>
      <c r="Z16" s="1561"/>
      <c r="AA16" s="1562">
        <v>1</v>
      </c>
      <c r="AB16" s="1562">
        <v>1</v>
      </c>
      <c r="AC16" s="1562">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11"/>
      <c r="Q17" s="1558" t="str">
        <f>B17</f>
        <v>交通便捷度</v>
      </c>
      <c r="R17" s="1559" t="s">
        <v>8</v>
      </c>
      <c r="S17" s="1560">
        <f>F17</f>
        <v>100</v>
      </c>
      <c r="T17" s="1559" t="s">
        <v>8</v>
      </c>
      <c r="U17" s="1560">
        <f>H17</f>
        <v>100</v>
      </c>
      <c r="V17" s="1559" t="s">
        <v>8</v>
      </c>
      <c r="W17" s="1560">
        <f>J17</f>
        <v>100</v>
      </c>
      <c r="X17" s="1553"/>
      <c r="Y17" s="3411"/>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11"/>
      <c r="Q18" s="1558"/>
      <c r="R18" s="1559"/>
      <c r="S18" s="1560"/>
      <c r="T18" s="1559"/>
      <c r="U18" s="1560"/>
      <c r="V18" s="1559"/>
      <c r="W18" s="1560"/>
      <c r="X18" s="1553"/>
      <c r="Y18" s="3411"/>
      <c r="Z18" s="1561"/>
      <c r="AA18" s="1562">
        <v>1</v>
      </c>
      <c r="AB18" s="1562">
        <v>1</v>
      </c>
      <c r="AC18" s="1562">
        <v>1</v>
      </c>
    </row>
    <row r="19" spans="1:29" ht="42.75">
      <c r="A19" s="531"/>
      <c r="B19" s="256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11"/>
      <c r="Q19" s="1558" t="str">
        <f>B19</f>
        <v>公共配套设施</v>
      </c>
      <c r="R19" s="1559" t="s">
        <v>8</v>
      </c>
      <c r="S19" s="1560">
        <f>F19</f>
        <v>100</v>
      </c>
      <c r="T19" s="1559" t="s">
        <v>8</v>
      </c>
      <c r="U19" s="1560">
        <f>H19</f>
        <v>100</v>
      </c>
      <c r="V19" s="1559" t="s">
        <v>8</v>
      </c>
      <c r="W19" s="1560">
        <f>J19</f>
        <v>100</v>
      </c>
      <c r="X19" s="1553"/>
      <c r="Y19" s="3411"/>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11"/>
      <c r="Q20" s="1558"/>
      <c r="R20" s="1559"/>
      <c r="S20" s="1560"/>
      <c r="T20" s="1559"/>
      <c r="U20" s="1560"/>
      <c r="V20" s="1559"/>
      <c r="W20" s="1560"/>
      <c r="X20" s="1553"/>
      <c r="Y20" s="3411"/>
      <c r="Z20" s="1561"/>
      <c r="AA20" s="1562">
        <v>1</v>
      </c>
      <c r="AB20" s="1562">
        <v>1</v>
      </c>
      <c r="AC20" s="1562">
        <v>1</v>
      </c>
    </row>
    <row r="21" spans="1:29" ht="42.75">
      <c r="A21" s="531"/>
      <c r="B21" s="255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11"/>
      <c r="Q21" s="2543" t="str">
        <f>B21</f>
        <v>基础设施水平</v>
      </c>
      <c r="R21" s="1559" t="s">
        <v>8</v>
      </c>
      <c r="S21" s="1560">
        <f>F21</f>
        <v>100</v>
      </c>
      <c r="T21" s="1559" t="s">
        <v>8</v>
      </c>
      <c r="U21" s="1560">
        <f>H21</f>
        <v>100</v>
      </c>
      <c r="V21" s="1559" t="s">
        <v>8</v>
      </c>
      <c r="W21" s="1560">
        <f>J21</f>
        <v>100</v>
      </c>
      <c r="X21" s="2545"/>
      <c r="Y21" s="3411"/>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11"/>
      <c r="Q22" s="2543"/>
      <c r="R22" s="1559"/>
      <c r="S22" s="1560"/>
      <c r="T22" s="1559"/>
      <c r="U22" s="1560"/>
      <c r="V22" s="1559"/>
      <c r="W22" s="1560"/>
      <c r="X22" s="2545"/>
      <c r="Y22" s="3411"/>
      <c r="Z22" s="2544"/>
      <c r="AA22" s="1562">
        <v>1</v>
      </c>
      <c r="AB22" s="1562">
        <v>1</v>
      </c>
      <c r="AC22" s="1562">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11"/>
      <c r="Q23" s="1558" t="str">
        <f>B23</f>
        <v>环境质量</v>
      </c>
      <c r="R23" s="1559" t="s">
        <v>8</v>
      </c>
      <c r="S23" s="1560">
        <f>F23</f>
        <v>100</v>
      </c>
      <c r="T23" s="1559" t="s">
        <v>8</v>
      </c>
      <c r="U23" s="1560">
        <f>H23</f>
        <v>100</v>
      </c>
      <c r="V23" s="1559" t="s">
        <v>8</v>
      </c>
      <c r="W23" s="1560">
        <f>J23</f>
        <v>100</v>
      </c>
      <c r="X23" s="1553"/>
      <c r="Y23" s="3411"/>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11"/>
      <c r="Q24" s="1558"/>
      <c r="R24" s="1559"/>
      <c r="S24" s="1560"/>
      <c r="T24" s="1559"/>
      <c r="U24" s="1560"/>
      <c r="V24" s="1559"/>
      <c r="W24" s="1560"/>
      <c r="X24" s="1553"/>
      <c r="Y24" s="3411"/>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11"/>
      <c r="Q25" s="1558" t="str">
        <f>B25</f>
        <v>毗邻道路的类型与等级</v>
      </c>
      <c r="R25" s="1559" t="s">
        <v>8</v>
      </c>
      <c r="S25" s="1560">
        <f>F25</f>
        <v>100</v>
      </c>
      <c r="T25" s="1559" t="s">
        <v>8</v>
      </c>
      <c r="U25" s="1560">
        <f>H25</f>
        <v>100</v>
      </c>
      <c r="V25" s="1559" t="s">
        <v>8</v>
      </c>
      <c r="W25" s="1560">
        <f>J25</f>
        <v>100</v>
      </c>
      <c r="X25" s="1553"/>
      <c r="Y25" s="3411"/>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11"/>
      <c r="Q26" s="1558"/>
      <c r="R26" s="1559"/>
      <c r="S26" s="1560"/>
      <c r="T26" s="1559"/>
      <c r="U26" s="1560"/>
      <c r="V26" s="1559"/>
      <c r="W26" s="1560"/>
      <c r="X26" s="1553"/>
      <c r="Y26" s="3411"/>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11"/>
      <c r="Q27" s="1558" t="str">
        <f t="shared" ref="Q27:Q47" si="11">B27</f>
        <v>楼层</v>
      </c>
      <c r="R27" s="1559" t="s">
        <v>8</v>
      </c>
      <c r="S27" s="1560">
        <f>F27</f>
        <v>100</v>
      </c>
      <c r="T27" s="1559" t="s">
        <v>8</v>
      </c>
      <c r="U27" s="1560">
        <f>H27</f>
        <v>100</v>
      </c>
      <c r="V27" s="1559" t="s">
        <v>8</v>
      </c>
      <c r="W27" s="1560">
        <f>J27</f>
        <v>100</v>
      </c>
      <c r="X27" s="1553"/>
      <c r="Y27" s="3411"/>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11"/>
      <c r="Q28" s="1146" t="str">
        <f t="shared" si="11"/>
        <v>朝向</v>
      </c>
      <c r="R28" s="1554" t="s">
        <v>8</v>
      </c>
      <c r="S28" s="1555">
        <f>F28</f>
        <v>100</v>
      </c>
      <c r="T28" s="1554" t="s">
        <v>8</v>
      </c>
      <c r="U28" s="1555">
        <f>H28</f>
        <v>100</v>
      </c>
      <c r="V28" s="1554" t="s">
        <v>8</v>
      </c>
      <c r="W28" s="1555">
        <f>J28</f>
        <v>100</v>
      </c>
      <c r="X28" s="1556"/>
      <c r="Y28" s="3411"/>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11"/>
      <c r="Q29" s="1558">
        <f t="shared" si="11"/>
        <v>111</v>
      </c>
      <c r="R29" s="1559" t="s">
        <v>8</v>
      </c>
      <c r="S29" s="1560">
        <f t="shared" ref="S29:S47" si="12">F29</f>
        <v>100</v>
      </c>
      <c r="T29" s="1559" t="s">
        <v>8</v>
      </c>
      <c r="U29" s="1560">
        <f t="shared" ref="U29:U47" si="13">H29</f>
        <v>100</v>
      </c>
      <c r="V29" s="1559" t="s">
        <v>8</v>
      </c>
      <c r="W29" s="1560">
        <f t="shared" ref="W29:W47" si="14">J29</f>
        <v>100</v>
      </c>
      <c r="X29" s="1553"/>
      <c r="Y29" s="3411"/>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11"/>
      <c r="Q30" s="1558">
        <f t="shared" si="11"/>
        <v>111</v>
      </c>
      <c r="R30" s="1559" t="s">
        <v>8</v>
      </c>
      <c r="S30" s="1560">
        <f t="shared" si="12"/>
        <v>100</v>
      </c>
      <c r="T30" s="1559" t="s">
        <v>8</v>
      </c>
      <c r="U30" s="1560">
        <f t="shared" si="13"/>
        <v>100</v>
      </c>
      <c r="V30" s="1559" t="s">
        <v>8</v>
      </c>
      <c r="W30" s="1560">
        <f t="shared" si="14"/>
        <v>100</v>
      </c>
      <c r="X30" s="1553"/>
      <c r="Y30" s="3411"/>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11"/>
      <c r="Q31" s="1558">
        <f t="shared" si="11"/>
        <v>111</v>
      </c>
      <c r="R31" s="1559" t="s">
        <v>8</v>
      </c>
      <c r="S31" s="1560">
        <f t="shared" si="12"/>
        <v>100</v>
      </c>
      <c r="T31" s="1559" t="s">
        <v>8</v>
      </c>
      <c r="U31" s="1560">
        <f t="shared" si="13"/>
        <v>100</v>
      </c>
      <c r="V31" s="1559" t="s">
        <v>8</v>
      </c>
      <c r="W31" s="1560">
        <f t="shared" si="14"/>
        <v>100</v>
      </c>
      <c r="X31" s="1553"/>
      <c r="Y31" s="3411"/>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11"/>
      <c r="Q32" s="1558">
        <f t="shared" si="11"/>
        <v>111</v>
      </c>
      <c r="R32" s="1559" t="s">
        <v>8</v>
      </c>
      <c r="S32" s="1560">
        <f t="shared" si="12"/>
        <v>100</v>
      </c>
      <c r="T32" s="1559" t="s">
        <v>8</v>
      </c>
      <c r="U32" s="1560">
        <f t="shared" si="13"/>
        <v>100</v>
      </c>
      <c r="V32" s="1559" t="s">
        <v>8</v>
      </c>
      <c r="W32" s="1560">
        <f t="shared" si="14"/>
        <v>100</v>
      </c>
      <c r="X32" s="1553"/>
      <c r="Y32" s="3411"/>
      <c r="Z32" s="1561">
        <f t="shared" si="15"/>
        <v>111</v>
      </c>
      <c r="AA32" s="1562">
        <f t="shared" si="3"/>
        <v>1</v>
      </c>
      <c r="AB32" s="1562">
        <f t="shared" si="4"/>
        <v>1</v>
      </c>
      <c r="AC32" s="1562">
        <f t="shared" si="5"/>
        <v>1</v>
      </c>
    </row>
    <row r="33" spans="1:29" ht="15">
      <c r="A33" s="286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12" t="s">
        <v>550</v>
      </c>
      <c r="Q33" s="1558" t="str">
        <f t="shared" si="11"/>
        <v>建筑类型</v>
      </c>
      <c r="R33" s="1559" t="s">
        <v>8</v>
      </c>
      <c r="S33" s="1560">
        <f t="shared" si="12"/>
        <v>100</v>
      </c>
      <c r="T33" s="1559" t="s">
        <v>8</v>
      </c>
      <c r="U33" s="1560">
        <f t="shared" si="13"/>
        <v>100</v>
      </c>
      <c r="V33" s="1559" t="s">
        <v>8</v>
      </c>
      <c r="W33" s="1560">
        <f t="shared" si="14"/>
        <v>100</v>
      </c>
      <c r="X33" s="1553"/>
      <c r="Y33" s="3413"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3"/>
      <c r="Q34" s="1590" t="str">
        <f t="shared" si="11"/>
        <v>项目建筑规模</v>
      </c>
      <c r="R34" s="1563" t="s">
        <v>8</v>
      </c>
      <c r="S34" s="1564" t="e">
        <f t="shared" si="12"/>
        <v>#N/A</v>
      </c>
      <c r="T34" s="1563" t="s">
        <v>8</v>
      </c>
      <c r="U34" s="1564" t="e">
        <f t="shared" si="13"/>
        <v>#N/A</v>
      </c>
      <c r="V34" s="1563" t="s">
        <v>8</v>
      </c>
      <c r="W34" s="1564" t="e">
        <f t="shared" si="14"/>
        <v>#N/A</v>
      </c>
      <c r="X34" s="1565"/>
      <c r="Y34" s="3413"/>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3"/>
      <c r="Q35" s="1558" t="str">
        <f t="shared" si="11"/>
        <v>建筑结构</v>
      </c>
      <c r="R35" s="1559" t="s">
        <v>8</v>
      </c>
      <c r="S35" s="1560">
        <f t="shared" si="12"/>
        <v>100</v>
      </c>
      <c r="T35" s="1559" t="s">
        <v>8</v>
      </c>
      <c r="U35" s="1560">
        <f t="shared" si="13"/>
        <v>100</v>
      </c>
      <c r="V35" s="1559" t="s">
        <v>8</v>
      </c>
      <c r="W35" s="1560">
        <f t="shared" si="14"/>
        <v>100</v>
      </c>
      <c r="X35" s="1553"/>
      <c r="Y35" s="3413"/>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3"/>
      <c r="Q36" s="1558" t="str">
        <f t="shared" si="11"/>
        <v>公共部分装修</v>
      </c>
      <c r="R36" s="1559" t="s">
        <v>8</v>
      </c>
      <c r="S36" s="1560">
        <f t="shared" si="12"/>
        <v>100</v>
      </c>
      <c r="T36" s="1559" t="s">
        <v>8</v>
      </c>
      <c r="U36" s="1560">
        <f t="shared" si="13"/>
        <v>100</v>
      </c>
      <c r="V36" s="1559" t="s">
        <v>8</v>
      </c>
      <c r="W36" s="1560">
        <f t="shared" si="14"/>
        <v>100</v>
      </c>
      <c r="X36" s="1553"/>
      <c r="Y36" s="3413"/>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3"/>
      <c r="Q37" s="1558" t="str">
        <f t="shared" si="11"/>
        <v>成新度</v>
      </c>
      <c r="R37" s="1559" t="s">
        <v>8</v>
      </c>
      <c r="S37" s="1560" t="e">
        <f t="shared" si="12"/>
        <v>#N/A</v>
      </c>
      <c r="T37" s="1559" t="s">
        <v>8</v>
      </c>
      <c r="U37" s="1560" t="e">
        <f t="shared" si="13"/>
        <v>#N/A</v>
      </c>
      <c r="V37" s="1559" t="s">
        <v>8</v>
      </c>
      <c r="W37" s="1560" t="e">
        <f t="shared" si="14"/>
        <v>#N/A</v>
      </c>
      <c r="X37" s="1553"/>
      <c r="Y37" s="3413"/>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3"/>
      <c r="Q38" s="1146" t="str">
        <f t="shared" si="11"/>
        <v>写字楼等级</v>
      </c>
      <c r="R38" s="1554" t="s">
        <v>8</v>
      </c>
      <c r="S38" s="1555">
        <f t="shared" si="12"/>
        <v>100</v>
      </c>
      <c r="T38" s="1554" t="s">
        <v>8</v>
      </c>
      <c r="U38" s="1555">
        <f t="shared" si="13"/>
        <v>100</v>
      </c>
      <c r="V38" s="1554" t="s">
        <v>8</v>
      </c>
      <c r="W38" s="1555">
        <f t="shared" si="14"/>
        <v>100</v>
      </c>
      <c r="X38" s="1556"/>
      <c r="Y38" s="3413"/>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3" t="s">
        <v>550</v>
      </c>
      <c r="Q39" s="1558" t="str">
        <f t="shared" si="11"/>
        <v>物业管理</v>
      </c>
      <c r="R39" s="1559" t="s">
        <v>8</v>
      </c>
      <c r="S39" s="1560">
        <f t="shared" si="12"/>
        <v>100</v>
      </c>
      <c r="T39" s="1559" t="s">
        <v>8</v>
      </c>
      <c r="U39" s="1560">
        <f t="shared" si="13"/>
        <v>100</v>
      </c>
      <c r="V39" s="1559" t="s">
        <v>8</v>
      </c>
      <c r="W39" s="1560">
        <f t="shared" si="14"/>
        <v>100</v>
      </c>
      <c r="X39" s="1553"/>
      <c r="Y39" s="3413" t="s">
        <v>550</v>
      </c>
      <c r="Z39" s="1561" t="str">
        <f t="shared" si="15"/>
        <v>物业管理</v>
      </c>
      <c r="AA39" s="1562">
        <f t="shared" si="3"/>
        <v>1</v>
      </c>
      <c r="AB39" s="1562">
        <f t="shared" si="4"/>
        <v>1</v>
      </c>
      <c r="AC39" s="1562">
        <f t="shared" si="5"/>
        <v>1</v>
      </c>
    </row>
    <row r="40" spans="1:29" ht="15">
      <c r="A40" s="593"/>
      <c r="B40" s="1880"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3"/>
      <c r="Q40" s="1558" t="str">
        <f t="shared" si="11"/>
        <v>市政基础设施</v>
      </c>
      <c r="R40" s="1559" t="s">
        <v>8</v>
      </c>
      <c r="S40" s="1560">
        <f t="shared" si="12"/>
        <v>100</v>
      </c>
      <c r="T40" s="1559" t="s">
        <v>8</v>
      </c>
      <c r="U40" s="1560">
        <f t="shared" si="13"/>
        <v>100</v>
      </c>
      <c r="V40" s="1559" t="s">
        <v>8</v>
      </c>
      <c r="W40" s="1560">
        <f t="shared" si="14"/>
        <v>100</v>
      </c>
      <c r="X40" s="1553"/>
      <c r="Y40" s="3413"/>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3"/>
      <c r="Q41" s="1558" t="str">
        <f t="shared" si="11"/>
        <v>层高</v>
      </c>
      <c r="R41" s="1559" t="s">
        <v>8</v>
      </c>
      <c r="S41" s="1560">
        <f t="shared" si="12"/>
        <v>100</v>
      </c>
      <c r="T41" s="1559" t="s">
        <v>8</v>
      </c>
      <c r="U41" s="1560">
        <f t="shared" si="13"/>
        <v>100</v>
      </c>
      <c r="V41" s="1559" t="s">
        <v>8</v>
      </c>
      <c r="W41" s="1560">
        <f t="shared" si="14"/>
        <v>100</v>
      </c>
      <c r="X41" s="1553"/>
      <c r="Y41" s="3413"/>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3"/>
      <c r="Q42" s="1590" t="str">
        <f t="shared" si="11"/>
        <v>单套建筑面积</v>
      </c>
      <c r="R42" s="1563" t="s">
        <v>8</v>
      </c>
      <c r="S42" s="1564">
        <f t="shared" si="12"/>
        <v>100</v>
      </c>
      <c r="T42" s="1563" t="s">
        <v>8</v>
      </c>
      <c r="U42" s="1564">
        <f t="shared" si="13"/>
        <v>100</v>
      </c>
      <c r="V42" s="1563" t="s">
        <v>8</v>
      </c>
      <c r="W42" s="1564">
        <f t="shared" si="14"/>
        <v>100</v>
      </c>
      <c r="X42" s="1565"/>
      <c r="Y42" s="3413"/>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3"/>
      <c r="Q43" s="1558" t="str">
        <f t="shared" si="11"/>
        <v>内部装修</v>
      </c>
      <c r="R43" s="1559" t="s">
        <v>8</v>
      </c>
      <c r="S43" s="1560">
        <f t="shared" si="12"/>
        <v>100</v>
      </c>
      <c r="T43" s="1559" t="s">
        <v>8</v>
      </c>
      <c r="U43" s="1560">
        <f t="shared" si="13"/>
        <v>100</v>
      </c>
      <c r="V43" s="1559" t="s">
        <v>8</v>
      </c>
      <c r="W43" s="1560">
        <f t="shared" si="14"/>
        <v>100</v>
      </c>
      <c r="X43" s="1553"/>
      <c r="Y43" s="3413"/>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3"/>
      <c r="Q44" s="1558" t="str">
        <f t="shared" si="11"/>
        <v>内部装修维护情况</v>
      </c>
      <c r="R44" s="1559" t="s">
        <v>8</v>
      </c>
      <c r="S44" s="1560">
        <f t="shared" si="12"/>
        <v>100</v>
      </c>
      <c r="T44" s="1559" t="s">
        <v>8</v>
      </c>
      <c r="U44" s="1560">
        <f t="shared" si="13"/>
        <v>100</v>
      </c>
      <c r="V44" s="1559" t="s">
        <v>8</v>
      </c>
      <c r="W44" s="1560">
        <f t="shared" si="14"/>
        <v>100</v>
      </c>
      <c r="X44" s="1553"/>
      <c r="Y44" s="3413"/>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3"/>
      <c r="Q45" s="1146">
        <f t="shared" si="11"/>
        <v>111</v>
      </c>
      <c r="R45" s="1554" t="s">
        <v>8</v>
      </c>
      <c r="S45" s="1555">
        <f t="shared" si="12"/>
        <v>100</v>
      </c>
      <c r="T45" s="1554" t="s">
        <v>8</v>
      </c>
      <c r="U45" s="1555">
        <f t="shared" si="13"/>
        <v>100</v>
      </c>
      <c r="V45" s="1554" t="s">
        <v>8</v>
      </c>
      <c r="W45" s="1555">
        <f t="shared" si="14"/>
        <v>100</v>
      </c>
      <c r="X45" s="1556"/>
      <c r="Y45" s="3413"/>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3"/>
      <c r="Q46" s="1558">
        <f t="shared" si="11"/>
        <v>111</v>
      </c>
      <c r="R46" s="1559" t="s">
        <v>8</v>
      </c>
      <c r="S46" s="1560">
        <f t="shared" si="12"/>
        <v>100</v>
      </c>
      <c r="T46" s="1559" t="s">
        <v>8</v>
      </c>
      <c r="U46" s="1560">
        <f t="shared" si="13"/>
        <v>100</v>
      </c>
      <c r="V46" s="1559" t="s">
        <v>8</v>
      </c>
      <c r="W46" s="1560">
        <f t="shared" si="14"/>
        <v>100</v>
      </c>
      <c r="X46" s="1553"/>
      <c r="Y46" s="3413"/>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71"/>
      <c r="Q47" s="1558">
        <f t="shared" si="11"/>
        <v>111</v>
      </c>
      <c r="R47" s="1559" t="s">
        <v>8</v>
      </c>
      <c r="S47" s="1560">
        <f t="shared" si="12"/>
        <v>100</v>
      </c>
      <c r="T47" s="1559" t="s">
        <v>8</v>
      </c>
      <c r="U47" s="1560">
        <f t="shared" si="13"/>
        <v>100</v>
      </c>
      <c r="V47" s="1559" t="s">
        <v>8</v>
      </c>
      <c r="W47" s="1560">
        <f t="shared" si="14"/>
        <v>100</v>
      </c>
      <c r="X47" s="1553"/>
      <c r="Y47" s="3471"/>
      <c r="Z47" s="1561">
        <f t="shared" si="15"/>
        <v>111</v>
      </c>
      <c r="AA47" s="1562">
        <f t="shared" si="3"/>
        <v>1</v>
      </c>
      <c r="AB47" s="1562">
        <f t="shared" si="4"/>
        <v>1</v>
      </c>
      <c r="AC47" s="1562">
        <f t="shared" si="5"/>
        <v>1</v>
      </c>
    </row>
    <row r="48" spans="1:29" ht="15">
      <c r="A48" s="606" t="s">
        <v>736</v>
      </c>
      <c r="B48" s="886"/>
      <c r="C48" s="2590" t="s">
        <v>1</v>
      </c>
      <c r="D48" s="2591"/>
      <c r="E48" s="2592"/>
      <c r="F48" s="2593"/>
      <c r="G48" s="2594"/>
      <c r="H48" s="2595"/>
      <c r="I48" s="2592"/>
      <c r="J48" s="2595"/>
      <c r="K48" s="1596"/>
      <c r="L48" s="2129"/>
      <c r="M48" s="2119"/>
      <c r="N48" s="2119"/>
      <c r="O48" s="2119"/>
      <c r="P48" s="3374" t="str">
        <f>A48</f>
        <v>成交单价（元/平方米）</v>
      </c>
      <c r="Q48" s="3376"/>
      <c r="R48" s="3470">
        <f>E48</f>
        <v>0</v>
      </c>
      <c r="S48" s="3470"/>
      <c r="T48" s="3470">
        <f>G48</f>
        <v>0</v>
      </c>
      <c r="U48" s="3470"/>
      <c r="V48" s="3470">
        <f>I48</f>
        <v>0</v>
      </c>
      <c r="W48" s="3470"/>
      <c r="X48" s="1545"/>
      <c r="Y48" s="1567"/>
      <c r="Z48" s="1545"/>
      <c r="AA48" s="1545"/>
      <c r="AB48" s="1545"/>
      <c r="AC48" s="1545"/>
    </row>
    <row r="49" spans="1:29" ht="15.75" thickBot="1">
      <c r="A49" s="614" t="s">
        <v>2759</v>
      </c>
      <c r="B49" s="887"/>
      <c r="C49" s="2596" t="e">
        <f>R50</f>
        <v>#DIV/0!</v>
      </c>
      <c r="D49" s="2597"/>
      <c r="E49" s="2598" t="e">
        <f>R49</f>
        <v>#DIV/0!</v>
      </c>
      <c r="F49" s="2598"/>
      <c r="G49" s="2596" t="e">
        <f>T49</f>
        <v>#DIV/0!</v>
      </c>
      <c r="H49" s="2597"/>
      <c r="I49" s="2598" t="e">
        <f>V49</f>
        <v>#DIV/0!</v>
      </c>
      <c r="J49" s="2597"/>
      <c r="K49" s="1597"/>
      <c r="L49" s="2129"/>
      <c r="M49" s="2119"/>
      <c r="N49" s="2119"/>
      <c r="O49" s="2119"/>
      <c r="P49" s="3374" t="str">
        <f>A49</f>
        <v>比较价格（元/平方米）</v>
      </c>
      <c r="Q49" s="3376"/>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45"/>
      <c r="Y49" s="1545"/>
      <c r="Z49" s="1545"/>
      <c r="AA49" s="1545"/>
      <c r="AB49" s="1545"/>
      <c r="AC49" s="1545"/>
    </row>
    <row r="50" spans="1:29" ht="15.75" thickBot="1">
      <c r="A50" s="620" t="s">
        <v>2932</v>
      </c>
      <c r="B50" s="621"/>
      <c r="C50" s="2599" t="e">
        <f>R50</f>
        <v>#DIV/0!</v>
      </c>
      <c r="D50" s="2599"/>
      <c r="E50" s="2599"/>
      <c r="F50" s="2599"/>
      <c r="G50" s="2599"/>
      <c r="H50" s="2599"/>
      <c r="I50" s="2599"/>
      <c r="J50" s="2599"/>
      <c r="K50" s="1598"/>
      <c r="L50" s="2129"/>
      <c r="M50" s="2119"/>
      <c r="N50" s="2119"/>
      <c r="O50" s="2119"/>
      <c r="P50" s="3499" t="str">
        <f>A50</f>
        <v>估价对象XX用房的比较价格（楼面单价，元/平方米）</v>
      </c>
      <c r="Q50" s="3374"/>
      <c r="R50" s="3469" t="e">
        <f>IF(F1="售价",ROUND(AVERAGE(R49:V49),0),ROUND(AVERAGE(R49:V49),1))</f>
        <v>#DIV/0!</v>
      </c>
      <c r="S50" s="3469"/>
      <c r="T50" s="3469"/>
      <c r="U50" s="3469"/>
      <c r="V50" s="3469"/>
      <c r="W50" s="346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2557</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2558</v>
      </c>
      <c r="C83" s="2562" t="s">
        <v>2559</v>
      </c>
      <c r="D83" s="2562" t="s">
        <v>2560</v>
      </c>
      <c r="E83" s="2562" t="s">
        <v>2561</v>
      </c>
      <c r="F83" s="2562" t="s">
        <v>2562</v>
      </c>
      <c r="G83" s="2562" t="s">
        <v>2563</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2556</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82" t="s">
        <v>522</v>
      </c>
      <c r="D4" s="3383"/>
      <c r="E4" s="3416" t="s">
        <v>523</v>
      </c>
      <c r="F4" s="3417"/>
      <c r="G4" s="3382" t="s">
        <v>524</v>
      </c>
      <c r="H4" s="3383"/>
      <c r="I4" s="3382" t="s">
        <v>525</v>
      </c>
      <c r="J4" s="3383"/>
      <c r="K4" s="513" t="s">
        <v>526</v>
      </c>
      <c r="L4" s="2118"/>
      <c r="M4" s="2119"/>
      <c r="N4" s="2119"/>
      <c r="O4" s="2119"/>
      <c r="P4" s="3384" t="s">
        <v>527</v>
      </c>
      <c r="Q4" s="3385"/>
      <c r="R4" s="3390" t="s">
        <v>523</v>
      </c>
      <c r="S4" s="3391"/>
      <c r="T4" s="3390" t="s">
        <v>524</v>
      </c>
      <c r="U4" s="3391"/>
      <c r="V4" s="3377" t="s">
        <v>525</v>
      </c>
      <c r="W4" s="3377"/>
      <c r="X4" s="1553"/>
      <c r="Y4" s="3390" t="s">
        <v>527</v>
      </c>
      <c r="Z4" s="3391"/>
      <c r="AA4" s="3379" t="s">
        <v>523</v>
      </c>
      <c r="AB4" s="3380" t="s">
        <v>524</v>
      </c>
      <c r="AC4" s="3379" t="s">
        <v>525</v>
      </c>
    </row>
    <row r="5" spans="1:29" ht="15">
      <c r="A5" s="514"/>
      <c r="B5" s="515"/>
      <c r="C5" s="3398" t="s">
        <v>2926</v>
      </c>
      <c r="D5" s="3399"/>
      <c r="E5" s="3418" t="s">
        <v>2927</v>
      </c>
      <c r="F5" s="3419"/>
      <c r="G5" s="3398" t="s">
        <v>2928</v>
      </c>
      <c r="H5" s="3399"/>
      <c r="I5" s="3398" t="s">
        <v>2929</v>
      </c>
      <c r="J5" s="3399"/>
      <c r="K5" s="513"/>
      <c r="L5" s="2118"/>
      <c r="M5" s="2119"/>
      <c r="N5" s="2119"/>
      <c r="O5" s="2119"/>
      <c r="P5" s="3386"/>
      <c r="Q5" s="3387"/>
      <c r="R5" s="3392"/>
      <c r="S5" s="3393"/>
      <c r="T5" s="3392"/>
      <c r="U5" s="3393"/>
      <c r="V5" s="3377"/>
      <c r="W5" s="3377"/>
      <c r="X5" s="1553"/>
      <c r="Y5" s="3392"/>
      <c r="Z5" s="3393"/>
      <c r="AA5" s="3380"/>
      <c r="AB5" s="3380"/>
      <c r="AC5" s="3380"/>
    </row>
    <row r="6" spans="1:29" ht="15.75" thickBot="1">
      <c r="A6" s="516"/>
      <c r="B6" s="517"/>
      <c r="C6" s="3396" t="s">
        <v>2930</v>
      </c>
      <c r="D6" s="3397"/>
      <c r="E6" s="3414" t="s">
        <v>2930</v>
      </c>
      <c r="F6" s="3415"/>
      <c r="G6" s="3396" t="s">
        <v>2930</v>
      </c>
      <c r="H6" s="3397"/>
      <c r="I6" s="3396" t="s">
        <v>2930</v>
      </c>
      <c r="J6" s="3397"/>
      <c r="K6" s="513" t="s">
        <v>528</v>
      </c>
      <c r="L6" s="2118"/>
      <c r="M6" s="2119"/>
      <c r="N6" s="2119"/>
      <c r="O6" s="2119"/>
      <c r="P6" s="3388"/>
      <c r="Q6" s="3389"/>
      <c r="R6" s="3392"/>
      <c r="S6" s="3393"/>
      <c r="T6" s="3394"/>
      <c r="U6" s="3395"/>
      <c r="V6" s="3377"/>
      <c r="W6" s="3377"/>
      <c r="X6" s="1553"/>
      <c r="Y6" s="3394"/>
      <c r="Z6" s="3395"/>
      <c r="AA6" s="3381"/>
      <c r="AB6" s="3381"/>
      <c r="AC6" s="3381"/>
    </row>
    <row r="7" spans="1:29" s="1215" customFormat="1" ht="15.75" thickBot="1">
      <c r="A7" s="2866"/>
      <c r="B7" s="2873" t="s">
        <v>529</v>
      </c>
      <c r="C7" s="518">
        <f>'数据-取费表'!B2</f>
        <v>43754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07" t="s">
        <v>530</v>
      </c>
      <c r="Q7" s="3409"/>
      <c r="R7" s="1554" t="s">
        <v>8</v>
      </c>
      <c r="S7" s="1555">
        <f t="shared" ref="S7:S15" si="0">F7</f>
        <v>0</v>
      </c>
      <c r="T7" s="1554" t="s">
        <v>8</v>
      </c>
      <c r="U7" s="1555">
        <f t="shared" ref="U7:U15" si="1">H7</f>
        <v>0</v>
      </c>
      <c r="V7" s="1554" t="s">
        <v>8</v>
      </c>
      <c r="W7" s="1555">
        <f t="shared" ref="W7:W15" si="2">J7</f>
        <v>0</v>
      </c>
      <c r="X7" s="1556"/>
      <c r="Y7" s="3407" t="s">
        <v>530</v>
      </c>
      <c r="Z7" s="3408"/>
      <c r="AA7" s="1557" t="e">
        <f>D7/F7</f>
        <v>#DIV/0!</v>
      </c>
      <c r="AB7" s="1557" t="e">
        <f>D7/H7</f>
        <v>#DIV/0!</v>
      </c>
      <c r="AC7" s="1557"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07" t="s">
        <v>533</v>
      </c>
      <c r="Q8" s="3408"/>
      <c r="R8" s="1554" t="s">
        <v>8</v>
      </c>
      <c r="S8" s="1555">
        <f t="shared" si="0"/>
        <v>0</v>
      </c>
      <c r="T8" s="1554" t="s">
        <v>8</v>
      </c>
      <c r="U8" s="1555">
        <f t="shared" si="1"/>
        <v>0</v>
      </c>
      <c r="V8" s="1554" t="s">
        <v>8</v>
      </c>
      <c r="W8" s="1555">
        <f t="shared" si="2"/>
        <v>0</v>
      </c>
      <c r="X8" s="1556"/>
      <c r="Y8" s="3407" t="s">
        <v>533</v>
      </c>
      <c r="Z8" s="3408"/>
      <c r="AA8" s="1557" t="e">
        <f t="shared" ref="AA8:AA40" si="3">D8/F8</f>
        <v>#DIV/0!</v>
      </c>
      <c r="AB8" s="1557" t="e">
        <f t="shared" ref="AB8:AB40" si="4">D8/H8</f>
        <v>#DIV/0!</v>
      </c>
      <c r="AC8" s="1557" t="e">
        <f t="shared" ref="AC8:AC40" si="5">D8/J8</f>
        <v>#DIV/0!</v>
      </c>
    </row>
    <row r="9" spans="1:29" s="1215"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6" t="s">
        <v>535</v>
      </c>
      <c r="Q9" s="1146" t="str">
        <f t="shared" ref="Q9:Q15" si="6">B9</f>
        <v>用途</v>
      </c>
      <c r="R9" s="1554" t="s">
        <v>8</v>
      </c>
      <c r="S9" s="1555">
        <f t="shared" si="0"/>
        <v>100</v>
      </c>
      <c r="T9" s="1554" t="s">
        <v>8</v>
      </c>
      <c r="U9" s="1555">
        <f t="shared" si="1"/>
        <v>100</v>
      </c>
      <c r="V9" s="1554" t="s">
        <v>8</v>
      </c>
      <c r="W9" s="1555">
        <f t="shared" si="2"/>
        <v>100</v>
      </c>
      <c r="X9" s="1556"/>
      <c r="Y9" s="3322"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6"/>
      <c r="Q11" s="1146" t="str">
        <f t="shared" si="6"/>
        <v>容积率</v>
      </c>
      <c r="R11" s="1554" t="s">
        <v>8</v>
      </c>
      <c r="S11" s="1555" t="e">
        <f t="shared" si="0"/>
        <v>#N/A</v>
      </c>
      <c r="T11" s="1554" t="s">
        <v>8</v>
      </c>
      <c r="U11" s="1555" t="e">
        <f t="shared" si="1"/>
        <v>#N/A</v>
      </c>
      <c r="V11" s="1554" t="s">
        <v>8</v>
      </c>
      <c r="W11" s="1555" t="e">
        <f t="shared" si="2"/>
        <v>#N/A</v>
      </c>
      <c r="X11" s="1556"/>
      <c r="Y11" s="332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6"/>
      <c r="Q12" s="1146">
        <f t="shared" si="6"/>
        <v>111</v>
      </c>
      <c r="R12" s="1554" t="s">
        <v>8</v>
      </c>
      <c r="S12" s="1555">
        <f t="shared" si="0"/>
        <v>100</v>
      </c>
      <c r="T12" s="1554" t="s">
        <v>8</v>
      </c>
      <c r="U12" s="1555">
        <f t="shared" si="1"/>
        <v>100</v>
      </c>
      <c r="V12" s="1554" t="s">
        <v>8</v>
      </c>
      <c r="W12" s="1555">
        <f t="shared" si="2"/>
        <v>100</v>
      </c>
      <c r="X12" s="1556"/>
      <c r="Y12" s="3322"/>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6"/>
      <c r="Q13" s="1146">
        <f t="shared" si="6"/>
        <v>111</v>
      </c>
      <c r="R13" s="1554" t="s">
        <v>8</v>
      </c>
      <c r="S13" s="1555">
        <f t="shared" si="0"/>
        <v>100</v>
      </c>
      <c r="T13" s="1554" t="s">
        <v>8</v>
      </c>
      <c r="U13" s="1555">
        <f t="shared" si="1"/>
        <v>100</v>
      </c>
      <c r="V13" s="1554" t="s">
        <v>8</v>
      </c>
      <c r="W13" s="1555">
        <f t="shared" si="2"/>
        <v>100</v>
      </c>
      <c r="X13" s="1556"/>
      <c r="Y13" s="3322"/>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6"/>
      <c r="Q14" s="1146">
        <f t="shared" si="6"/>
        <v>111</v>
      </c>
      <c r="R14" s="1554" t="s">
        <v>8</v>
      </c>
      <c r="S14" s="1555">
        <f t="shared" si="0"/>
        <v>100</v>
      </c>
      <c r="T14" s="1554" t="s">
        <v>8</v>
      </c>
      <c r="U14" s="1555">
        <f t="shared" si="1"/>
        <v>100</v>
      </c>
      <c r="V14" s="1554" t="s">
        <v>8</v>
      </c>
      <c r="W14" s="1555">
        <f t="shared" si="2"/>
        <v>100</v>
      </c>
      <c r="X14" s="1556"/>
      <c r="Y14" s="3322"/>
      <c r="Z14" s="1145">
        <f t="shared" si="7"/>
        <v>111</v>
      </c>
      <c r="AA14" s="1557">
        <f t="shared" si="3"/>
        <v>1</v>
      </c>
      <c r="AB14" s="1557">
        <f t="shared" si="4"/>
        <v>1</v>
      </c>
      <c r="AC14" s="1557">
        <f t="shared" si="5"/>
        <v>1</v>
      </c>
    </row>
    <row r="15" spans="1:29" ht="57">
      <c r="A15" s="2864"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10" t="s">
        <v>540</v>
      </c>
      <c r="Q15" s="1558" t="str">
        <f t="shared" si="6"/>
        <v>产业集聚程度</v>
      </c>
      <c r="R15" s="1559" t="s">
        <v>8</v>
      </c>
      <c r="S15" s="1560">
        <f t="shared" si="0"/>
        <v>100</v>
      </c>
      <c r="T15" s="1559" t="s">
        <v>8</v>
      </c>
      <c r="U15" s="1560">
        <f t="shared" si="1"/>
        <v>100</v>
      </c>
      <c r="V15" s="1559" t="s">
        <v>8</v>
      </c>
      <c r="W15" s="1560">
        <f t="shared" si="2"/>
        <v>100</v>
      </c>
      <c r="X15" s="1553"/>
      <c r="Y15" s="3410"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11"/>
      <c r="Q16" s="1558"/>
      <c r="R16" s="1559"/>
      <c r="S16" s="1560"/>
      <c r="T16" s="1559"/>
      <c r="U16" s="1560"/>
      <c r="V16" s="1559"/>
      <c r="W16" s="1560"/>
      <c r="X16" s="1553"/>
      <c r="Y16" s="3411"/>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11"/>
      <c r="Q17" s="1558" t="str">
        <f>B17</f>
        <v>交通便捷度</v>
      </c>
      <c r="R17" s="1559" t="s">
        <v>8</v>
      </c>
      <c r="S17" s="1560">
        <f>F17</f>
        <v>100</v>
      </c>
      <c r="T17" s="1559" t="s">
        <v>8</v>
      </c>
      <c r="U17" s="1560">
        <f>H17</f>
        <v>100</v>
      </c>
      <c r="V17" s="1559" t="s">
        <v>8</v>
      </c>
      <c r="W17" s="1560">
        <f>J17</f>
        <v>100</v>
      </c>
      <c r="X17" s="1553"/>
      <c r="Y17" s="341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11"/>
      <c r="Q18" s="1558"/>
      <c r="R18" s="1559"/>
      <c r="S18" s="1560"/>
      <c r="T18" s="1559"/>
      <c r="U18" s="1560"/>
      <c r="V18" s="1559"/>
      <c r="W18" s="1560"/>
      <c r="X18" s="1553"/>
      <c r="Y18" s="3411"/>
      <c r="Z18" s="1561"/>
      <c r="AA18" s="1562">
        <v>1</v>
      </c>
      <c r="AB18" s="1562">
        <v>1</v>
      </c>
      <c r="AC18" s="1562">
        <v>1</v>
      </c>
    </row>
    <row r="19" spans="1:29" ht="42.75">
      <c r="A19" s="531"/>
      <c r="B19" s="256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11"/>
      <c r="Q19" s="1558" t="str">
        <f>B19</f>
        <v>公共配套设施</v>
      </c>
      <c r="R19" s="1559" t="s">
        <v>8</v>
      </c>
      <c r="S19" s="1560">
        <f>F19</f>
        <v>100</v>
      </c>
      <c r="T19" s="1559" t="s">
        <v>8</v>
      </c>
      <c r="U19" s="1560">
        <f>H19</f>
        <v>100</v>
      </c>
      <c r="V19" s="1559" t="s">
        <v>8</v>
      </c>
      <c r="W19" s="1560">
        <f>J19</f>
        <v>100</v>
      </c>
      <c r="X19" s="1553"/>
      <c r="Y19" s="3411"/>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11"/>
      <c r="Q20" s="1558"/>
      <c r="R20" s="1559"/>
      <c r="S20" s="1560"/>
      <c r="T20" s="1559"/>
      <c r="U20" s="1560"/>
      <c r="V20" s="1559"/>
      <c r="W20" s="1560"/>
      <c r="X20" s="1553"/>
      <c r="Y20" s="3411"/>
      <c r="Z20" s="1561"/>
      <c r="AA20" s="1562">
        <v>1</v>
      </c>
      <c r="AB20" s="1562">
        <v>1</v>
      </c>
      <c r="AC20" s="1562">
        <v>1</v>
      </c>
    </row>
    <row r="21" spans="1:29" ht="28.5">
      <c r="A21" s="531"/>
      <c r="B21" s="255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11"/>
      <c r="Q21" s="2543" t="str">
        <f>B21</f>
        <v>基础设施水平</v>
      </c>
      <c r="R21" s="1559" t="s">
        <v>8</v>
      </c>
      <c r="S21" s="1560">
        <f>F21</f>
        <v>100</v>
      </c>
      <c r="T21" s="1559" t="s">
        <v>8</v>
      </c>
      <c r="U21" s="1560">
        <f>H21</f>
        <v>100</v>
      </c>
      <c r="V21" s="1559" t="s">
        <v>8</v>
      </c>
      <c r="W21" s="1560">
        <f>J21</f>
        <v>100</v>
      </c>
      <c r="X21" s="2545"/>
      <c r="Y21" s="3411"/>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11"/>
      <c r="Q22" s="2543"/>
      <c r="R22" s="1559"/>
      <c r="S22" s="1560"/>
      <c r="T22" s="1559"/>
      <c r="U22" s="1560"/>
      <c r="V22" s="1559"/>
      <c r="W22" s="1560"/>
      <c r="X22" s="2545"/>
      <c r="Y22" s="3411"/>
      <c r="Z22" s="2544"/>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11"/>
      <c r="Q23" s="1558" t="str">
        <f>B23</f>
        <v>环境质量</v>
      </c>
      <c r="R23" s="1559" t="s">
        <v>8</v>
      </c>
      <c r="S23" s="1560">
        <f>F23</f>
        <v>100</v>
      </c>
      <c r="T23" s="1559" t="s">
        <v>8</v>
      </c>
      <c r="U23" s="1560">
        <f>H23</f>
        <v>100</v>
      </c>
      <c r="V23" s="1559" t="s">
        <v>8</v>
      </c>
      <c r="W23" s="1560">
        <f>J23</f>
        <v>100</v>
      </c>
      <c r="X23" s="1553"/>
      <c r="Y23" s="3411"/>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11"/>
      <c r="Q24" s="1558"/>
      <c r="R24" s="1559"/>
      <c r="S24" s="1560"/>
      <c r="T24" s="1559"/>
      <c r="U24" s="1560"/>
      <c r="V24" s="1559"/>
      <c r="W24" s="1560"/>
      <c r="X24" s="1553"/>
      <c r="Y24" s="3411"/>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11"/>
      <c r="Q25" s="1558">
        <f>B25</f>
        <v>111</v>
      </c>
      <c r="R25" s="1559" t="s">
        <v>8</v>
      </c>
      <c r="S25" s="1560">
        <f>F25</f>
        <v>100</v>
      </c>
      <c r="T25" s="1559" t="s">
        <v>8</v>
      </c>
      <c r="U25" s="1560">
        <f>H25</f>
        <v>100</v>
      </c>
      <c r="V25" s="1559" t="s">
        <v>8</v>
      </c>
      <c r="W25" s="1560">
        <f>J25</f>
        <v>100</v>
      </c>
      <c r="X25" s="1553"/>
      <c r="Y25" s="3411"/>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11"/>
      <c r="Q26" s="1558">
        <f t="shared" ref="Q26:Q40" si="11">B26</f>
        <v>111</v>
      </c>
      <c r="R26" s="1559" t="s">
        <v>8</v>
      </c>
      <c r="S26" s="1560">
        <f>F26</f>
        <v>100</v>
      </c>
      <c r="T26" s="1559" t="s">
        <v>8</v>
      </c>
      <c r="U26" s="1560">
        <f>H26</f>
        <v>100</v>
      </c>
      <c r="V26" s="1559" t="s">
        <v>8</v>
      </c>
      <c r="W26" s="1560">
        <f>J26</f>
        <v>100</v>
      </c>
      <c r="X26" s="1553"/>
      <c r="Y26" s="3411"/>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11"/>
      <c r="Q27" s="1146">
        <f t="shared" si="11"/>
        <v>111</v>
      </c>
      <c r="R27" s="1554" t="s">
        <v>8</v>
      </c>
      <c r="S27" s="1555">
        <f>F27</f>
        <v>100</v>
      </c>
      <c r="T27" s="1554" t="s">
        <v>8</v>
      </c>
      <c r="U27" s="1555">
        <f>H27</f>
        <v>100</v>
      </c>
      <c r="V27" s="1554" t="s">
        <v>8</v>
      </c>
      <c r="W27" s="1555">
        <f>J27</f>
        <v>100</v>
      </c>
      <c r="X27" s="1556"/>
      <c r="Y27" s="3411"/>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11"/>
      <c r="Q28" s="1558">
        <f t="shared" si="11"/>
        <v>111</v>
      </c>
      <c r="R28" s="1559" t="s">
        <v>8</v>
      </c>
      <c r="S28" s="1560">
        <f t="shared" ref="S28:S40" si="12">F28</f>
        <v>100</v>
      </c>
      <c r="T28" s="1559" t="s">
        <v>8</v>
      </c>
      <c r="U28" s="1560">
        <f t="shared" ref="U28:U40" si="13">H28</f>
        <v>100</v>
      </c>
      <c r="V28" s="1559" t="s">
        <v>8</v>
      </c>
      <c r="W28" s="1560">
        <f t="shared" ref="W28:W40" si="14">J28</f>
        <v>100</v>
      </c>
      <c r="X28" s="1553"/>
      <c r="Y28" s="3411"/>
      <c r="Z28" s="1561">
        <f t="shared" ref="Z28:Z40" si="15">Q28</f>
        <v>111</v>
      </c>
      <c r="AA28" s="1562">
        <f t="shared" si="3"/>
        <v>1</v>
      </c>
      <c r="AB28" s="1562">
        <f t="shared" si="4"/>
        <v>1</v>
      </c>
      <c r="AC28" s="1562">
        <f t="shared" si="5"/>
        <v>1</v>
      </c>
    </row>
    <row r="29" spans="1:29" ht="15">
      <c r="A29" s="286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12" t="s">
        <v>550</v>
      </c>
      <c r="Q29" s="1558" t="str">
        <f t="shared" si="11"/>
        <v>建筑类型</v>
      </c>
      <c r="R29" s="1559" t="s">
        <v>8</v>
      </c>
      <c r="S29" s="1560">
        <f t="shared" si="12"/>
        <v>100</v>
      </c>
      <c r="T29" s="1559" t="s">
        <v>8</v>
      </c>
      <c r="U29" s="1560">
        <f t="shared" si="13"/>
        <v>100</v>
      </c>
      <c r="V29" s="1559" t="s">
        <v>8</v>
      </c>
      <c r="W29" s="1560">
        <f t="shared" si="14"/>
        <v>100</v>
      </c>
      <c r="X29" s="1553"/>
      <c r="Y29" s="3413"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3"/>
      <c r="Q30" s="1590" t="str">
        <f t="shared" si="11"/>
        <v>项目建筑规模</v>
      </c>
      <c r="R30" s="1563" t="s">
        <v>8</v>
      </c>
      <c r="S30" s="1564" t="e">
        <f t="shared" si="12"/>
        <v>#N/A</v>
      </c>
      <c r="T30" s="1563" t="s">
        <v>8</v>
      </c>
      <c r="U30" s="1564" t="e">
        <f t="shared" si="13"/>
        <v>#N/A</v>
      </c>
      <c r="V30" s="1563" t="s">
        <v>8</v>
      </c>
      <c r="W30" s="1564" t="e">
        <f t="shared" si="14"/>
        <v>#N/A</v>
      </c>
      <c r="X30" s="1565"/>
      <c r="Y30" s="3413"/>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3"/>
      <c r="Q31" s="1558" t="str">
        <f t="shared" si="11"/>
        <v>建筑结构</v>
      </c>
      <c r="R31" s="1559" t="s">
        <v>8</v>
      </c>
      <c r="S31" s="1560">
        <f t="shared" si="12"/>
        <v>100</v>
      </c>
      <c r="T31" s="1559" t="s">
        <v>8</v>
      </c>
      <c r="U31" s="1560">
        <f t="shared" si="13"/>
        <v>100</v>
      </c>
      <c r="V31" s="1559" t="s">
        <v>8</v>
      </c>
      <c r="W31" s="1560">
        <f t="shared" si="14"/>
        <v>100</v>
      </c>
      <c r="X31" s="1553"/>
      <c r="Y31" s="3413"/>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3"/>
      <c r="Q32" s="1558" t="str">
        <f t="shared" si="11"/>
        <v>公共部分装修</v>
      </c>
      <c r="R32" s="1559" t="s">
        <v>8</v>
      </c>
      <c r="S32" s="1560">
        <f t="shared" si="12"/>
        <v>100</v>
      </c>
      <c r="T32" s="1559" t="s">
        <v>8</v>
      </c>
      <c r="U32" s="1560">
        <f t="shared" si="13"/>
        <v>100</v>
      </c>
      <c r="V32" s="1559" t="s">
        <v>8</v>
      </c>
      <c r="W32" s="1560">
        <f t="shared" si="14"/>
        <v>100</v>
      </c>
      <c r="X32" s="1553"/>
      <c r="Y32" s="3413"/>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3"/>
      <c r="Q33" s="1558" t="str">
        <f t="shared" si="11"/>
        <v>成新度</v>
      </c>
      <c r="R33" s="1559" t="s">
        <v>8</v>
      </c>
      <c r="S33" s="1560" t="e">
        <f t="shared" si="12"/>
        <v>#N/A</v>
      </c>
      <c r="T33" s="1559" t="s">
        <v>8</v>
      </c>
      <c r="U33" s="1560" t="e">
        <f t="shared" si="13"/>
        <v>#N/A</v>
      </c>
      <c r="V33" s="1559" t="s">
        <v>8</v>
      </c>
      <c r="W33" s="1560" t="e">
        <f t="shared" si="14"/>
        <v>#N/A</v>
      </c>
      <c r="X33" s="1553"/>
      <c r="Y33" s="3413"/>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3"/>
      <c r="Q34" s="1146" t="str">
        <f t="shared" si="11"/>
        <v>物业管理</v>
      </c>
      <c r="R34" s="1554" t="s">
        <v>8</v>
      </c>
      <c r="S34" s="1555">
        <f t="shared" si="12"/>
        <v>100</v>
      </c>
      <c r="T34" s="1554" t="s">
        <v>8</v>
      </c>
      <c r="U34" s="1555">
        <f t="shared" si="13"/>
        <v>100</v>
      </c>
      <c r="V34" s="1554" t="s">
        <v>8</v>
      </c>
      <c r="W34" s="1555">
        <f t="shared" si="14"/>
        <v>100</v>
      </c>
      <c r="X34" s="1556"/>
      <c r="Y34" s="3413"/>
      <c r="Z34" s="1145" t="str">
        <f t="shared" si="15"/>
        <v>物业管理</v>
      </c>
      <c r="AA34" s="1557">
        <f t="shared" si="3"/>
        <v>1</v>
      </c>
      <c r="AB34" s="1557">
        <f t="shared" si="4"/>
        <v>1</v>
      </c>
      <c r="AC34" s="1557">
        <f t="shared" si="5"/>
        <v>1</v>
      </c>
    </row>
    <row r="35" spans="1:29" ht="15">
      <c r="A35" s="593"/>
      <c r="B35" s="1880"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3" t="s">
        <v>550</v>
      </c>
      <c r="Q35" s="1558" t="str">
        <f t="shared" si="11"/>
        <v>市政基础设施</v>
      </c>
      <c r="R35" s="1559" t="s">
        <v>8</v>
      </c>
      <c r="S35" s="1560">
        <f t="shared" si="12"/>
        <v>100</v>
      </c>
      <c r="T35" s="1559" t="s">
        <v>8</v>
      </c>
      <c r="U35" s="1560">
        <f t="shared" si="13"/>
        <v>100</v>
      </c>
      <c r="V35" s="1559" t="s">
        <v>8</v>
      </c>
      <c r="W35" s="1560">
        <f t="shared" si="14"/>
        <v>100</v>
      </c>
      <c r="X35" s="1553"/>
      <c r="Y35" s="3413"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3"/>
      <c r="Q36" s="1558" t="str">
        <f t="shared" si="11"/>
        <v>内部装修</v>
      </c>
      <c r="R36" s="1559" t="s">
        <v>8</v>
      </c>
      <c r="S36" s="1560">
        <f t="shared" si="12"/>
        <v>100</v>
      </c>
      <c r="T36" s="1559" t="s">
        <v>8</v>
      </c>
      <c r="U36" s="1560">
        <f t="shared" si="13"/>
        <v>100</v>
      </c>
      <c r="V36" s="1559" t="s">
        <v>8</v>
      </c>
      <c r="W36" s="1560">
        <f t="shared" si="14"/>
        <v>100</v>
      </c>
      <c r="X36" s="1553"/>
      <c r="Y36" s="3413"/>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3"/>
      <c r="Q37" s="1558" t="str">
        <f t="shared" si="11"/>
        <v>内部装修状况</v>
      </c>
      <c r="R37" s="1559" t="s">
        <v>8</v>
      </c>
      <c r="S37" s="1560">
        <f t="shared" si="12"/>
        <v>100</v>
      </c>
      <c r="T37" s="1559" t="s">
        <v>8</v>
      </c>
      <c r="U37" s="1560">
        <f t="shared" si="13"/>
        <v>100</v>
      </c>
      <c r="V37" s="1559" t="s">
        <v>8</v>
      </c>
      <c r="W37" s="1560">
        <f t="shared" si="14"/>
        <v>100</v>
      </c>
      <c r="X37" s="1553"/>
      <c r="Y37" s="3413"/>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3"/>
      <c r="Q38" s="1590">
        <f t="shared" si="11"/>
        <v>111</v>
      </c>
      <c r="R38" s="1563" t="s">
        <v>8</v>
      </c>
      <c r="S38" s="1564">
        <f t="shared" si="12"/>
        <v>100</v>
      </c>
      <c r="T38" s="1563" t="s">
        <v>8</v>
      </c>
      <c r="U38" s="1564">
        <f t="shared" si="13"/>
        <v>100</v>
      </c>
      <c r="V38" s="1563" t="s">
        <v>8</v>
      </c>
      <c r="W38" s="1564">
        <f t="shared" si="14"/>
        <v>100</v>
      </c>
      <c r="X38" s="1565"/>
      <c r="Y38" s="3413"/>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3"/>
      <c r="Q39" s="1558">
        <f t="shared" si="11"/>
        <v>111</v>
      </c>
      <c r="R39" s="1559" t="s">
        <v>8</v>
      </c>
      <c r="S39" s="1560">
        <f t="shared" si="12"/>
        <v>100</v>
      </c>
      <c r="T39" s="1559" t="s">
        <v>8</v>
      </c>
      <c r="U39" s="1560">
        <f t="shared" si="13"/>
        <v>100</v>
      </c>
      <c r="V39" s="1559" t="s">
        <v>8</v>
      </c>
      <c r="W39" s="1560">
        <f t="shared" si="14"/>
        <v>100</v>
      </c>
      <c r="X39" s="1553"/>
      <c r="Y39" s="3413"/>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71"/>
      <c r="Q40" s="1558">
        <f t="shared" si="11"/>
        <v>111</v>
      </c>
      <c r="R40" s="1559" t="s">
        <v>8</v>
      </c>
      <c r="S40" s="1560">
        <f t="shared" si="12"/>
        <v>100</v>
      </c>
      <c r="T40" s="1559" t="s">
        <v>8</v>
      </c>
      <c r="U40" s="1560">
        <f t="shared" si="13"/>
        <v>100</v>
      </c>
      <c r="V40" s="1559" t="s">
        <v>8</v>
      </c>
      <c r="W40" s="1560">
        <f t="shared" si="14"/>
        <v>100</v>
      </c>
      <c r="X40" s="1553"/>
      <c r="Y40" s="3471"/>
      <c r="Z40" s="1561">
        <f t="shared" si="15"/>
        <v>111</v>
      </c>
      <c r="AA40" s="1562">
        <f t="shared" si="3"/>
        <v>1</v>
      </c>
      <c r="AB40" s="1562">
        <f t="shared" si="4"/>
        <v>1</v>
      </c>
      <c r="AC40" s="1562">
        <f t="shared" si="5"/>
        <v>1</v>
      </c>
    </row>
    <row r="41" spans="1:29" ht="15">
      <c r="A41" s="606" t="s">
        <v>736</v>
      </c>
      <c r="B41" s="886"/>
      <c r="C41" s="2590" t="s">
        <v>1</v>
      </c>
      <c r="D41" s="2591"/>
      <c r="E41" s="2592"/>
      <c r="F41" s="2593"/>
      <c r="G41" s="2594"/>
      <c r="H41" s="2595"/>
      <c r="I41" s="2592"/>
      <c r="J41" s="2595"/>
      <c r="K41" s="1596"/>
      <c r="L41" s="2129"/>
      <c r="M41" s="2130"/>
      <c r="N41" s="2119"/>
      <c r="O41" s="2130"/>
      <c r="P41" s="3376" t="str">
        <f>A41</f>
        <v>成交单价（元/平方米）</v>
      </c>
      <c r="Q41" s="3376"/>
      <c r="R41" s="3470">
        <f>E41</f>
        <v>0</v>
      </c>
      <c r="S41" s="3470"/>
      <c r="T41" s="3470">
        <f>G41</f>
        <v>0</v>
      </c>
      <c r="U41" s="3470"/>
      <c r="V41" s="3470">
        <f>I41</f>
        <v>0</v>
      </c>
      <c r="W41" s="3470"/>
      <c r="X41" s="1545"/>
      <c r="Y41" s="1567"/>
      <c r="Z41" s="1545"/>
      <c r="AA41" s="1545"/>
      <c r="AB41" s="1545"/>
      <c r="AC41" s="1545"/>
    </row>
    <row r="42" spans="1:29" ht="15.75" thickBot="1">
      <c r="A42" s="614" t="s">
        <v>2759</v>
      </c>
      <c r="B42" s="887"/>
      <c r="C42" s="2596" t="e">
        <f>R43</f>
        <v>#DIV/0!</v>
      </c>
      <c r="D42" s="2597"/>
      <c r="E42" s="2598" t="e">
        <f>R42</f>
        <v>#DIV/0!</v>
      </c>
      <c r="F42" s="2598"/>
      <c r="G42" s="2596" t="e">
        <f>T42</f>
        <v>#DIV/0!</v>
      </c>
      <c r="H42" s="2597"/>
      <c r="I42" s="2598" t="e">
        <f>V42</f>
        <v>#DIV/0!</v>
      </c>
      <c r="J42" s="2597"/>
      <c r="K42" s="1597"/>
      <c r="L42" s="2129"/>
      <c r="M42" s="2130"/>
      <c r="N42" s="2119"/>
      <c r="O42" s="2130"/>
      <c r="P42" s="3376" t="str">
        <f>A42</f>
        <v>比较价格（元/平方米）</v>
      </c>
      <c r="Q42" s="3376"/>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45"/>
      <c r="Y42" s="1545"/>
      <c r="Z42" s="1545"/>
      <c r="AA42" s="1545"/>
      <c r="AB42" s="1545"/>
      <c r="AC42" s="1545"/>
    </row>
    <row r="43" spans="1:29" ht="15.75" thickBot="1">
      <c r="A43" s="620" t="s">
        <v>2932</v>
      </c>
      <c r="B43" s="621"/>
      <c r="C43" s="2599" t="e">
        <f>R43</f>
        <v>#DIV/0!</v>
      </c>
      <c r="D43" s="2599"/>
      <c r="E43" s="2599"/>
      <c r="F43" s="2599"/>
      <c r="G43" s="2599"/>
      <c r="H43" s="2599"/>
      <c r="I43" s="2599"/>
      <c r="J43" s="2599"/>
      <c r="K43" s="1598"/>
      <c r="L43" s="2129"/>
      <c r="M43" s="2130"/>
      <c r="N43" s="2130"/>
      <c r="O43" s="2130"/>
      <c r="P43" s="3373" t="str">
        <f>A43</f>
        <v>估价对象XX用房的比较价格（楼面单价，元/平方米）</v>
      </c>
      <c r="Q43" s="3374"/>
      <c r="R43" s="3469" t="e">
        <f>IF(F1="售价",ROUND(AVERAGE(R42:V42),0),ROUND(AVERAGE(R42:V42),1))</f>
        <v>#DIV/0!</v>
      </c>
      <c r="S43" s="3469"/>
      <c r="T43" s="3469"/>
      <c r="U43" s="3469"/>
      <c r="V43" s="3469"/>
      <c r="W43" s="346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2557</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2558</v>
      </c>
      <c r="C76" s="2562" t="s">
        <v>2559</v>
      </c>
      <c r="D76" s="2562" t="s">
        <v>2560</v>
      </c>
      <c r="E76" s="2562" t="s">
        <v>2561</v>
      </c>
      <c r="F76" s="2562" t="s">
        <v>2562</v>
      </c>
      <c r="G76" s="2562" t="s">
        <v>2563</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2556</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2076</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2" t="s">
        <v>798</v>
      </c>
      <c r="D4" s="3383"/>
      <c r="E4" s="3382" t="s">
        <v>799</v>
      </c>
      <c r="F4" s="3383"/>
      <c r="G4" s="3382" t="s">
        <v>800</v>
      </c>
      <c r="H4" s="3383"/>
      <c r="I4" s="3382" t="s">
        <v>801</v>
      </c>
      <c r="J4" s="3383"/>
      <c r="K4" s="513" t="s">
        <v>802</v>
      </c>
      <c r="L4" s="2118"/>
      <c r="M4" s="2119"/>
      <c r="N4" s="2119"/>
      <c r="O4" s="2119"/>
      <c r="P4" s="3384" t="s">
        <v>803</v>
      </c>
      <c r="Q4" s="3385"/>
      <c r="R4" s="3390" t="s">
        <v>799</v>
      </c>
      <c r="S4" s="3391"/>
      <c r="T4" s="3390" t="s">
        <v>800</v>
      </c>
      <c r="U4" s="3391"/>
      <c r="V4" s="3377" t="s">
        <v>801</v>
      </c>
      <c r="W4" s="3377"/>
      <c r="X4" s="1553"/>
      <c r="Y4" s="3390" t="s">
        <v>803</v>
      </c>
      <c r="Z4" s="3391"/>
      <c r="AA4" s="3379" t="s">
        <v>799</v>
      </c>
      <c r="AB4" s="3380" t="s">
        <v>800</v>
      </c>
      <c r="AC4" s="3379" t="s">
        <v>801</v>
      </c>
    </row>
    <row r="5" spans="1:29" ht="15">
      <c r="A5" s="514"/>
      <c r="B5" s="515"/>
      <c r="C5" s="3398" t="s">
        <v>2926</v>
      </c>
      <c r="D5" s="3399"/>
      <c r="E5" s="3398" t="s">
        <v>2927</v>
      </c>
      <c r="F5" s="3399"/>
      <c r="G5" s="3398" t="s">
        <v>2928</v>
      </c>
      <c r="H5" s="3399"/>
      <c r="I5" s="3398" t="s">
        <v>2929</v>
      </c>
      <c r="J5" s="3399"/>
      <c r="K5" s="513"/>
      <c r="L5" s="2118"/>
      <c r="M5" s="2119"/>
      <c r="N5" s="2119"/>
      <c r="O5" s="2119"/>
      <c r="P5" s="3386"/>
      <c r="Q5" s="3387"/>
      <c r="R5" s="3392"/>
      <c r="S5" s="3393"/>
      <c r="T5" s="3392"/>
      <c r="U5" s="3393"/>
      <c r="V5" s="3377"/>
      <c r="W5" s="3377"/>
      <c r="X5" s="1553"/>
      <c r="Y5" s="3392"/>
      <c r="Z5" s="3393"/>
      <c r="AA5" s="3380"/>
      <c r="AB5" s="3380"/>
      <c r="AC5" s="3380"/>
    </row>
    <row r="6" spans="1:29" ht="15.75" thickBot="1">
      <c r="A6" s="516"/>
      <c r="B6" s="517"/>
      <c r="C6" s="3396" t="s">
        <v>2930</v>
      </c>
      <c r="D6" s="3397"/>
      <c r="E6" s="3400" t="s">
        <v>2930</v>
      </c>
      <c r="F6" s="3401"/>
      <c r="G6" s="3396" t="s">
        <v>2930</v>
      </c>
      <c r="H6" s="3397"/>
      <c r="I6" s="3396" t="s">
        <v>2930</v>
      </c>
      <c r="J6" s="3397"/>
      <c r="K6" s="513" t="s">
        <v>528</v>
      </c>
      <c r="L6" s="2118"/>
      <c r="M6" s="2119"/>
      <c r="N6" s="2119"/>
      <c r="O6" s="2119"/>
      <c r="P6" s="3388"/>
      <c r="Q6" s="3389"/>
      <c r="R6" s="3392"/>
      <c r="S6" s="3393"/>
      <c r="T6" s="3394"/>
      <c r="U6" s="3395"/>
      <c r="V6" s="3377"/>
      <c r="W6" s="3377"/>
      <c r="X6" s="1553"/>
      <c r="Y6" s="3394"/>
      <c r="Z6" s="3395"/>
      <c r="AA6" s="3381"/>
      <c r="AB6" s="3381"/>
      <c r="AC6" s="3381"/>
    </row>
    <row r="7" spans="1:29" s="1215" customFormat="1" ht="15.75" thickBot="1">
      <c r="A7" s="2866"/>
      <c r="B7" s="2873" t="s">
        <v>529</v>
      </c>
      <c r="C7" s="518">
        <f>'数据-取费表'!B2</f>
        <v>43754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07" t="s">
        <v>530</v>
      </c>
      <c r="Q7" s="3409"/>
      <c r="R7" s="1554" t="s">
        <v>8</v>
      </c>
      <c r="S7" s="1555">
        <f t="shared" ref="S7:S14" si="0">F7</f>
        <v>0</v>
      </c>
      <c r="T7" s="1554" t="s">
        <v>8</v>
      </c>
      <c r="U7" s="1555">
        <f t="shared" ref="U7:U14" si="1">H7</f>
        <v>0</v>
      </c>
      <c r="V7" s="1554" t="s">
        <v>8</v>
      </c>
      <c r="W7" s="1555">
        <f t="shared" ref="W7:W14" si="2">J7</f>
        <v>0</v>
      </c>
      <c r="X7" s="1556"/>
      <c r="Y7" s="3407" t="s">
        <v>530</v>
      </c>
      <c r="Z7" s="3408"/>
      <c r="AA7" s="1557" t="e">
        <f>D7/F7</f>
        <v>#DIV/0!</v>
      </c>
      <c r="AB7" s="1557" t="e">
        <f>D7/H7</f>
        <v>#DIV/0!</v>
      </c>
      <c r="AC7" s="1557"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07" t="s">
        <v>533</v>
      </c>
      <c r="Q8" s="3408"/>
      <c r="R8" s="1554" t="s">
        <v>8</v>
      </c>
      <c r="S8" s="1555">
        <f t="shared" si="0"/>
        <v>0</v>
      </c>
      <c r="T8" s="1554" t="s">
        <v>8</v>
      </c>
      <c r="U8" s="1555">
        <f t="shared" si="1"/>
        <v>0</v>
      </c>
      <c r="V8" s="1554" t="s">
        <v>8</v>
      </c>
      <c r="W8" s="1555">
        <f t="shared" si="2"/>
        <v>0</v>
      </c>
      <c r="X8" s="1556"/>
      <c r="Y8" s="3407" t="s">
        <v>533</v>
      </c>
      <c r="Z8" s="3408"/>
      <c r="AA8" s="1557" t="e">
        <f t="shared" ref="AA8:AA36" si="3">D8/F8</f>
        <v>#DIV/0!</v>
      </c>
      <c r="AB8" s="1557" t="e">
        <f t="shared" ref="AB8:AB36" si="4">D8/H8</f>
        <v>#DIV/0!</v>
      </c>
      <c r="AC8" s="1557" t="e">
        <f t="shared" ref="AC8:AC36" si="5">D8/J8</f>
        <v>#DIV/0!</v>
      </c>
    </row>
    <row r="9" spans="1:29" s="1215"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6" t="s">
        <v>535</v>
      </c>
      <c r="Q9" s="1146" t="str">
        <f t="shared" ref="Q9:Q14" si="6">B9</f>
        <v>用途</v>
      </c>
      <c r="R9" s="1554" t="s">
        <v>8</v>
      </c>
      <c r="S9" s="1555">
        <f t="shared" si="0"/>
        <v>100</v>
      </c>
      <c r="T9" s="1554" t="s">
        <v>8</v>
      </c>
      <c r="U9" s="1555">
        <f t="shared" si="1"/>
        <v>100</v>
      </c>
      <c r="V9" s="1554" t="s">
        <v>8</v>
      </c>
      <c r="W9" s="1555">
        <f t="shared" si="2"/>
        <v>100</v>
      </c>
      <c r="X9" s="1556"/>
      <c r="Y9" s="3322" t="s">
        <v>536</v>
      </c>
      <c r="Z9" s="1145" t="str">
        <f t="shared" ref="Z9:Z14" si="7">Q9</f>
        <v>用途</v>
      </c>
      <c r="AA9" s="1557">
        <f t="shared" si="3"/>
        <v>1</v>
      </c>
      <c r="AB9" s="1557">
        <f t="shared" si="4"/>
        <v>1</v>
      </c>
      <c r="AC9" s="1557">
        <f t="shared" si="5"/>
        <v>1</v>
      </c>
    </row>
    <row r="10" spans="1:29" s="1333"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6"/>
      <c r="Q11" s="1146">
        <f t="shared" si="6"/>
        <v>111</v>
      </c>
      <c r="R11" s="1554" t="s">
        <v>8</v>
      </c>
      <c r="S11" s="1555">
        <f t="shared" si="0"/>
        <v>100</v>
      </c>
      <c r="T11" s="1554" t="s">
        <v>8</v>
      </c>
      <c r="U11" s="1555">
        <f t="shared" si="1"/>
        <v>100</v>
      </c>
      <c r="V11" s="1554" t="s">
        <v>8</v>
      </c>
      <c r="W11" s="1555">
        <f t="shared" si="2"/>
        <v>100</v>
      </c>
      <c r="X11" s="1556"/>
      <c r="Y11" s="3322"/>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6"/>
      <c r="Q12" s="1146">
        <f t="shared" si="6"/>
        <v>111</v>
      </c>
      <c r="R12" s="1554" t="s">
        <v>8</v>
      </c>
      <c r="S12" s="1555">
        <f t="shared" si="0"/>
        <v>100</v>
      </c>
      <c r="T12" s="1554" t="s">
        <v>8</v>
      </c>
      <c r="U12" s="1555">
        <f t="shared" si="1"/>
        <v>100</v>
      </c>
      <c r="V12" s="1554" t="s">
        <v>8</v>
      </c>
      <c r="W12" s="1555">
        <f t="shared" si="2"/>
        <v>100</v>
      </c>
      <c r="X12" s="1556"/>
      <c r="Y12" s="3322"/>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6"/>
      <c r="Q13" s="1146">
        <f t="shared" si="6"/>
        <v>111</v>
      </c>
      <c r="R13" s="1554" t="s">
        <v>8</v>
      </c>
      <c r="S13" s="1555">
        <f t="shared" si="0"/>
        <v>100</v>
      </c>
      <c r="T13" s="1554" t="s">
        <v>8</v>
      </c>
      <c r="U13" s="1555">
        <f t="shared" si="1"/>
        <v>100</v>
      </c>
      <c r="V13" s="1554" t="s">
        <v>8</v>
      </c>
      <c r="W13" s="1555">
        <f t="shared" si="2"/>
        <v>100</v>
      </c>
      <c r="X13" s="1556"/>
      <c r="Y13" s="3322"/>
      <c r="Z13" s="1145">
        <f t="shared" si="7"/>
        <v>111</v>
      </c>
      <c r="AA13" s="1557">
        <f t="shared" si="3"/>
        <v>1</v>
      </c>
      <c r="AB13" s="1557">
        <f t="shared" si="4"/>
        <v>1</v>
      </c>
      <c r="AC13" s="1557">
        <f t="shared" si="5"/>
        <v>1</v>
      </c>
    </row>
    <row r="14" spans="1:29" ht="99.75">
      <c r="A14" s="2864"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10" t="s">
        <v>540</v>
      </c>
      <c r="Q14" s="1558" t="str">
        <f t="shared" si="6"/>
        <v>交通便捷度</v>
      </c>
      <c r="R14" s="1559" t="s">
        <v>8</v>
      </c>
      <c r="S14" s="1560">
        <f t="shared" si="0"/>
        <v>100</v>
      </c>
      <c r="T14" s="1559" t="s">
        <v>8</v>
      </c>
      <c r="U14" s="1560">
        <f t="shared" si="1"/>
        <v>100</v>
      </c>
      <c r="V14" s="1559" t="s">
        <v>8</v>
      </c>
      <c r="W14" s="1560">
        <f t="shared" si="2"/>
        <v>100</v>
      </c>
      <c r="X14" s="1553"/>
      <c r="Y14" s="3410"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11"/>
      <c r="Q15" s="1558"/>
      <c r="R15" s="1559"/>
      <c r="S15" s="1560"/>
      <c r="T15" s="1559"/>
      <c r="U15" s="1560"/>
      <c r="V15" s="1559"/>
      <c r="W15" s="1560"/>
      <c r="X15" s="1553"/>
      <c r="Y15" s="3411"/>
      <c r="Z15" s="1561"/>
      <c r="AA15" s="1562">
        <v>1</v>
      </c>
      <c r="AB15" s="1562">
        <v>1</v>
      </c>
      <c r="AC15" s="1562">
        <v>1</v>
      </c>
    </row>
    <row r="16" spans="1:29" ht="42.75">
      <c r="A16" s="514"/>
      <c r="B16" s="256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11"/>
      <c r="Q16" s="1558" t="str">
        <f>B16</f>
        <v>公共配套设施</v>
      </c>
      <c r="R16" s="1559" t="s">
        <v>8</v>
      </c>
      <c r="S16" s="1560">
        <f>F16</f>
        <v>100</v>
      </c>
      <c r="T16" s="1559" t="s">
        <v>8</v>
      </c>
      <c r="U16" s="1560">
        <f>H16</f>
        <v>100</v>
      </c>
      <c r="V16" s="1559" t="s">
        <v>8</v>
      </c>
      <c r="W16" s="1560">
        <f>J16</f>
        <v>100</v>
      </c>
      <c r="X16" s="1553"/>
      <c r="Y16" s="3411"/>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11"/>
      <c r="Q17" s="1558"/>
      <c r="R17" s="1559"/>
      <c r="S17" s="1560"/>
      <c r="T17" s="1559"/>
      <c r="U17" s="1560"/>
      <c r="V17" s="1559"/>
      <c r="W17" s="1560"/>
      <c r="X17" s="1553"/>
      <c r="Y17" s="3411"/>
      <c r="Z17" s="1561"/>
      <c r="AA17" s="1562">
        <v>1</v>
      </c>
      <c r="AB17" s="1562">
        <v>1</v>
      </c>
      <c r="AC17" s="1562">
        <v>1</v>
      </c>
    </row>
    <row r="18" spans="1:29" ht="42.75">
      <c r="A18" s="514"/>
      <c r="B18" s="255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11"/>
      <c r="Q18" s="2543" t="str">
        <f>B18</f>
        <v>基础设施水平</v>
      </c>
      <c r="R18" s="1559" t="s">
        <v>8</v>
      </c>
      <c r="S18" s="1560">
        <f>F18</f>
        <v>100</v>
      </c>
      <c r="T18" s="1559" t="s">
        <v>8</v>
      </c>
      <c r="U18" s="1560">
        <f>H18</f>
        <v>100</v>
      </c>
      <c r="V18" s="1559" t="s">
        <v>8</v>
      </c>
      <c r="W18" s="1560">
        <f>J18</f>
        <v>100</v>
      </c>
      <c r="X18" s="2545"/>
      <c r="Y18" s="3411"/>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11"/>
      <c r="Q19" s="2543"/>
      <c r="R19" s="1559"/>
      <c r="S19" s="1560"/>
      <c r="T19" s="1559"/>
      <c r="U19" s="1560"/>
      <c r="V19" s="1559"/>
      <c r="W19" s="1560"/>
      <c r="X19" s="2545"/>
      <c r="Y19" s="3411"/>
      <c r="Z19" s="2544"/>
      <c r="AA19" s="1562">
        <v>1</v>
      </c>
      <c r="AB19" s="1562">
        <v>1</v>
      </c>
      <c r="AC19" s="1562">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11"/>
      <c r="Q20" s="1558" t="str">
        <f>B20</f>
        <v>自然及人文环境</v>
      </c>
      <c r="R20" s="1559" t="s">
        <v>8</v>
      </c>
      <c r="S20" s="1560">
        <f>F20</f>
        <v>100</v>
      </c>
      <c r="T20" s="1559" t="s">
        <v>8</v>
      </c>
      <c r="U20" s="1560">
        <f>H20</f>
        <v>100</v>
      </c>
      <c r="V20" s="1559" t="s">
        <v>8</v>
      </c>
      <c r="W20" s="1560">
        <f>J20</f>
        <v>100</v>
      </c>
      <c r="X20" s="1553"/>
      <c r="Y20" s="3411"/>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11"/>
      <c r="Q21" s="1558"/>
      <c r="R21" s="1559"/>
      <c r="S21" s="1560"/>
      <c r="T21" s="1559"/>
      <c r="U21" s="1560"/>
      <c r="V21" s="1559"/>
      <c r="W21" s="1560"/>
      <c r="X21" s="1553"/>
      <c r="Y21" s="3411"/>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11"/>
      <c r="Q22" s="1558" t="str">
        <f>B22</f>
        <v>楼层</v>
      </c>
      <c r="R22" s="1559" t="s">
        <v>8</v>
      </c>
      <c r="S22" s="1560">
        <f>F22</f>
        <v>100</v>
      </c>
      <c r="T22" s="1559" t="s">
        <v>8</v>
      </c>
      <c r="U22" s="1560">
        <f>H22</f>
        <v>100</v>
      </c>
      <c r="V22" s="1559" t="s">
        <v>8</v>
      </c>
      <c r="W22" s="1560">
        <f>J22</f>
        <v>100</v>
      </c>
      <c r="X22" s="1553"/>
      <c r="Y22" s="3411"/>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11"/>
      <c r="Q23" s="1558">
        <f>B23</f>
        <v>111</v>
      </c>
      <c r="R23" s="1559" t="s">
        <v>8</v>
      </c>
      <c r="S23" s="1560">
        <f>F23</f>
        <v>100</v>
      </c>
      <c r="T23" s="1559" t="s">
        <v>8</v>
      </c>
      <c r="U23" s="1560">
        <f>H23</f>
        <v>100</v>
      </c>
      <c r="V23" s="1559" t="s">
        <v>8</v>
      </c>
      <c r="W23" s="1560">
        <f>J23</f>
        <v>100</v>
      </c>
      <c r="X23" s="1553"/>
      <c r="Y23" s="3411"/>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11"/>
      <c r="Q24" s="1558">
        <f t="shared" ref="Q24:Q36" si="11">B24</f>
        <v>111</v>
      </c>
      <c r="R24" s="1559" t="s">
        <v>8</v>
      </c>
      <c r="S24" s="1560">
        <f>F24</f>
        <v>100</v>
      </c>
      <c r="T24" s="1559" t="s">
        <v>8</v>
      </c>
      <c r="U24" s="1560">
        <f>H24</f>
        <v>100</v>
      </c>
      <c r="V24" s="1559" t="s">
        <v>8</v>
      </c>
      <c r="W24" s="1560">
        <f>J24</f>
        <v>100</v>
      </c>
      <c r="X24" s="1553"/>
      <c r="Y24" s="3411"/>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11"/>
      <c r="Q25" s="1146">
        <f t="shared" si="11"/>
        <v>111</v>
      </c>
      <c r="R25" s="1554" t="s">
        <v>8</v>
      </c>
      <c r="S25" s="1555">
        <f>F25</f>
        <v>100</v>
      </c>
      <c r="T25" s="1554" t="s">
        <v>8</v>
      </c>
      <c r="U25" s="1555">
        <f>H25</f>
        <v>100</v>
      </c>
      <c r="V25" s="1554" t="s">
        <v>8</v>
      </c>
      <c r="W25" s="1555">
        <f>J25</f>
        <v>100</v>
      </c>
      <c r="X25" s="1556"/>
      <c r="Y25" s="3411"/>
      <c r="Z25" s="1145">
        <f>Q25</f>
        <v>111</v>
      </c>
      <c r="AA25" s="1562">
        <f>D25/F25</f>
        <v>1</v>
      </c>
      <c r="AB25" s="1562">
        <f>D25/H25</f>
        <v>1</v>
      </c>
      <c r="AC25" s="1562">
        <f>D25/J25</f>
        <v>1</v>
      </c>
    </row>
    <row r="26" spans="1:29" ht="15">
      <c r="A26" s="2861" t="s">
        <v>2754</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1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3"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3"/>
      <c r="Q27" s="1590" t="str">
        <f t="shared" si="11"/>
        <v>项目停车位配比</v>
      </c>
      <c r="R27" s="1563" t="s">
        <v>8</v>
      </c>
      <c r="S27" s="1564">
        <f t="shared" si="12"/>
        <v>100</v>
      </c>
      <c r="T27" s="1563" t="s">
        <v>8</v>
      </c>
      <c r="U27" s="1564">
        <f t="shared" si="13"/>
        <v>100</v>
      </c>
      <c r="V27" s="1563" t="s">
        <v>8</v>
      </c>
      <c r="W27" s="1564">
        <f t="shared" si="14"/>
        <v>100</v>
      </c>
      <c r="X27" s="1565"/>
      <c r="Y27" s="3413"/>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3"/>
      <c r="Q28" s="1558" t="str">
        <f t="shared" si="11"/>
        <v>公共部分装修</v>
      </c>
      <c r="R28" s="1559" t="s">
        <v>8</v>
      </c>
      <c r="S28" s="1560">
        <f t="shared" si="12"/>
        <v>100</v>
      </c>
      <c r="T28" s="1559" t="s">
        <v>8</v>
      </c>
      <c r="U28" s="1560">
        <f t="shared" si="13"/>
        <v>100</v>
      </c>
      <c r="V28" s="1559" t="s">
        <v>8</v>
      </c>
      <c r="W28" s="1560">
        <f t="shared" si="14"/>
        <v>100</v>
      </c>
      <c r="X28" s="1553"/>
      <c r="Y28" s="3413"/>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3"/>
      <c r="Q29" s="1558" t="str">
        <f t="shared" si="11"/>
        <v>成新率</v>
      </c>
      <c r="R29" s="1559" t="s">
        <v>8</v>
      </c>
      <c r="S29" s="1560" t="e">
        <f t="shared" si="12"/>
        <v>#N/A</v>
      </c>
      <c r="T29" s="1559" t="s">
        <v>8</v>
      </c>
      <c r="U29" s="1560" t="e">
        <f t="shared" si="13"/>
        <v>#N/A</v>
      </c>
      <c r="V29" s="1559" t="s">
        <v>8</v>
      </c>
      <c r="W29" s="1560" t="e">
        <f t="shared" si="14"/>
        <v>#N/A</v>
      </c>
      <c r="X29" s="1553"/>
      <c r="Y29" s="3413"/>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3"/>
      <c r="Q30" s="1558" t="str">
        <f t="shared" si="11"/>
        <v>物业等级</v>
      </c>
      <c r="R30" s="1559" t="s">
        <v>8</v>
      </c>
      <c r="S30" s="1560">
        <f t="shared" si="12"/>
        <v>100</v>
      </c>
      <c r="T30" s="1559" t="s">
        <v>8</v>
      </c>
      <c r="U30" s="1560">
        <f t="shared" si="13"/>
        <v>100</v>
      </c>
      <c r="V30" s="1559" t="s">
        <v>8</v>
      </c>
      <c r="W30" s="1560">
        <f t="shared" si="14"/>
        <v>100</v>
      </c>
      <c r="X30" s="1553"/>
      <c r="Y30" s="3413"/>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3"/>
      <c r="Q31" s="1146" t="str">
        <f t="shared" si="11"/>
        <v>停车位面积</v>
      </c>
      <c r="R31" s="1554" t="s">
        <v>8</v>
      </c>
      <c r="S31" s="1555" t="e">
        <f t="shared" si="12"/>
        <v>#N/A</v>
      </c>
      <c r="T31" s="1554" t="s">
        <v>8</v>
      </c>
      <c r="U31" s="1555" t="e">
        <f t="shared" si="13"/>
        <v>#N/A</v>
      </c>
      <c r="V31" s="1554" t="s">
        <v>8</v>
      </c>
      <c r="W31" s="1555" t="e">
        <f t="shared" si="14"/>
        <v>#N/A</v>
      </c>
      <c r="X31" s="1556"/>
      <c r="Y31" s="3413"/>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3" t="s">
        <v>550</v>
      </c>
      <c r="Q32" s="1558" t="str">
        <f t="shared" si="11"/>
        <v>车位类型</v>
      </c>
      <c r="R32" s="1559" t="s">
        <v>8</v>
      </c>
      <c r="S32" s="1560">
        <f t="shared" si="12"/>
        <v>100</v>
      </c>
      <c r="T32" s="1559" t="s">
        <v>8</v>
      </c>
      <c r="U32" s="1560">
        <f t="shared" si="13"/>
        <v>100</v>
      </c>
      <c r="V32" s="1559" t="s">
        <v>8</v>
      </c>
      <c r="W32" s="1560">
        <f t="shared" si="14"/>
        <v>100</v>
      </c>
      <c r="X32" s="1553"/>
      <c r="Y32" s="3413"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3"/>
      <c r="Q33" s="1558" t="str">
        <f t="shared" si="11"/>
        <v>是否直接入户</v>
      </c>
      <c r="R33" s="1559" t="s">
        <v>8</v>
      </c>
      <c r="S33" s="1560">
        <f t="shared" si="12"/>
        <v>100</v>
      </c>
      <c r="T33" s="1559" t="s">
        <v>8</v>
      </c>
      <c r="U33" s="1560">
        <f t="shared" si="13"/>
        <v>100</v>
      </c>
      <c r="V33" s="1559" t="s">
        <v>8</v>
      </c>
      <c r="W33" s="1560">
        <f t="shared" si="14"/>
        <v>100</v>
      </c>
      <c r="X33" s="1553"/>
      <c r="Y33" s="3413"/>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3"/>
      <c r="Q34" s="1558">
        <f t="shared" si="11"/>
        <v>111</v>
      </c>
      <c r="R34" s="1559" t="s">
        <v>8</v>
      </c>
      <c r="S34" s="1560">
        <f t="shared" si="12"/>
        <v>100</v>
      </c>
      <c r="T34" s="1559" t="s">
        <v>8</v>
      </c>
      <c r="U34" s="1560">
        <f t="shared" si="13"/>
        <v>100</v>
      </c>
      <c r="V34" s="1559" t="s">
        <v>8</v>
      </c>
      <c r="W34" s="1560">
        <f t="shared" si="14"/>
        <v>100</v>
      </c>
      <c r="X34" s="1553"/>
      <c r="Y34" s="3413"/>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3"/>
      <c r="Q35" s="1590">
        <f t="shared" si="11"/>
        <v>111</v>
      </c>
      <c r="R35" s="1563" t="s">
        <v>8</v>
      </c>
      <c r="S35" s="1564">
        <f t="shared" si="12"/>
        <v>100</v>
      </c>
      <c r="T35" s="1563" t="s">
        <v>8</v>
      </c>
      <c r="U35" s="1564">
        <f t="shared" si="13"/>
        <v>100</v>
      </c>
      <c r="V35" s="1563" t="s">
        <v>8</v>
      </c>
      <c r="W35" s="1564">
        <f t="shared" si="14"/>
        <v>100</v>
      </c>
      <c r="X35" s="1565"/>
      <c r="Y35" s="3413"/>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3"/>
      <c r="Q36" s="1558">
        <f t="shared" si="11"/>
        <v>111</v>
      </c>
      <c r="R36" s="1559" t="s">
        <v>8</v>
      </c>
      <c r="S36" s="1560">
        <f t="shared" si="12"/>
        <v>100</v>
      </c>
      <c r="T36" s="1559" t="s">
        <v>8</v>
      </c>
      <c r="U36" s="1560">
        <f t="shared" si="13"/>
        <v>100</v>
      </c>
      <c r="V36" s="1559" t="s">
        <v>8</v>
      </c>
      <c r="W36" s="1560">
        <f t="shared" si="14"/>
        <v>100</v>
      </c>
      <c r="X36" s="1553"/>
      <c r="Y36" s="3413"/>
      <c r="Z36" s="1561">
        <f t="shared" si="15"/>
        <v>111</v>
      </c>
      <c r="AA36" s="1562">
        <f t="shared" si="3"/>
        <v>1</v>
      </c>
      <c r="AB36" s="1562">
        <f t="shared" si="4"/>
        <v>1</v>
      </c>
      <c r="AC36" s="1562">
        <f t="shared" si="5"/>
        <v>1</v>
      </c>
    </row>
    <row r="37" spans="1:29" ht="15">
      <c r="A37" s="1831" t="s">
        <v>2077</v>
      </c>
      <c r="B37" s="1832" t="s">
        <v>2078</v>
      </c>
      <c r="C37" s="2590" t="s">
        <v>1</v>
      </c>
      <c r="D37" s="2591"/>
      <c r="E37" s="2592"/>
      <c r="F37" s="2593"/>
      <c r="G37" s="2594"/>
      <c r="H37" s="2595"/>
      <c r="I37" s="2592"/>
      <c r="J37" s="2595"/>
      <c r="K37" s="1596"/>
      <c r="L37" s="2129"/>
      <c r="M37" s="2130"/>
      <c r="N37" s="2119"/>
      <c r="O37" s="2130"/>
      <c r="P37" s="3376" t="str">
        <f>A37</f>
        <v>成交单价</v>
      </c>
      <c r="Q37" s="3376"/>
      <c r="R37" s="3470">
        <f>E37</f>
        <v>0</v>
      </c>
      <c r="S37" s="3470"/>
      <c r="T37" s="3470">
        <f>G37</f>
        <v>0</v>
      </c>
      <c r="U37" s="3470"/>
      <c r="V37" s="3470">
        <f>I37</f>
        <v>0</v>
      </c>
      <c r="W37" s="3470"/>
      <c r="X37" s="1545"/>
      <c r="Y37" s="1567"/>
      <c r="Z37" s="1545"/>
      <c r="AA37" s="1545"/>
      <c r="AB37" s="1545"/>
      <c r="AC37" s="1545"/>
    </row>
    <row r="38" spans="1:29" ht="15.75" thickBot="1">
      <c r="A38" s="614" t="s">
        <v>2759</v>
      </c>
      <c r="B38" s="887"/>
      <c r="C38" s="2596" t="e">
        <f>R39</f>
        <v>#DIV/0!</v>
      </c>
      <c r="D38" s="2597"/>
      <c r="E38" s="2598" t="e">
        <f>R38</f>
        <v>#DIV/0!</v>
      </c>
      <c r="F38" s="2598"/>
      <c r="G38" s="2596" t="e">
        <f>T38</f>
        <v>#DIV/0!</v>
      </c>
      <c r="H38" s="2597"/>
      <c r="I38" s="2598" t="e">
        <f>V38</f>
        <v>#DIV/0!</v>
      </c>
      <c r="J38" s="2597"/>
      <c r="K38" s="1597"/>
      <c r="L38" s="2129"/>
      <c r="M38" s="2130"/>
      <c r="N38" s="2130"/>
      <c r="O38" s="2130"/>
      <c r="P38" s="3376" t="str">
        <f>A38</f>
        <v>比较价格（元/平方米）</v>
      </c>
      <c r="Q38" s="3376"/>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45"/>
      <c r="Y38" s="1545"/>
      <c r="Z38" s="1545"/>
      <c r="AA38" s="1545"/>
      <c r="AB38" s="1545"/>
      <c r="AC38" s="1545"/>
    </row>
    <row r="39" spans="1:29" ht="15.75" thickBot="1">
      <c r="A39" s="620" t="s">
        <v>2932</v>
      </c>
      <c r="B39" s="621"/>
      <c r="C39" s="2599" t="e">
        <f>R39</f>
        <v>#DIV/0!</v>
      </c>
      <c r="D39" s="2599"/>
      <c r="E39" s="2599"/>
      <c r="F39" s="2599"/>
      <c r="G39" s="2599"/>
      <c r="H39" s="2599"/>
      <c r="I39" s="2599"/>
      <c r="J39" s="2599"/>
      <c r="K39" s="1598"/>
      <c r="L39" s="2129"/>
      <c r="M39" s="2130"/>
      <c r="N39" s="2130"/>
      <c r="O39" s="2130"/>
      <c r="P39" s="3373" t="str">
        <f>A39</f>
        <v>估价对象XX用房的比较价格（楼面单价，元/平方米）</v>
      </c>
      <c r="Q39" s="3374"/>
      <c r="R39" s="3469" t="e">
        <f>IF(F1="售价",ROUND(AVERAGE(R38:V38),0),ROUND(AVERAGE(R38:V38),1))</f>
        <v>#DIV/0!</v>
      </c>
      <c r="S39" s="3469"/>
      <c r="T39" s="3469"/>
      <c r="U39" s="3469"/>
      <c r="V39" s="3469"/>
      <c r="W39" s="346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5"/>
      <c r="Q48" s="2146"/>
      <c r="R48" s="2146"/>
      <c r="S48" s="2146"/>
      <c r="T48" s="2146"/>
      <c r="U48" s="2146"/>
      <c r="V48" s="2146"/>
      <c r="W48" s="2146"/>
      <c r="X48" s="2146"/>
      <c r="Y48" s="2146"/>
      <c r="Z48" s="2146"/>
      <c r="AA48" s="2146"/>
      <c r="AB48" s="2146"/>
      <c r="AC48" s="2146"/>
    </row>
    <row r="49" spans="1:29" s="1215" customFormat="1" ht="15">
      <c r="A49" s="646"/>
      <c r="B49" s="647"/>
      <c r="C49" s="2757">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2557</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2558</v>
      </c>
      <c r="C67" s="2562" t="s">
        <v>2559</v>
      </c>
      <c r="D67" s="2562" t="s">
        <v>2560</v>
      </c>
      <c r="E67" s="2562" t="s">
        <v>2561</v>
      </c>
      <c r="F67" s="2562" t="s">
        <v>2562</v>
      </c>
      <c r="G67" s="2562" t="s">
        <v>2563</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2" t="s">
        <v>798</v>
      </c>
      <c r="D4" s="3383"/>
      <c r="E4" s="3416" t="s">
        <v>799</v>
      </c>
      <c r="F4" s="3417"/>
      <c r="G4" s="3382" t="s">
        <v>800</v>
      </c>
      <c r="H4" s="3383"/>
      <c r="I4" s="3382" t="s">
        <v>801</v>
      </c>
      <c r="J4" s="3383"/>
      <c r="K4" s="513" t="s">
        <v>802</v>
      </c>
      <c r="L4" s="2118"/>
      <c r="M4" s="2119"/>
      <c r="N4" s="2119"/>
      <c r="O4" s="2119"/>
      <c r="P4" s="3384" t="s">
        <v>803</v>
      </c>
      <c r="Q4" s="3385"/>
      <c r="R4" s="3390" t="s">
        <v>799</v>
      </c>
      <c r="S4" s="3391"/>
      <c r="T4" s="3390" t="s">
        <v>800</v>
      </c>
      <c r="U4" s="3391"/>
      <c r="V4" s="3377" t="s">
        <v>801</v>
      </c>
      <c r="W4" s="3377"/>
      <c r="X4" s="1553"/>
      <c r="Y4" s="3390" t="s">
        <v>803</v>
      </c>
      <c r="Z4" s="3391"/>
      <c r="AA4" s="3379" t="s">
        <v>799</v>
      </c>
      <c r="AB4" s="3380" t="s">
        <v>800</v>
      </c>
      <c r="AC4" s="3379" t="s">
        <v>801</v>
      </c>
    </row>
    <row r="5" spans="1:29" ht="15">
      <c r="A5" s="514"/>
      <c r="B5" s="515"/>
      <c r="C5" s="3398" t="s">
        <v>2926</v>
      </c>
      <c r="D5" s="3399"/>
      <c r="E5" s="3418" t="s">
        <v>2927</v>
      </c>
      <c r="F5" s="3419"/>
      <c r="G5" s="3398" t="s">
        <v>2928</v>
      </c>
      <c r="H5" s="3399"/>
      <c r="I5" s="3398" t="s">
        <v>2929</v>
      </c>
      <c r="J5" s="3399"/>
      <c r="K5" s="513"/>
      <c r="L5" s="2118"/>
      <c r="M5" s="2119"/>
      <c r="N5" s="2119"/>
      <c r="O5" s="2119"/>
      <c r="P5" s="3386"/>
      <c r="Q5" s="3387"/>
      <c r="R5" s="3392"/>
      <c r="S5" s="3393"/>
      <c r="T5" s="3392"/>
      <c r="U5" s="3393"/>
      <c r="V5" s="3377"/>
      <c r="W5" s="3377"/>
      <c r="X5" s="1553"/>
      <c r="Y5" s="3392"/>
      <c r="Z5" s="3393"/>
      <c r="AA5" s="3380"/>
      <c r="AB5" s="3380"/>
      <c r="AC5" s="3380"/>
    </row>
    <row r="6" spans="1:29" ht="15.75" thickBot="1">
      <c r="A6" s="516"/>
      <c r="B6" s="517"/>
      <c r="C6" s="3396" t="s">
        <v>2930</v>
      </c>
      <c r="D6" s="3397"/>
      <c r="E6" s="3414" t="s">
        <v>2930</v>
      </c>
      <c r="F6" s="3415"/>
      <c r="G6" s="3396" t="s">
        <v>2930</v>
      </c>
      <c r="H6" s="3397"/>
      <c r="I6" s="3396" t="s">
        <v>2930</v>
      </c>
      <c r="J6" s="3397"/>
      <c r="K6" s="513" t="s">
        <v>528</v>
      </c>
      <c r="L6" s="2118"/>
      <c r="M6" s="2119"/>
      <c r="N6" s="2119"/>
      <c r="O6" s="2119"/>
      <c r="P6" s="3388"/>
      <c r="Q6" s="3389"/>
      <c r="R6" s="3392"/>
      <c r="S6" s="3393"/>
      <c r="T6" s="3394"/>
      <c r="U6" s="3395"/>
      <c r="V6" s="3377"/>
      <c r="W6" s="3377"/>
      <c r="X6" s="1553"/>
      <c r="Y6" s="3394"/>
      <c r="Z6" s="3395"/>
      <c r="AA6" s="3381"/>
      <c r="AB6" s="3381"/>
      <c r="AC6" s="3381"/>
    </row>
    <row r="7" spans="1:29" s="1215" customFormat="1" ht="15.75" thickBot="1">
      <c r="A7" s="2866"/>
      <c r="B7" s="2873" t="s">
        <v>529</v>
      </c>
      <c r="C7" s="518">
        <f>'数据-取费表'!B2</f>
        <v>43754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07" t="s">
        <v>530</v>
      </c>
      <c r="Q7" s="3409"/>
      <c r="R7" s="1554" t="s">
        <v>8</v>
      </c>
      <c r="S7" s="1555">
        <f t="shared" ref="S7:S14" si="0">F7</f>
        <v>0</v>
      </c>
      <c r="T7" s="1554" t="s">
        <v>8</v>
      </c>
      <c r="U7" s="1555">
        <f t="shared" ref="U7:U14" si="1">H7</f>
        <v>0</v>
      </c>
      <c r="V7" s="1554" t="s">
        <v>8</v>
      </c>
      <c r="W7" s="1555">
        <f t="shared" ref="W7:W14" si="2">J7</f>
        <v>0</v>
      </c>
      <c r="X7" s="1556"/>
      <c r="Y7" s="3407" t="s">
        <v>530</v>
      </c>
      <c r="Z7" s="3408"/>
      <c r="AA7" s="1557" t="e">
        <f>D7/F7</f>
        <v>#DIV/0!</v>
      </c>
      <c r="AB7" s="1557" t="e">
        <f>D7/H7</f>
        <v>#DIV/0!</v>
      </c>
      <c r="AC7" s="1557"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07" t="s">
        <v>533</v>
      </c>
      <c r="Q8" s="3408"/>
      <c r="R8" s="1554" t="s">
        <v>8</v>
      </c>
      <c r="S8" s="1555">
        <f t="shared" si="0"/>
        <v>0</v>
      </c>
      <c r="T8" s="1554" t="s">
        <v>8</v>
      </c>
      <c r="U8" s="1555">
        <f t="shared" si="1"/>
        <v>0</v>
      </c>
      <c r="V8" s="1554" t="s">
        <v>8</v>
      </c>
      <c r="W8" s="1555">
        <f t="shared" si="2"/>
        <v>0</v>
      </c>
      <c r="X8" s="1556"/>
      <c r="Y8" s="3407" t="s">
        <v>533</v>
      </c>
      <c r="Z8" s="3408"/>
      <c r="AA8" s="1557" t="e">
        <f t="shared" ref="AA8:AA34" si="3">D8/F8</f>
        <v>#DIV/0!</v>
      </c>
      <c r="AB8" s="1557" t="e">
        <f t="shared" ref="AB8:AB34" si="4">D8/H8</f>
        <v>#DIV/0!</v>
      </c>
      <c r="AC8" s="1557" t="e">
        <f t="shared" ref="AC8:AC34" si="5">D8/J8</f>
        <v>#DIV/0!</v>
      </c>
    </row>
    <row r="9" spans="1:29" s="1215"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6" t="s">
        <v>535</v>
      </c>
      <c r="Q9" s="1146" t="str">
        <f t="shared" ref="Q9:Q14" si="6">B9</f>
        <v>用途</v>
      </c>
      <c r="R9" s="1554" t="s">
        <v>8</v>
      </c>
      <c r="S9" s="1555">
        <f t="shared" si="0"/>
        <v>100</v>
      </c>
      <c r="T9" s="1554" t="s">
        <v>8</v>
      </c>
      <c r="U9" s="1555">
        <f t="shared" si="1"/>
        <v>100</v>
      </c>
      <c r="V9" s="1554" t="s">
        <v>8</v>
      </c>
      <c r="W9" s="1555">
        <f t="shared" si="2"/>
        <v>100</v>
      </c>
      <c r="X9" s="1556"/>
      <c r="Y9" s="3322" t="s">
        <v>536</v>
      </c>
      <c r="Z9" s="1145" t="str">
        <f t="shared" ref="Z9:Z14" si="7">Q9</f>
        <v>用途</v>
      </c>
      <c r="AA9" s="1557">
        <f t="shared" si="3"/>
        <v>1</v>
      </c>
      <c r="AB9" s="1557">
        <f t="shared" si="4"/>
        <v>1</v>
      </c>
      <c r="AC9" s="1557">
        <f t="shared" si="5"/>
        <v>1</v>
      </c>
    </row>
    <row r="10" spans="1:29" s="1333"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6"/>
      <c r="Q10" s="1146" t="str">
        <f t="shared" si="6"/>
        <v>土地使用年限（年）</v>
      </c>
      <c r="R10" s="1554" t="s">
        <v>8</v>
      </c>
      <c r="S10" s="1555">
        <f t="shared" si="0"/>
        <v>100</v>
      </c>
      <c r="T10" s="1554" t="s">
        <v>8</v>
      </c>
      <c r="U10" s="1555">
        <f t="shared" si="1"/>
        <v>100</v>
      </c>
      <c r="V10" s="1554" t="s">
        <v>8</v>
      </c>
      <c r="W10" s="1555">
        <f t="shared" si="2"/>
        <v>100</v>
      </c>
      <c r="X10" s="1556"/>
      <c r="Y10" s="3322"/>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6"/>
      <c r="Q11" s="1146">
        <f t="shared" si="6"/>
        <v>111</v>
      </c>
      <c r="R11" s="1554" t="s">
        <v>8</v>
      </c>
      <c r="S11" s="1555">
        <f t="shared" si="0"/>
        <v>100</v>
      </c>
      <c r="T11" s="1554" t="s">
        <v>8</v>
      </c>
      <c r="U11" s="1555">
        <f t="shared" si="1"/>
        <v>100</v>
      </c>
      <c r="V11" s="1554" t="s">
        <v>8</v>
      </c>
      <c r="W11" s="1555">
        <f t="shared" si="2"/>
        <v>100</v>
      </c>
      <c r="X11" s="1556"/>
      <c r="Y11" s="3322"/>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6"/>
      <c r="Q12" s="1146">
        <f t="shared" si="6"/>
        <v>111</v>
      </c>
      <c r="R12" s="1554" t="s">
        <v>8</v>
      </c>
      <c r="S12" s="1555">
        <f t="shared" si="0"/>
        <v>100</v>
      </c>
      <c r="T12" s="1554" t="s">
        <v>8</v>
      </c>
      <c r="U12" s="1555">
        <f t="shared" si="1"/>
        <v>100</v>
      </c>
      <c r="V12" s="1554" t="s">
        <v>8</v>
      </c>
      <c r="W12" s="1555">
        <f t="shared" si="2"/>
        <v>100</v>
      </c>
      <c r="X12" s="1556"/>
      <c r="Y12" s="3322"/>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6"/>
      <c r="Q13" s="1146">
        <f t="shared" si="6"/>
        <v>111</v>
      </c>
      <c r="R13" s="1554" t="s">
        <v>8</v>
      </c>
      <c r="S13" s="1555">
        <f t="shared" si="0"/>
        <v>100</v>
      </c>
      <c r="T13" s="1554" t="s">
        <v>8</v>
      </c>
      <c r="U13" s="1555">
        <f t="shared" si="1"/>
        <v>100</v>
      </c>
      <c r="V13" s="1554" t="s">
        <v>8</v>
      </c>
      <c r="W13" s="1555">
        <f t="shared" si="2"/>
        <v>100</v>
      </c>
      <c r="X13" s="1556"/>
      <c r="Y13" s="3322"/>
      <c r="Z13" s="1145">
        <f t="shared" si="7"/>
        <v>111</v>
      </c>
      <c r="AA13" s="1557">
        <f t="shared" si="3"/>
        <v>1</v>
      </c>
      <c r="AB13" s="1557">
        <f t="shared" si="4"/>
        <v>1</v>
      </c>
      <c r="AC13" s="1557">
        <f t="shared" si="5"/>
        <v>1</v>
      </c>
    </row>
    <row r="14" spans="1:29" ht="99.75">
      <c r="A14" s="2864"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10" t="s">
        <v>540</v>
      </c>
      <c r="Q14" s="1558" t="str">
        <f t="shared" si="6"/>
        <v>交通便捷度</v>
      </c>
      <c r="R14" s="1559" t="s">
        <v>8</v>
      </c>
      <c r="S14" s="1560">
        <f t="shared" si="0"/>
        <v>100</v>
      </c>
      <c r="T14" s="1559" t="s">
        <v>8</v>
      </c>
      <c r="U14" s="1560">
        <f t="shared" si="1"/>
        <v>100</v>
      </c>
      <c r="V14" s="1559" t="s">
        <v>8</v>
      </c>
      <c r="W14" s="1560">
        <f t="shared" si="2"/>
        <v>100</v>
      </c>
      <c r="X14" s="1553"/>
      <c r="Y14" s="3410"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11"/>
      <c r="Q15" s="1558"/>
      <c r="R15" s="1559"/>
      <c r="S15" s="1560"/>
      <c r="T15" s="1559"/>
      <c r="U15" s="1560"/>
      <c r="V15" s="1559"/>
      <c r="W15" s="1560"/>
      <c r="X15" s="1553"/>
      <c r="Y15" s="3411"/>
      <c r="Z15" s="1561"/>
      <c r="AA15" s="1562">
        <v>1</v>
      </c>
      <c r="AB15" s="1562">
        <v>1</v>
      </c>
      <c r="AC15" s="1562">
        <v>1</v>
      </c>
    </row>
    <row r="16" spans="1:29" ht="42.75">
      <c r="A16" s="531"/>
      <c r="B16" s="256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11"/>
      <c r="Q16" s="1558" t="str">
        <f>B16</f>
        <v>公共配套设施</v>
      </c>
      <c r="R16" s="1559" t="s">
        <v>8</v>
      </c>
      <c r="S16" s="1560">
        <f>F16</f>
        <v>100</v>
      </c>
      <c r="T16" s="1559" t="s">
        <v>8</v>
      </c>
      <c r="U16" s="1560">
        <f>H16</f>
        <v>100</v>
      </c>
      <c r="V16" s="1559" t="s">
        <v>8</v>
      </c>
      <c r="W16" s="1560">
        <f>J16</f>
        <v>100</v>
      </c>
      <c r="X16" s="1553"/>
      <c r="Y16" s="3411"/>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11"/>
      <c r="Q17" s="1558"/>
      <c r="R17" s="1559"/>
      <c r="S17" s="1560"/>
      <c r="T17" s="1559"/>
      <c r="U17" s="1560"/>
      <c r="V17" s="1559"/>
      <c r="W17" s="1560"/>
      <c r="X17" s="1553"/>
      <c r="Y17" s="3411"/>
      <c r="Z17" s="1561"/>
      <c r="AA17" s="1562">
        <v>1</v>
      </c>
      <c r="AB17" s="1562">
        <v>1</v>
      </c>
      <c r="AC17" s="1562">
        <v>1</v>
      </c>
    </row>
    <row r="18" spans="1:29" ht="42.75">
      <c r="A18" s="531"/>
      <c r="B18" s="255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11"/>
      <c r="Q18" s="2543" t="str">
        <f>B18</f>
        <v>基础设施水平</v>
      </c>
      <c r="R18" s="1559" t="s">
        <v>8</v>
      </c>
      <c r="S18" s="1560">
        <f>F18</f>
        <v>100</v>
      </c>
      <c r="T18" s="1559" t="s">
        <v>8</v>
      </c>
      <c r="U18" s="1560">
        <f>H18</f>
        <v>100</v>
      </c>
      <c r="V18" s="1559" t="s">
        <v>8</v>
      </c>
      <c r="W18" s="1560">
        <f>J18</f>
        <v>100</v>
      </c>
      <c r="X18" s="2545"/>
      <c r="Y18" s="3411"/>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11"/>
      <c r="Q19" s="2543"/>
      <c r="R19" s="1559"/>
      <c r="S19" s="1560"/>
      <c r="T19" s="1559"/>
      <c r="U19" s="1560"/>
      <c r="V19" s="1559"/>
      <c r="W19" s="1560"/>
      <c r="X19" s="2545"/>
      <c r="Y19" s="3411"/>
      <c r="Z19" s="2544"/>
      <c r="AA19" s="1562">
        <v>1</v>
      </c>
      <c r="AB19" s="1562">
        <v>1</v>
      </c>
      <c r="AC19" s="1562">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11"/>
      <c r="Q20" s="1558" t="str">
        <f>B20</f>
        <v>自然及人文环境</v>
      </c>
      <c r="R20" s="1559" t="s">
        <v>8</v>
      </c>
      <c r="S20" s="1560">
        <f>F20</f>
        <v>100</v>
      </c>
      <c r="T20" s="1559" t="s">
        <v>8</v>
      </c>
      <c r="U20" s="1560">
        <f>H20</f>
        <v>100</v>
      </c>
      <c r="V20" s="1559" t="s">
        <v>8</v>
      </c>
      <c r="W20" s="1560">
        <f>J20</f>
        <v>100</v>
      </c>
      <c r="X20" s="1553"/>
      <c r="Y20" s="3411"/>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11"/>
      <c r="Q21" s="1558"/>
      <c r="R21" s="1559"/>
      <c r="S21" s="1560"/>
      <c r="T21" s="1559"/>
      <c r="U21" s="1560"/>
      <c r="V21" s="1559"/>
      <c r="W21" s="1560"/>
      <c r="X21" s="1553"/>
      <c r="Y21" s="3411"/>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11"/>
      <c r="Q22" s="1558" t="str">
        <f>B22</f>
        <v>楼层</v>
      </c>
      <c r="R22" s="1559" t="s">
        <v>8</v>
      </c>
      <c r="S22" s="1560">
        <f>F22</f>
        <v>100</v>
      </c>
      <c r="T22" s="1559" t="s">
        <v>8</v>
      </c>
      <c r="U22" s="1560">
        <f>H22</f>
        <v>100</v>
      </c>
      <c r="V22" s="1559" t="s">
        <v>8</v>
      </c>
      <c r="W22" s="1560">
        <f>J22</f>
        <v>100</v>
      </c>
      <c r="X22" s="1553"/>
      <c r="Y22" s="3411"/>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11"/>
      <c r="Q23" s="1558">
        <f>B23</f>
        <v>111</v>
      </c>
      <c r="R23" s="1559" t="s">
        <v>8</v>
      </c>
      <c r="S23" s="1560">
        <f>F23</f>
        <v>100</v>
      </c>
      <c r="T23" s="1559" t="s">
        <v>8</v>
      </c>
      <c r="U23" s="1560">
        <f>H23</f>
        <v>100</v>
      </c>
      <c r="V23" s="1559" t="s">
        <v>8</v>
      </c>
      <c r="W23" s="1560">
        <f>J23</f>
        <v>100</v>
      </c>
      <c r="X23" s="1553"/>
      <c r="Y23" s="3411"/>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11"/>
      <c r="Q24" s="1558">
        <f t="shared" ref="Q24:Q34" si="11">B24</f>
        <v>111</v>
      </c>
      <c r="R24" s="1559" t="s">
        <v>8</v>
      </c>
      <c r="S24" s="1560">
        <f>F24</f>
        <v>100</v>
      </c>
      <c r="T24" s="1559" t="s">
        <v>8</v>
      </c>
      <c r="U24" s="1560">
        <f>H24</f>
        <v>100</v>
      </c>
      <c r="V24" s="1559" t="s">
        <v>8</v>
      </c>
      <c r="W24" s="1560">
        <f>J24</f>
        <v>100</v>
      </c>
      <c r="X24" s="1553"/>
      <c r="Y24" s="3411"/>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11"/>
      <c r="Q25" s="1146">
        <f t="shared" si="11"/>
        <v>111</v>
      </c>
      <c r="R25" s="1554" t="s">
        <v>8</v>
      </c>
      <c r="S25" s="1555">
        <f>F25</f>
        <v>100</v>
      </c>
      <c r="T25" s="1554" t="s">
        <v>8</v>
      </c>
      <c r="U25" s="1555">
        <f>H25</f>
        <v>100</v>
      </c>
      <c r="V25" s="1554" t="s">
        <v>8</v>
      </c>
      <c r="W25" s="1555">
        <f>J25</f>
        <v>100</v>
      </c>
      <c r="X25" s="1556"/>
      <c r="Y25" s="3411"/>
      <c r="Z25" s="1145">
        <f>Q25</f>
        <v>111</v>
      </c>
      <c r="AA25" s="1562">
        <f>D25/F25</f>
        <v>1</v>
      </c>
      <c r="AB25" s="1562">
        <f>D25/H25</f>
        <v>1</v>
      </c>
      <c r="AC25" s="1562">
        <f>D25/J25</f>
        <v>1</v>
      </c>
    </row>
    <row r="26" spans="1:29" ht="15">
      <c r="A26" s="286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1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3"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3"/>
      <c r="Q27" s="1590" t="str">
        <f t="shared" si="11"/>
        <v>成新率</v>
      </c>
      <c r="R27" s="1563" t="s">
        <v>8</v>
      </c>
      <c r="S27" s="1564" t="e">
        <f t="shared" si="12"/>
        <v>#N/A</v>
      </c>
      <c r="T27" s="1563" t="s">
        <v>8</v>
      </c>
      <c r="U27" s="1564" t="e">
        <f t="shared" si="13"/>
        <v>#N/A</v>
      </c>
      <c r="V27" s="1563" t="s">
        <v>8</v>
      </c>
      <c r="W27" s="1564" t="e">
        <f t="shared" si="14"/>
        <v>#N/A</v>
      </c>
      <c r="X27" s="1565"/>
      <c r="Y27" s="3413"/>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3"/>
      <c r="Q28" s="1558" t="str">
        <f t="shared" si="11"/>
        <v>物业等级</v>
      </c>
      <c r="R28" s="1559" t="s">
        <v>8</v>
      </c>
      <c r="S28" s="1560">
        <f t="shared" si="12"/>
        <v>100</v>
      </c>
      <c r="T28" s="1559" t="s">
        <v>8</v>
      </c>
      <c r="U28" s="1560">
        <f t="shared" si="13"/>
        <v>100</v>
      </c>
      <c r="V28" s="1559" t="s">
        <v>8</v>
      </c>
      <c r="W28" s="1560">
        <f t="shared" si="14"/>
        <v>100</v>
      </c>
      <c r="X28" s="1553"/>
      <c r="Y28" s="3413"/>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3"/>
      <c r="Q29" s="1558" t="str">
        <f t="shared" si="11"/>
        <v>有无电梯</v>
      </c>
      <c r="R29" s="1559" t="s">
        <v>8</v>
      </c>
      <c r="S29" s="1560">
        <f t="shared" si="12"/>
        <v>100</v>
      </c>
      <c r="T29" s="1559" t="s">
        <v>8</v>
      </c>
      <c r="U29" s="1560">
        <f t="shared" si="13"/>
        <v>100</v>
      </c>
      <c r="V29" s="1559" t="s">
        <v>8</v>
      </c>
      <c r="W29" s="1560">
        <f t="shared" si="14"/>
        <v>100</v>
      </c>
      <c r="X29" s="1553"/>
      <c r="Y29" s="3413"/>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3"/>
      <c r="Q30" s="1558" t="str">
        <f t="shared" si="11"/>
        <v>建筑面积</v>
      </c>
      <c r="R30" s="1559" t="s">
        <v>8</v>
      </c>
      <c r="S30" s="1560" t="e">
        <f t="shared" si="12"/>
        <v>#N/A</v>
      </c>
      <c r="T30" s="1559" t="s">
        <v>8</v>
      </c>
      <c r="U30" s="1560" t="e">
        <f t="shared" si="13"/>
        <v>#N/A</v>
      </c>
      <c r="V30" s="1559" t="s">
        <v>8</v>
      </c>
      <c r="W30" s="1560" t="e">
        <f t="shared" si="14"/>
        <v>#N/A</v>
      </c>
      <c r="X30" s="1553"/>
      <c r="Y30" s="3413"/>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3"/>
      <c r="Q31" s="1146" t="str">
        <f t="shared" si="11"/>
        <v>是否封闭</v>
      </c>
      <c r="R31" s="1554" t="s">
        <v>8</v>
      </c>
      <c r="S31" s="1555">
        <f t="shared" si="12"/>
        <v>100</v>
      </c>
      <c r="T31" s="1554" t="s">
        <v>8</v>
      </c>
      <c r="U31" s="1555">
        <f t="shared" si="13"/>
        <v>100</v>
      </c>
      <c r="V31" s="1554" t="s">
        <v>8</v>
      </c>
      <c r="W31" s="1555">
        <f t="shared" si="14"/>
        <v>100</v>
      </c>
      <c r="X31" s="1556"/>
      <c r="Y31" s="3413"/>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3" t="s">
        <v>550</v>
      </c>
      <c r="Q32" s="1558">
        <f t="shared" si="11"/>
        <v>111</v>
      </c>
      <c r="R32" s="1559" t="s">
        <v>8</v>
      </c>
      <c r="S32" s="1560">
        <f t="shared" si="12"/>
        <v>100</v>
      </c>
      <c r="T32" s="1559" t="s">
        <v>8</v>
      </c>
      <c r="U32" s="1560">
        <f t="shared" si="13"/>
        <v>100</v>
      </c>
      <c r="V32" s="1559" t="s">
        <v>8</v>
      </c>
      <c r="W32" s="1560">
        <f t="shared" si="14"/>
        <v>100</v>
      </c>
      <c r="X32" s="1553"/>
      <c r="Y32" s="3413"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3"/>
      <c r="Q33" s="1558">
        <f t="shared" si="11"/>
        <v>111</v>
      </c>
      <c r="R33" s="1559" t="s">
        <v>8</v>
      </c>
      <c r="S33" s="1560">
        <f t="shared" si="12"/>
        <v>100</v>
      </c>
      <c r="T33" s="1559" t="s">
        <v>8</v>
      </c>
      <c r="U33" s="1560">
        <f t="shared" si="13"/>
        <v>100</v>
      </c>
      <c r="V33" s="1559" t="s">
        <v>8</v>
      </c>
      <c r="W33" s="1560">
        <f t="shared" si="14"/>
        <v>100</v>
      </c>
      <c r="X33" s="1553"/>
      <c r="Y33" s="3413"/>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3"/>
      <c r="Q34" s="1558">
        <f t="shared" si="11"/>
        <v>111</v>
      </c>
      <c r="R34" s="1559" t="s">
        <v>8</v>
      </c>
      <c r="S34" s="1560">
        <f t="shared" si="12"/>
        <v>100</v>
      </c>
      <c r="T34" s="1559" t="s">
        <v>8</v>
      </c>
      <c r="U34" s="1560">
        <f t="shared" si="13"/>
        <v>100</v>
      </c>
      <c r="V34" s="1559" t="s">
        <v>8</v>
      </c>
      <c r="W34" s="1560">
        <f t="shared" si="14"/>
        <v>100</v>
      </c>
      <c r="X34" s="1553"/>
      <c r="Y34" s="3413"/>
      <c r="Z34" s="1561">
        <f t="shared" si="15"/>
        <v>111</v>
      </c>
      <c r="AA34" s="1562">
        <f t="shared" si="3"/>
        <v>1</v>
      </c>
      <c r="AB34" s="1562">
        <f t="shared" si="4"/>
        <v>1</v>
      </c>
      <c r="AC34" s="1562">
        <f t="shared" si="5"/>
        <v>1</v>
      </c>
    </row>
    <row r="35" spans="1:29" ht="15">
      <c r="A35" s="606" t="s">
        <v>736</v>
      </c>
      <c r="B35" s="886"/>
      <c r="C35" s="2590" t="s">
        <v>1</v>
      </c>
      <c r="D35" s="2591"/>
      <c r="E35" s="2592"/>
      <c r="F35" s="2593"/>
      <c r="G35" s="2594"/>
      <c r="H35" s="2595"/>
      <c r="I35" s="2592"/>
      <c r="J35" s="2595"/>
      <c r="K35" s="1596"/>
      <c r="L35" s="2129"/>
      <c r="M35" s="2130"/>
      <c r="N35" s="2119"/>
      <c r="O35" s="2130"/>
      <c r="P35" s="3376" t="str">
        <f>A35</f>
        <v>成交单价（元/平方米）</v>
      </c>
      <c r="Q35" s="3376"/>
      <c r="R35" s="3470">
        <f>E35</f>
        <v>0</v>
      </c>
      <c r="S35" s="3470"/>
      <c r="T35" s="3470">
        <f>G35</f>
        <v>0</v>
      </c>
      <c r="U35" s="3470"/>
      <c r="V35" s="3470">
        <f>I35</f>
        <v>0</v>
      </c>
      <c r="W35" s="3470"/>
      <c r="X35" s="1545"/>
      <c r="Y35" s="1567"/>
      <c r="Z35" s="1545"/>
      <c r="AA35" s="1545"/>
      <c r="AB35" s="1545"/>
      <c r="AC35" s="1545"/>
    </row>
    <row r="36" spans="1:29" ht="15.75" thickBot="1">
      <c r="A36" s="614" t="s">
        <v>2759</v>
      </c>
      <c r="B36" s="887"/>
      <c r="C36" s="2596" t="e">
        <f>R37</f>
        <v>#DIV/0!</v>
      </c>
      <c r="D36" s="2597"/>
      <c r="E36" s="2598" t="e">
        <f>R36</f>
        <v>#DIV/0!</v>
      </c>
      <c r="F36" s="2598"/>
      <c r="G36" s="2596" t="e">
        <f>T36</f>
        <v>#DIV/0!</v>
      </c>
      <c r="H36" s="2597"/>
      <c r="I36" s="2598" t="e">
        <f>V36</f>
        <v>#DIV/0!</v>
      </c>
      <c r="J36" s="2597"/>
      <c r="K36" s="1597"/>
      <c r="L36" s="2129"/>
      <c r="M36" s="2130"/>
      <c r="N36" s="2119"/>
      <c r="O36" s="2130"/>
      <c r="P36" s="3376" t="str">
        <f>A36</f>
        <v>比较价格（元/平方米）</v>
      </c>
      <c r="Q36" s="3376"/>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45"/>
      <c r="Y36" s="1545"/>
      <c r="Z36" s="1545"/>
      <c r="AA36" s="1545"/>
      <c r="AB36" s="1545"/>
      <c r="AC36" s="1545"/>
    </row>
    <row r="37" spans="1:29" ht="15.75" thickBot="1">
      <c r="A37" s="620" t="s">
        <v>2932</v>
      </c>
      <c r="B37" s="621"/>
      <c r="C37" s="2599" t="e">
        <f>R37</f>
        <v>#DIV/0!</v>
      </c>
      <c r="D37" s="2599"/>
      <c r="E37" s="2599"/>
      <c r="F37" s="2599"/>
      <c r="G37" s="2599"/>
      <c r="H37" s="2599"/>
      <c r="I37" s="2599"/>
      <c r="J37" s="2599"/>
      <c r="K37" s="1598"/>
      <c r="L37" s="2129"/>
      <c r="M37" s="2130"/>
      <c r="N37" s="2130"/>
      <c r="O37" s="2130"/>
      <c r="P37" s="3373" t="str">
        <f>A37</f>
        <v>估价对象XX用房的比较价格（楼面单价，元/平方米）</v>
      </c>
      <c r="Q37" s="3374"/>
      <c r="R37" s="3469" t="e">
        <f>IF(F1="售价",ROUND(AVERAGE(R36:V36),0),ROUND(AVERAGE(R36:V36),1))</f>
        <v>#DIV/0!</v>
      </c>
      <c r="S37" s="3469"/>
      <c r="T37" s="3469"/>
      <c r="U37" s="3469"/>
      <c r="V37" s="3469"/>
      <c r="W37" s="346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2557</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2558</v>
      </c>
      <c r="C65" s="2562" t="s">
        <v>2559</v>
      </c>
      <c r="D65" s="2562" t="s">
        <v>2560</v>
      </c>
      <c r="E65" s="2562" t="s">
        <v>2561</v>
      </c>
      <c r="F65" s="2562" t="s">
        <v>2562</v>
      </c>
      <c r="G65" s="2562" t="s">
        <v>2563</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北京国瑞兴业房地产控股有限公司：</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8596.96平方米。根据《建设工程规划许可证》[]、《出让合同》[]，估价对象规划建筑面积为27186.68平方米。</v>
      </c>
    </row>
    <row r="7" spans="1:4" ht="93.75">
      <c r="A7" s="2827" t="s">
        <v>2747</v>
      </c>
    </row>
    <row r="8" spans="1:4" ht="18.75">
      <c r="A8" s="1779" t="s">
        <v>1906</v>
      </c>
    </row>
    <row r="9" spans="1:4" ht="56.25">
      <c r="A9" s="1781"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2019年10月16日（评估专业人员勘察现场之日）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根据《国有土地使用证》[]，估价对象（分摊）出让国有建设用地使用权面积为8596.96平方米。根据《建设工程规划许可证》[]、《出让合同》[]，估价对象规划建筑面积为27186.68平方米。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29"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2303</v>
      </c>
      <c r="C1" s="3506" t="s">
        <v>2304</v>
      </c>
      <c r="D1" s="3507"/>
      <c r="E1" s="3507"/>
      <c r="F1" s="3507"/>
      <c r="G1" s="3507"/>
      <c r="H1" s="3507"/>
      <c r="I1" s="3507"/>
      <c r="J1" s="3507"/>
      <c r="K1" s="3507"/>
      <c r="L1" s="3507"/>
      <c r="M1" s="3507"/>
      <c r="N1" s="3507"/>
      <c r="O1" s="3507"/>
      <c r="P1" s="3507"/>
      <c r="Q1" s="3507"/>
      <c r="R1" s="3507"/>
      <c r="S1" s="3508"/>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2">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2">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43754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2038</v>
      </c>
      <c r="B1" s="3213"/>
      <c r="C1" s="3213"/>
      <c r="D1" s="3213"/>
      <c r="E1" s="3213"/>
      <c r="F1" s="3213"/>
      <c r="G1" s="3213"/>
      <c r="H1" s="3213"/>
      <c r="I1" s="3213"/>
      <c r="J1" s="3213"/>
      <c r="K1" s="3213"/>
      <c r="L1" s="3213"/>
      <c r="M1" s="3213"/>
      <c r="N1" s="3213"/>
      <c r="O1" s="3213"/>
      <c r="P1" s="3213"/>
      <c r="Q1" s="3213"/>
      <c r="R1" s="3213"/>
    </row>
    <row r="2" spans="1:18">
      <c r="A2" s="1792" t="s">
        <v>2040</v>
      </c>
      <c r="B2" s="1792"/>
      <c r="C2" s="1792"/>
      <c r="D2" s="1792"/>
      <c r="E2" s="1792"/>
      <c r="F2" s="1792"/>
      <c r="G2" s="1792"/>
      <c r="H2" s="1792"/>
      <c r="I2" s="1793"/>
      <c r="J2" s="1793"/>
      <c r="K2" s="1794" t="str">
        <f>"估价期日："&amp;TEXT(项目基本情况!D3,"yyyy年m月d日;;")</f>
        <v>估价期日：2019年10月16日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4" t="s">
        <v>2029</v>
      </c>
      <c r="B3" s="3214" t="s">
        <v>2730</v>
      </c>
      <c r="C3" s="3215" t="s">
        <v>2030</v>
      </c>
      <c r="D3" s="3214" t="s">
        <v>2734</v>
      </c>
      <c r="E3" s="3209" t="s">
        <v>2031</v>
      </c>
      <c r="F3" s="3209"/>
      <c r="G3" s="3209"/>
      <c r="H3" s="3209" t="s">
        <v>2032</v>
      </c>
      <c r="I3" s="3209"/>
      <c r="J3" s="3209"/>
      <c r="K3" s="3215" t="s">
        <v>2033</v>
      </c>
      <c r="L3" s="3215" t="s">
        <v>2034</v>
      </c>
      <c r="M3" s="3214" t="s">
        <v>2731</v>
      </c>
      <c r="N3" s="3216" t="str">
        <f>"（分摊）"&amp;项目基本情况!B16&amp;"国有建设用地使用权面积/㎡"</f>
        <v>（分摊）出让国有建设用地使用权面积/㎡</v>
      </c>
      <c r="O3" s="3214" t="s">
        <v>2063</v>
      </c>
      <c r="P3" s="3215" t="s">
        <v>2043</v>
      </c>
      <c r="Q3" s="3215" t="s">
        <v>2064</v>
      </c>
      <c r="R3" s="3215" t="s">
        <v>2035</v>
      </c>
    </row>
    <row r="4" spans="1:18" ht="36.75" customHeight="1">
      <c r="A4" s="3214"/>
      <c r="B4" s="3214"/>
      <c r="C4" s="3215"/>
      <c r="D4" s="3214"/>
      <c r="E4" s="2612" t="s">
        <v>2042</v>
      </c>
      <c r="F4" s="2612" t="s">
        <v>2743</v>
      </c>
      <c r="G4" s="2612" t="s">
        <v>2036</v>
      </c>
      <c r="H4" s="2612" t="s">
        <v>2037</v>
      </c>
      <c r="I4" s="2612" t="s">
        <v>2744</v>
      </c>
      <c r="J4" s="2612" t="s">
        <v>2036</v>
      </c>
      <c r="K4" s="3215"/>
      <c r="L4" s="3215"/>
      <c r="M4" s="3214"/>
      <c r="N4" s="3216"/>
      <c r="O4" s="3214"/>
      <c r="P4" s="3215"/>
      <c r="Q4" s="3215"/>
      <c r="R4" s="3215"/>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v>
      </c>
      <c r="M5" s="1795">
        <f>IF(项目基本情况!B16="出让",项目基本情况!D20,"——")</f>
        <v>0</v>
      </c>
      <c r="N5" s="1795">
        <f>项目基本情况!C22</f>
        <v>8596.9599999999991</v>
      </c>
      <c r="O5" s="1795">
        <f>项目基本情况!C21</f>
        <v>27186.68</v>
      </c>
      <c r="P5" s="1795">
        <f ca="1">结果表!E42</f>
        <v>41395</v>
      </c>
      <c r="Q5" s="1795">
        <f ca="1">结果表!D42</f>
        <v>13090</v>
      </c>
      <c r="R5" s="1796">
        <f ca="1">结果表!C42</f>
        <v>35587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7">
        <f ca="1">结果表!O39</f>
        <v>35587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7"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8" t="s">
        <v>2065</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2066</v>
      </c>
      <c r="B5" s="3217"/>
      <c r="C5" s="3217"/>
      <c r="D5" s="3217"/>
    </row>
    <row r="6" spans="1:4">
      <c r="A6" s="3218" t="s">
        <v>2044</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2068</v>
      </c>
      <c r="B12" s="3217"/>
      <c r="C12" s="3217"/>
      <c r="D12" s="3217"/>
    </row>
    <row r="13" spans="1:4">
      <c r="A13" s="3221" t="s">
        <v>2745</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2701</v>
      </c>
      <c r="B17" s="3218"/>
      <c r="C17" s="3218"/>
      <c r="D17" s="3218"/>
    </row>
    <row r="18" spans="1:4">
      <c r="A18" s="3218" t="s">
        <v>2693</v>
      </c>
      <c r="B18" s="3218"/>
      <c r="C18" s="3218"/>
      <c r="D18" s="3218"/>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18" t="s">
        <v>2698</v>
      </c>
      <c r="B23" s="3218"/>
      <c r="C23" s="3218"/>
      <c r="D23" s="3218"/>
    </row>
    <row r="24" spans="1:4">
      <c r="A24" s="2822" t="s">
        <v>2694</v>
      </c>
      <c r="B24" s="2822" t="s">
        <v>2699</v>
      </c>
      <c r="C24" s="2822" t="s">
        <v>2696</v>
      </c>
      <c r="D24" s="2822" t="s">
        <v>2697</v>
      </c>
    </row>
    <row r="25" spans="1:4">
      <c r="A25" s="2825" t="s">
        <v>2700</v>
      </c>
      <c r="B25" s="2822" t="s">
        <v>952</v>
      </c>
      <c r="C25" s="2824"/>
      <c r="D25" s="1785"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9" t="s">
        <v>53</v>
      </c>
      <c r="B15" s="3230" t="s">
        <v>846</v>
      </c>
      <c r="C15" s="3226"/>
    </row>
    <row r="16" spans="1:7" ht="14.25">
      <c r="A16" s="3229"/>
      <c r="B16" s="3227" t="s">
        <v>54</v>
      </c>
      <c r="C16" s="1167" t="s">
        <v>53</v>
      </c>
    </row>
    <row r="17" spans="1:3" ht="14.25">
      <c r="A17" s="3229"/>
      <c r="B17" s="3227"/>
      <c r="C17" s="1167" t="s">
        <v>55</v>
      </c>
    </row>
    <row r="18" spans="1:3" ht="14.25">
      <c r="A18" s="3229"/>
      <c r="B18" s="3227"/>
      <c r="C18" s="1167" t="s">
        <v>56</v>
      </c>
    </row>
    <row r="19" spans="1:3" ht="14.25">
      <c r="A19" s="3229"/>
      <c r="B19" s="3225" t="s">
        <v>57</v>
      </c>
      <c r="C19" s="3226"/>
    </row>
    <row r="20" spans="1:3" ht="14.25">
      <c r="A20" s="1168" t="s">
        <v>58</v>
      </c>
      <c r="B20" s="1169"/>
      <c r="C20" s="1170"/>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1" t="s">
        <v>837</v>
      </c>
    </row>
    <row r="25" spans="1:3" ht="14.25">
      <c r="A25" s="3228"/>
      <c r="B25" s="3232"/>
      <c r="C25" s="1171" t="s">
        <v>838</v>
      </c>
    </row>
    <row r="26" spans="1:3" ht="14.25">
      <c r="A26" s="3228"/>
      <c r="B26" s="3232"/>
      <c r="C26" s="1171" t="s">
        <v>839</v>
      </c>
    </row>
    <row r="27" spans="1:3" ht="14.25">
      <c r="A27" s="3228"/>
      <c r="B27" s="3232"/>
      <c r="C27" s="1171" t="s">
        <v>840</v>
      </c>
    </row>
    <row r="28" spans="1:3" ht="14.25">
      <c r="A28" s="3228"/>
      <c r="B28" s="3232"/>
      <c r="C28" s="1171" t="s">
        <v>841</v>
      </c>
    </row>
    <row r="29" spans="1:3" ht="14.25">
      <c r="A29" s="3228"/>
      <c r="B29" s="3232"/>
      <c r="C29" s="1171" t="s">
        <v>842</v>
      </c>
    </row>
    <row r="30" spans="1:3" ht="14.25">
      <c r="A30" s="3228"/>
      <c r="B30" s="3232"/>
      <c r="C30" s="1171" t="s">
        <v>843</v>
      </c>
    </row>
    <row r="31" spans="1:3" ht="14.25">
      <c r="A31" s="3228"/>
      <c r="B31" s="3232"/>
      <c r="C31" s="1171" t="s">
        <v>844</v>
      </c>
    </row>
    <row r="32" spans="1:3" ht="14.25">
      <c r="A32" s="3228"/>
      <c r="B32" s="3232"/>
      <c r="C32" s="1171" t="s">
        <v>1646</v>
      </c>
    </row>
    <row r="33" spans="1:3" ht="14.25">
      <c r="A33" s="3228"/>
      <c r="B33" s="3222" t="s">
        <v>1652</v>
      </c>
      <c r="C33" s="1171" t="s">
        <v>1647</v>
      </c>
    </row>
    <row r="34" spans="1:3" ht="14.25">
      <c r="A34" s="3228"/>
      <c r="B34" s="3223"/>
      <c r="C34" s="1176" t="s">
        <v>1648</v>
      </c>
    </row>
    <row r="35" spans="1:3" ht="14.25">
      <c r="A35" s="3228"/>
      <c r="B35" s="3223"/>
      <c r="C35" s="1177" t="s">
        <v>1649</v>
      </c>
    </row>
    <row r="36" spans="1:3" ht="14.25">
      <c r="A36" s="3228"/>
      <c r="B36" s="3223"/>
      <c r="C36" s="1177" t="s">
        <v>1650</v>
      </c>
    </row>
    <row r="37" spans="1:3" ht="14.25">
      <c r="A37" s="3228"/>
      <c r="B37" s="322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43755</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2574</v>
      </c>
      <c r="B15" s="3129">
        <f ca="1">IF(C15&lt;B2,"已过期",1120070085)</f>
        <v>1120070085</v>
      </c>
      <c r="C15" s="3133">
        <v>43814</v>
      </c>
      <c r="D15" s="3129" t="s">
        <v>2979</v>
      </c>
      <c r="E15" s="3129">
        <f ca="1">IF(F15&lt;B2,"已过期",2004110128)</f>
        <v>2004110128</v>
      </c>
      <c r="F15" s="3135">
        <v>47118</v>
      </c>
    </row>
    <row r="16" spans="1:6" ht="20.25" customHeight="1">
      <c r="A16" s="3129" t="s">
        <v>1923</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2989</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2951</v>
      </c>
      <c r="C18" s="1540"/>
    </row>
    <row r="19" spans="1:3">
      <c r="A19" s="8" t="s">
        <v>120</v>
      </c>
      <c r="B19" s="3062"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5"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c r="D53" s="1752"/>
      <c r="E53" s="1752"/>
    </row>
    <row r="54" spans="1:5">
      <c r="A54" s="3235"/>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5"/>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5"/>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5"/>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土地及房屋在售案例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2019-10-17T07:06:45Z</dcterms:modified>
</cp:coreProperties>
</file>