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I101" i="21"/>
  <c r="J101" i="21" s="1"/>
  <c r="K101" i="21" s="1"/>
  <c r="L101" i="21" s="1"/>
  <c r="M101" i="21" s="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E2" i="68"/>
  <c r="F6" i="73"/>
  <c r="D4" i="73"/>
  <c r="L48" i="67"/>
  <c r="B7" i="76"/>
  <c r="M23" i="67"/>
  <c r="M22" i="67"/>
  <c r="F42" i="67"/>
  <c r="F8" i="67"/>
  <c r="D7" i="73"/>
  <c r="C76" i="67"/>
  <c r="F3" i="73"/>
  <c r="F9" i="67"/>
  <c r="B9" i="76"/>
  <c r="B12" i="76"/>
  <c r="F7" i="73"/>
  <c r="E2" i="69"/>
  <c r="M9" i="67"/>
  <c r="F20" i="31"/>
  <c r="B11" i="76"/>
  <c r="E10" i="76"/>
  <c r="E11" i="76"/>
  <c r="F4" i="73"/>
  <c r="F37" i="67"/>
  <c r="D35" i="9"/>
  <c r="M28" i="67"/>
  <c r="F13" i="67"/>
  <c r="F26" i="67"/>
  <c r="F6" i="67"/>
  <c r="D6" i="73"/>
  <c r="B10" i="76"/>
  <c r="B13" i="76"/>
  <c r="D3" i="73"/>
  <c r="E8" i="76"/>
  <c r="F38" i="67"/>
  <c r="D5" i="73"/>
  <c r="F40" i="67"/>
  <c r="E13" i="76"/>
  <c r="F5" i="73"/>
  <c r="D34" i="9"/>
  <c r="M8" i="67"/>
  <c r="F16" i="67"/>
  <c r="E12" i="76"/>
  <c r="M6" i="67"/>
  <c r="L47" i="67"/>
  <c r="AO13" i="1"/>
  <c r="B8" i="76"/>
  <c r="E7" i="76"/>
  <c r="F36" i="67"/>
  <c r="M26" i="67"/>
  <c r="J15" i="67"/>
  <c r="E9" i="76"/>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M9" i="15"/>
  <c r="M24" i="15"/>
  <c r="F7" i="15"/>
  <c r="F37" i="15"/>
  <c r="M28" i="15"/>
  <c r="G1" i="73"/>
  <c r="F8" i="15"/>
  <c r="F36" i="15"/>
  <c r="M6" i="15"/>
  <c r="M23" i="15"/>
  <c r="M8" i="15"/>
  <c r="M22" i="15"/>
  <c r="F42" i="15"/>
  <c r="F38" i="15"/>
  <c r="F43" i="15"/>
  <c r="M29" i="67"/>
  <c r="F43" i="67"/>
  <c r="L47" i="15"/>
  <c r="F9" i="15"/>
  <c r="M26" i="15"/>
  <c r="F13" i="15"/>
  <c r="D9" i="68"/>
  <c r="F40" i="15"/>
  <c r="C76" i="15"/>
  <c r="J15" i="15"/>
  <c r="F16" i="15"/>
  <c r="F26" i="15"/>
  <c r="F7" i="67"/>
  <c r="M29" i="15"/>
  <c r="L48"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C36" i="69"/>
  <c r="F41" i="67"/>
  <c r="C36" i="68"/>
  <c r="C16" i="67"/>
  <c r="C16" i="15"/>
  <c r="D9"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41" i="15"/>
  <c r="M27" i="67"/>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14" i="67"/>
  <c r="C17" i="67"/>
  <c r="D10" i="68"/>
  <c r="C34" i="69"/>
  <c r="C17" i="15"/>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14" i="15"/>
  <c r="E6" i="76"/>
  <c r="C34" i="68"/>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E10" i="74"/>
  <c r="B10" i="74"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T26"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D2" i="21"/>
  <c r="B3" i="69"/>
  <c r="D19" i="9"/>
  <c r="D102" i="9" l="1"/>
  <c r="D21" i="9"/>
  <c r="S24" i="31"/>
  <c r="S22" i="31" s="1"/>
  <c r="R22" i="31" s="1"/>
  <c r="C57" i="69"/>
  <c r="C56" i="69" s="1"/>
  <c r="D18" i="81"/>
  <c r="F17" i="81" s="1"/>
  <c r="H17" i="81" s="1"/>
  <c r="D14" i="74"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5"/>
  <c r="D2" i="36"/>
  <c r="D2" i="37"/>
  <c r="D2" i="34"/>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9" i="1"/>
  <c r="AO12" i="1"/>
  <c r="AO6" i="1"/>
  <c r="AO11"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I4" i="52"/>
  <c r="C105" i="9"/>
  <c r="C104" i="9"/>
  <c r="H4" i="52"/>
  <c r="N60" i="9"/>
  <c r="N61" i="9"/>
  <c r="N59" i="9"/>
  <c r="N58" i="9"/>
  <c r="P57" i="9"/>
  <c r="B30" i="72"/>
  <c r="C81" i="9"/>
  <c r="D13" i="53"/>
  <c r="D14" i="53"/>
  <c r="B32" i="72"/>
  <c r="M55" i="9"/>
  <c r="E81" i="9"/>
  <c r="C5" i="74"/>
  <c r="D59" i="9"/>
  <c r="M54" i="9"/>
  <c r="B48" i="72"/>
  <c r="C68" i="9"/>
  <c r="D54" i="9"/>
  <c r="B20" i="72"/>
  <c r="E4" i="52"/>
  <c r="B51" i="72"/>
  <c r="C93" i="9"/>
  <c r="C86" i="9"/>
  <c r="D56" i="9"/>
  <c r="M48" i="9"/>
  <c r="D8" i="52"/>
  <c r="N57" i="9"/>
  <c r="H102" i="9"/>
  <c r="D7" i="53"/>
  <c r="B21" i="72"/>
  <c r="H119" i="9"/>
  <c r="H5" i="52"/>
  <c r="D5" i="53"/>
  <c r="D6" i="53"/>
  <c r="B22" i="72"/>
  <c r="D4" i="52"/>
  <c r="B47" i="72"/>
  <c r="B49" i="72"/>
  <c r="G4" i="52"/>
  <c r="B52" i="72"/>
  <c r="B31" i="72"/>
  <c r="F4" i="52"/>
  <c r="G118" i="9"/>
  <c r="F118" i="9"/>
  <c r="F119" i="9"/>
  <c r="F5" i="52"/>
  <c r="B53" i="72"/>
  <c r="C96" i="9"/>
  <c r="E96" i="9"/>
  <c r="E97" i="9"/>
  <c r="C78" i="9"/>
  <c r="C73" i="9"/>
  <c r="C64" i="9"/>
  <c r="C63" i="9"/>
  <c r="C67" i="9"/>
  <c r="C85" i="9"/>
  <c r="C95" i="9"/>
  <c r="C97" i="9"/>
  <c r="D58" i="9"/>
  <c r="D15" i="53"/>
  <c r="H108" i="9"/>
  <c r="C6" i="74"/>
  <c r="H107" i="9"/>
  <c r="D122" i="9"/>
  <c r="D123" i="9"/>
  <c r="D9" i="52"/>
  <c r="C72" i="9"/>
  <c r="C79" i="9"/>
  <c r="C80" i="9"/>
  <c r="E80" i="9"/>
  <c r="E118" i="9"/>
  <c r="D118" i="9"/>
  <c r="D119" i="9"/>
  <c r="D5" i="5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<sst xmlns="http://schemas.openxmlformats.org/spreadsheetml/2006/main" count="8140" uniqueCount="3643">
  <si>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</si>
  <si>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</si>
  <si>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</si>
  <si>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</si>
  <si>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</si>
  <si>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</si>
  <si>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</si>
  <si>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</si>
  <si>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</si>
  <si>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</si>
  <si>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</si>
  <si>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</si>
  <si>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</si>
  <si>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</si>
  <si>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</si>
  <si>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</si>
  <si>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</si>
  <si>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</si>
  <si>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</si>
  <si>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</si>
  <si>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</si>
  <si>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</si>
  <si>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</si>
  <si>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</si>
  <si>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</si>
  <si>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</si>
  <si>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</si>
  <si>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</si>
  <si>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</si>
  <si>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</si>
  <si>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</si>
  <si>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</si>
  <si>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</si>
  <si>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</si>
  <si>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</si>
  <si>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</si>
  <si>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</si>
  <si>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</si>
  <si>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</si>
  <si>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</si>
  <si>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</si>
  <si>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</si>
  <si>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</si>
  <si>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</si>
  <si>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</si>
  <si>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</si>
  <si>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</si>
  <si>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</si>
  <si>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</si>
  <si>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</si>
  <si>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</si>
  <si>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</si>
  <si>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</si>
  <si>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</si>
  <si>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</si>
  <si>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</si>
  <si>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</si>
  <si>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</si>
  <si>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</si>
  <si>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</si>
  <si>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</si>
  <si>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</si>
  <si>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</si>
  <si>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</si>
  <si>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</si>
  <si>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</si>
  <si>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</si>
  <si>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</si>
  <si>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</si>
  <si>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</si>
  <si>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</si>
  <si>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</si>
  <si>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</si>
  <si>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</si>
  <si>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</si>
  <si>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</si>
  <si>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</si>
  <si>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</si>
  <si>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</si>
  <si>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</si>
  <si>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</si>
  <si>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</si>
  <si>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</si>
  <si>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</si>
  <si>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</si>
  <si>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</si>
  <si>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</si>
  <si>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</si>
  <si>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</si>
  <si>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</si>
  <si>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</si>
  <si>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</si>
  <si>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</si>
  <si>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</si>
  <si>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</si>
  <si>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</si>
  <si>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</si>
  <si>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</si>
  <si>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</si>
  <si>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</si>
  <si>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</si>
  <si>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</si>
  <si>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</si>
  <si>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</si>
  <si>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</si>
  <si>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</si>
  <si>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</si>
  <si>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</si>
  <si>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</si>
  <si>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</si>
  <si>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</si>
  <si>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</si>
  <si>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</si>
  <si>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</si>
  <si>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</si>
  <si>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</si>
  <si>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</si>
  <si>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</si>
  <si>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</si>
  <si>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</si>
  <si>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</si>
  <si>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</si>
  <si>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</si>
  <si>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</si>
  <si>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</si>
  <si>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</si>
  <si>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</si>
  <si>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</si>
  <si>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</si>
  <si>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</si>
  <si>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</si>
  <si>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</si>
  <si>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</si>
  <si>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</si>
  <si>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</si>
  <si>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</si>
  <si>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</si>
  <si>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</si>
  <si>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</si>
  <si>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</si>
  <si>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</si>
  <si>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</si>
  <si>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</si>
  <si>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</si>
  <si>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</si>
  <si>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</si>
  <si>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</si>
  <si>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</si>
  <si>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</si>
  <si>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</si>
  <si>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</si>
  <si>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</si>
  <si>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</si>
  <si>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</si>
  <si>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</si>
  <si>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</si>
  <si>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</si>
  <si>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</si>
  <si>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</si>
  <si>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</si>
  <si>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</si>
  <si>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</si>
  <si>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</si>
  <si>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</si>
  <si>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</si>
  <si>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</si>
  <si>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</si>
  <si>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</si>
  <si>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</si>
  <si>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</si>
  <si>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</si>
  <si>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</si>
  <si>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</si>
  <si>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</si>
  <si>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</si>
  <si>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</si>
  <si>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</si>
  <si>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</si>
  <si>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</si>
  <si>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</si>
  <si>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</si>
  <si>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</si>
  <si>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</si>
  <si>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</si>
  <si>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</si>
  <si>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</si>
  <si>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</si>
  <si>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</si>
  <si>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</si>
  <si>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</si>
  <si>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</si>
  <si>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</si>
  <si>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</si>
  <si>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</si>
  <si>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</si>
  <si>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</si>
  <si>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</si>
  <si>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</si>
  <si>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</si>
  <si>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</si>
  <si>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</si>
  <si>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</si>
  <si>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</si>
  <si>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</si>
  <si>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</si>
  <si>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</si>
  <si>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</si>
  <si>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</si>
  <si>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</si>
  <si>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</si>
  <si>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</si>
  <si>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</si>
  <si>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</si>
  <si>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</si>
  <si>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</si>
  <si>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</si>
  <si>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</si>
  <si>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</si>
  <si>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</si>
  <si>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</si>
  <si>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</si>
  <si>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</si>
  <si>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</si>
  <si>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</si>
  <si>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</si>
  <si>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</si>
  <si>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</si>
  <si>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</si>
  <si>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</si>
  <si>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</si>
  <si>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</si>
  <si>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</si>
  <si>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</si>
  <si>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</si>
  <si>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</si>
  <si>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</si>
  <si>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</si>
  <si>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</si>
  <si>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</si>
  <si>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</si>
  <si>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</si>
  <si>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</si>
  <si>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</si>
  <si>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</si>
  <si>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</si>
  <si>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</si>
  <si>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</si>
  <si>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</si>
  <si>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</si>
  <si>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</si>
  <si>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</si>
  <si>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</si>
  <si>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</si>
  <si>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</si>
  <si>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</si>
  <si>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</si>
  <si>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</si>
  <si>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</si>
  <si>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</si>
  <si>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</si>
  <si>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</si>
  <si>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</si>
  <si>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</si>
  <si>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</si>
  <si>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</si>
  <si>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</si>
  <si>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</si>
  <si>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</si>
  <si>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</si>
  <si>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</si>
  <si>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</si>
  <si>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</si>
  <si>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</si>
  <si>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</si>
  <si>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</si>
  <si>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</si>
  <si>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</si>
  <si>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</si>
  <si>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</si>
  <si>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</si>
  <si>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</si>
  <si>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</si>
  <si>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</si>
  <si>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</si>
  <si>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</si>
  <si>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</si>
  <si>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</si>
  <si>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</si>
  <si>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</si>
  <si>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</si>
  <si>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</si>
  <si>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</si>
  <si>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</si>
  <si>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</si>
  <si>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</si>
  <si>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</si>
  <si>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</si>
  <si>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</si>
  <si>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</si>
  <si>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</si>
  <si>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</si>
  <si>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</si>
  <si>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</si>
  <si>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</si>
  <si>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</si>
  <si>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</si>
  <si>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</si>
  <si>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</si>
  <si>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</si>
  <si>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</si>
  <si>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</si>
  <si>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</si>
  <si>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</si>
  <si>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</si>
  <si>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</si>
  <si>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</si>
  <si>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</si>
  <si>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</si>
  <si>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</si>
  <si>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</si>
  <si>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</si>
  <si>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</si>
  <si>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</si>
  <si>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</si>
  <si>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</si>
  <si>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</si>
  <si>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</si>
  <si>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</si>
  <si>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</si>
  <si>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</si>
  <si>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</si>
  <si>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</si>
  <si>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</si>
  <si>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</si>
  <si>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</si>
  <si>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</si>
  <si>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</si>
  <si>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</si>
  <si>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</si>
  <si>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</si>
  <si>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</si>
  <si>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</si>
  <si>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</si>
  <si>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</si>
  <si>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</si>
  <si>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</si>
  <si>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</si>
  <si>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</si>
  <si>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</si>
  <si>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</si>
  <si>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</si>
  <si>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</si>
  <si>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</si>
  <si>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</si>
  <si>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</si>
  <si>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</si>
  <si>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</si>
  <si>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</si>
  <si>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</si>
  <si>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</si>
  <si>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</si>
  <si>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</si>
  <si>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</si>
  <si>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</si>
  <si>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</si>
  <si>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</si>
  <si>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</si>
  <si>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</si>
  <si>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</si>
  <si>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</si>
  <si>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</si>
  <si>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</si>
  <si>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</si>
  <si>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</si>
  <si>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</si>
  <si>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</si>
  <si>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</si>
  <si>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</si>
  <si>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</si>
  <si>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</si>
  <si>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</si>
  <si>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</si>
  <si>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</si>
  <si>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</si>
  <si>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</si>
  <si>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</si>
  <si>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</si>
  <si>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</si>
  <si>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</si>
  <si>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</si>
  <si>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</si>
  <si>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</si>
  <si>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</si>
  <si>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</si>
  <si>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</si>
  <si>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</si>
  <si>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</si>
  <si>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</si>
  <si>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</si>
  <si>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</si>
  <si>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</si>
  <si>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</si>
  <si>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</si>
  <si>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</si>
  <si>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</si>
  <si>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</si>
  <si>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</si>
  <si>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</si>
  <si>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</si>
  <si>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</si>
  <si>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</si>
  <si>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</si>
  <si>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</si>
  <si>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</si>
  <si>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</si>
  <si>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</si>
  <si>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</si>
  <si>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</si>
  <si>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</si>
  <si>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</si>
  <si>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</si>
  <si>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</si>
  <si>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</si>
  <si>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</si>
  <si>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</si>
  <si>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</si>
  <si>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</si>
  <si>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</si>
  <si>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</si>
  <si>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</si>
  <si>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</si>
  <si>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</si>
  <si>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</si>
  <si>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</si>
  <si>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</si>
  <si>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</si>
  <si>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</si>
  <si>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</si>
  <si>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</si>
  <si>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</si>
  <si>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</si>
  <si>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</si>
  <si>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</si>
  <si>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</si>
  <si>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</si>
  <si>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</si>
  <si>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</si>
  <si>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</si>
  <si>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</si>
  <si>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</si>
  <si>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</si>
  <si>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</si>
  <si>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</si>
  <si>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</si>
  <si>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</si>
  <si>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</si>
  <si>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</si>
  <si>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</si>
  <si>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</si>
  <si>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</si>
  <si>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</si>
  <si>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</si>
  <si>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</si>
  <si>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</si>
  <si>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</si>
  <si>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</si>
  <si>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</si>
  <si>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</si>
  <si>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</si>
  <si>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</si>
  <si>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</si>
  <si>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</si>
  <si>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</si>
  <si>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</si>
  <si>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</si>
  <si>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</si>
  <si>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</si>
  <si>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</si>
  <si>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</si>
  <si>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</si>
  <si>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</si>
  <si>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</si>
  <si>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</si>
  <si>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</si>
  <si>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</si>
  <si>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</si>
  <si>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</si>
  <si>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</si>
  <si>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</si>
  <si>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</si>
  <si>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</si>
  <si>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</si>
  <si>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</si>
  <si>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</si>
  <si>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</si>
  <si>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</si>
  <si>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</si>
  <si>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</si>
  <si>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</si>
  <si>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</si>
  <si>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</si>
  <si>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</si>
  <si>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</si>
  <si>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</si>
  <si>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</si>
  <si>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</si>
  <si>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</si>
  <si>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</si>
  <si>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</si>
  <si>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</si>
  <si>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</si>
  <si>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</si>
  <si>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</si>
  <si>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</si>
  <si>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</si>
  <si>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</si>
  <si>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</si>
  <si>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</si>
  <si>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</si>
  <si>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</si>
  <si>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</si>
  <si>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</si>
  <si>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</si>
  <si>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</si>
  <si>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</si>
  <si>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</si>
  <si>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</si>
  <si>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</si>
  <si>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</si>
  <si>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</si>
  <si>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</si>
  <si>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</si>
  <si>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</si>
  <si>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</si>
  <si>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</si>
  <si>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</si>
  <si>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</si>
  <si>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</si>
  <si>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</si>
  <si>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</si>
  <si>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</si>
  <si>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</si>
  <si>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</si>
  <si>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</si>
  <si>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</si>
  <si>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</si>
  <si>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</si>
  <si>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</si>
  <si>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</si>
  <si>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</si>
  <si>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</si>
  <si>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</si>
  <si>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</si>
  <si>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</si>
  <si>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</si>
  <si>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</si>
  <si>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</si>
  <si>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</si>
  <si>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</si>
  <si>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</si>
  <si>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</si>
  <si>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</si>
  <si>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</si>
  <si>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</si>
  <si>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</si>
  <si>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</si>
  <si>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</si>
  <si>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</si>
  <si>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</si>
  <si>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</si>
  <si>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</si>
  <si>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</si>
  <si>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</si>
  <si>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</si>
  <si>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</si>
  <si>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</si>
  <si>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</si>
  <si>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</si>
  <si>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</si>
  <si>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</si>
  <si>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</si>
  <si>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</si>
  <si>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</si>
  <si>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</si>
  <si>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</si>
  <si>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</si>
  <si>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</si>
  <si>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</si>
  <si>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</si>
  <si>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</si>
  <si>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</si>
  <si>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</si>
  <si>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</si>
  <si>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</si>
  <si>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</si>
  <si>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</si>
  <si>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</si>
  <si>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</si>
  <si>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</si>
  <si>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</si>
  <si>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</si>
  <si>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</si>
  <si>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</si>
  <si>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</si>
  <si>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</si>
  <si>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</si>
  <si>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</si>
  <si>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</si>
  <si>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</si>
  <si>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</si>
  <si>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</si>
  <si>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</si>
  <si>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</si>
  <si>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</si>
  <si>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</si>
  <si>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</si>
  <si>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</si>
  <si>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</si>
  <si>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</si>
  <si>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</si>
  <si>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</si>
  <si>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</si>
  <si>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</si>
  <si>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</si>
  <si>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</si>
  <si>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</si>
  <si>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</si>
  <si>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</si>
  <si>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</si>
  <si>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</si>
  <si>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</si>
  <si>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</si>
  <si>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</si>
  <si>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</si>
  <si>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</si>
  <si>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</si>
  <si>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</si>
  <si>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</si>
  <si>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</si>
  <si>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</si>
  <si>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</si>
  <si>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</si>
  <si>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</si>
  <si>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</si>
  <si>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</si>
  <si>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</si>
  <si>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</si>
  <si>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</si>
  <si>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</si>
  <si>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</si>
  <si>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</si>
  <si>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</si>
  <si>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</si>
  <si>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</si>
  <si>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</si>
  <si>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</si>
  <si>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</si>
  <si>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</si>
  <si>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</si>
  <si>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</si>
  <si>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</si>
  <si>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</si>
  <si>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</si>
  <si>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</si>
  <si>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</si>
  <si>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</si>
  <si>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</si>
  <si>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</si>
  <si>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</si>
  <si>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</si>
  <si>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</si>
  <si>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</si>
  <si>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</si>
  <si>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</si>
  <si>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</si>
  <si>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</si>
  <si>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</si>
  <si>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</si>
  <si>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</si>
  <si>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</si>
  <si>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</si>
  <si>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</si>
  <si>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</si>
  <si>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</si>
  <si>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</si>
  <si>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</si>
  <si>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</si>
  <si>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</si>
  <si>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</si>
  <si>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</si>
  <si>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</si>
  <si>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</si>
  <si>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</si>
  <si>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</si>
  <si>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</si>
  <si>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</si>
  <si>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</si>
  <si>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</si>
  <si>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</si>
  <si>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</si>
  <si>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</si>
  <si>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</si>
  <si>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</si>
  <si>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</si>
  <si>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</si>
  <si>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</si>
  <si>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</si>
  <si>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</si>
  <si>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</si>
  <si>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</si>
  <si>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</si>
  <si>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</si>
  <si>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</si>
  <si>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</si>
  <si>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</si>
  <si>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</si>
  <si>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</si>
  <si>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</si>
  <si>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</si>
  <si>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</si>
  <si>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</si>
  <si>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</si>
  <si>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</si>
  <si>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</si>
  <si>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</si>
  <si>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</si>
  <si>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</si>
  <si>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</si>
  <si>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</si>
  <si>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</si>
  <si>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</si>
  <si>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</si>
  <si>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</si>
  <si>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</si>
  <si>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</si>
  <si>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</si>
  <si>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</si>
  <si>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</si>
  <si>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</si>
  <si>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</si>
  <si>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</si>
  <si>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</si>
  <si>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</si>
  <si>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</si>
  <si>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</si>
  <si>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</si>
  <si>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</si>
  <si>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</si>
  <si>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</si>
  <si>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</si>
  <si>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</si>
  <si>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</si>
  <si>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</si>
  <si>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</si>
  <si>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</si>
  <si>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</si>
  <si>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</si>
  <si>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</si>
  <si>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</si>
  <si>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</si>
  <si>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</si>
  <si>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</si>
  <si>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</si>
  <si>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</si>
  <si>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</si>
  <si>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</si>
  <si>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</si>
  <si>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</si>
  <si>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</si>
  <si>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</si>
  <si>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</si>
  <si>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</si>
  <si>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</si>
  <si>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</si>
  <si>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</si>
  <si>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</si>
  <si>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</si>
  <si>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</si>
  <si>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</si>
  <si>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</si>
  <si>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</si>
  <si>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</si>
  <si>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</si>
  <si>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</si>
  <si>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</si>
  <si>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</si>
  <si>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</si>
  <si>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</si>
  <si>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</si>
  <si>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</si>
  <si>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</si>
  <si>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</si>
  <si>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</si>
  <si>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</si>
  <si>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</si>
  <si>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</si>
  <si>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</si>
  <si>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</si>
  <si>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</si>
  <si>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</si>
  <si>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</si>
  <si>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</si>
  <si>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</si>
  <si>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</si>
  <si>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</si>
  <si>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</si>
  <si>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</si>
  <si>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</si>
  <si>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</si>
  <si>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</si>
  <si>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</si>
  <si>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</si>
  <si>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</si>
  <si>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</si>
  <si>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</si>
  <si>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</si>
  <si>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</si>
  <si>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</si>
  <si>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</si>
  <si>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</si>
  <si>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</si>
  <si>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</si>
  <si>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</si>
  <si>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</si>
  <si>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</si>
  <si>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</si>
  <si>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</si>
  <si>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</si>
  <si>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</si>
  <si>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</si>
  <si>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</si>
  <si>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</si>
  <si>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</si>
  <si>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</si>
  <si>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</si>
  <si>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</si>
  <si>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</si>
  <si>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</si>
  <si>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</si>
  <si>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</si>
  <si>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</si>
  <si>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</si>
  <si>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</si>
  <si>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</si>
  <si>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</si>
  <si>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</si>
  <si>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</si>
  <si>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</si>
  <si>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</si>
  <si>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</si>
  <si>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</si>
  <si>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</si>
  <si>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</si>
  <si>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</si>
  <si>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</si>
  <si>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</si>
  <si>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</si>
  <si>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</si>
  <si>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</si>
  <si>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</si>
  <si>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</si>
  <si>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</si>
  <si>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</si>
  <si>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</si>
  <si>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</si>
  <si>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</si>
  <si>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</si>
  <si>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</si>
  <si>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</si>
  <si>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</si>
  <si>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</si>
  <si>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</si>
  <si>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</si>
  <si>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</si>
  <si>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</si>
  <si>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</si>
  <si>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</si>
  <si>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</si>
  <si>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</si>
  <si>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</si>
  <si>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</si>
  <si>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</si>
  <si>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</si>
  <si>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</si>
  <si>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</si>
  <si>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</si>
  <si>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</si>
  <si>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</si>
  <si>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</si>
  <si>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</si>
  <si>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</si>
  <si>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</si>
  <si>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</si>
  <si>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</si>
  <si>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</si>
  <si>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</si>
  <si>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</si>
  <si>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</si>
  <si>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</si>
  <si>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</si>
  <si>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</si>
  <si>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</si>
  <si>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</si>
  <si>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</si>
  <si>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</si>
  <si>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</si>
  <si>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</si>
  <si>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</si>
  <si>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</si>
  <si>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</si>
  <si>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</si>
  <si>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</si>
  <si>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</si>
  <si>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</si>
  <si>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</si>
  <si>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</si>
  <si>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</si>
  <si>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</si>
  <si>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</si>
  <si>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</si>
  <si>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</si>
  <si>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</si>
  <si>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</si>
  <si>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</si>
  <si>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</si>
  <si>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</si>
  <si>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</si>
  <si>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</si>
  <si>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</si>
  <si>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</si>
  <si>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</si>
  <si>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</si>
  <si>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</si>
  <si>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</si>
  <si>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</si>
  <si>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</si>
  <si>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</si>
  <si>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</si>
  <si>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</si>
  <si>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</si>
  <si>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</si>
  <si>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</si>
  <si>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</si>
  <si>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</si>
  <si>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</si>
  <si>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</si>
  <si>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</si>
  <si>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</si>
  <si>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</si>
  <si>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</si>
  <si>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</si>
  <si>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</si>
  <si>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</si>
  <si>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</si>
  <si>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</si>
  <si>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</si>
  <si>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</si>
  <si>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</si>
  <si>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</si>
  <si>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</si>
  <si>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</si>
  <si>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</si>
  <si>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</si>
  <si>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</si>
  <si>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</si>
  <si>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</si>
  <si>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</si>
  <si>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</si>
  <si>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</si>
  <si>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</si>
  <si>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</si>
  <si>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</si>
  <si>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</si>
  <si>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</si>
  <si>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</si>
  <si>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</si>
  <si>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</si>
  <si>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</si>
  <si>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</si>
  <si>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</si>
  <si>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</si>
  <si>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</si>
  <si>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</si>
  <si>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</si>
  <si>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</si>
  <si>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</si>
  <si>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</si>
  <si>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</si>
  <si>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</si>
  <si>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</si>
  <si>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</si>
  <si>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</si>
  <si>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</si>
  <si>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</si>
  <si>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</si>
  <si>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</si>
  <si>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</si>
  <si>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</si>
  <si>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</si>
  <si>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</si>
  <si>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</si>
  <si>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</si>
  <si>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</si>
  <si>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</si>
  <si>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</si>
  <si>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</si>
  <si>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</si>
  <si>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</si>
  <si>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</si>
  <si>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</si>
  <si>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</si>
  <si>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</si>
  <si>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</si>
  <si>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</si>
  <si>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</si>
  <si>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</si>
  <si>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</si>
  <si>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</si>
  <si>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</si>
  <si>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</si>
  <si>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</si>
  <si>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</si>
  <si>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</si>
  <si>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</si>
  <si>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</si>
  <si>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</si>
  <si>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</si>
  <si>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</si>
  <si>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</si>
  <si>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</si>
  <si>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</si>
  <si>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</si>
  <si>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</si>
  <si>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</si>
  <si>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</si>
  <si>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</si>
  <si>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</si>
  <si>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</si>
  <si>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</si>
  <si>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</si>
  <si>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</si>
  <si>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</si>
  <si>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</si>
  <si>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</si>
  <si>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</si>
  <si>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</si>
  <si>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</si>
  <si>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</si>
  <si>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</si>
  <si>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</si>
  <si>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</si>
  <si>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</si>
  <si>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</si>
  <si>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</si>
  <si>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</si>
  <si>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</si>
  <si>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</si>
  <si>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</si>
  <si>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</si>
  <si>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</si>
  <si>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</si>
  <si>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</si>
  <si>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</si>
  <si>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</si>
  <si>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</si>
  <si>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</si>
  <si>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</si>
  <si>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</si>
  <si>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</si>
  <si>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</si>
  <si>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</si>
  <si>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</si>
  <si>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</si>
  <si>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</si>
  <si>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</si>
  <si>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</si>
  <si>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</si>
  <si>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</si>
  <si>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</si>
  <si>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</si>
  <si>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</si>
  <si>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</si>
  <si>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</si>
  <si>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</si>
  <si>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</si>
  <si>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</si>
  <si>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</si>
  <si>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</si>
  <si>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</si>
  <si>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</si>
  <si>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</si>
  <si>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</si>
  <si>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</si>
  <si>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</si>
  <si>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</si>
  <si>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</si>
  <si>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</si>
  <si>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</si>
  <si>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</si>
  <si>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</si>
  <si>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</si>
  <si>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</si>
  <si>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</si>
  <si>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</si>
  <si>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</si>
  <si>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</si>
  <si>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</si>
  <si>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</si>
  <si>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</si>
  <si>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</si>
  <si>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</si>
  <si>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</si>
  <si>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</si>
  <si>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</si>
  <si>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</si>
  <si>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</si>
  <si>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</si>
  <si>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</si>
  <si>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</si>
  <si>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</si>
  <si>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</si>
  <si>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</si>
  <si>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</si>
  <si>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</si>
  <si>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</si>
  <si>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</si>
  <si>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</si>
  <si>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</si>
  <si>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</si>
  <si>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</si>
  <si>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</si>
  <si>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</si>
  <si>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</si>
  <si>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</si>
  <si>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</si>
  <si>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</si>
  <si>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</si>
  <si>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</si>
  <si>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</si>
  <si>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</si>
  <si>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</si>
  <si>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</si>
  <si>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</si>
  <si>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</si>
  <si>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</si>
  <si>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</si>
  <si>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</si>
  <si>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</si>
  <si>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</si>
  <si>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</si>
  <si>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</si>
  <si>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</si>
  <si>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</si>
  <si>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</si>
  <si>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</si>
  <si>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</si>
  <si>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</si>
  <si>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</si>
  <si>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</si>
  <si>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</si>
  <si>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</si>
  <si>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</si>
  <si>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</si>
  <si>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</si>
  <si>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</si>
  <si>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</si>
  <si>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</si>
  <si>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</si>
  <si>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</si>
  <si>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</si>
  <si>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</si>
  <si>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</si>
  <si>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</si>
  <si>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</si>
  <si>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</si>
  <si>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</si>
  <si>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</si>
  <si>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</si>
  <si>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</si>
  <si>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</si>
  <si>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</si>
  <si>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</si>
  <si>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</si>
  <si>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</si>
  <si>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</si>
  <si>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</si>
  <si>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</si>
  <si>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</si>
  <si>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</si>
  <si>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</si>
  <si>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</si>
  <si>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</si>
  <si>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</si>
  <si>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</si>
  <si>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</si>
  <si>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</si>
  <si>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</si>
  <si>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</si>
  <si>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</si>
  <si>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</si>
  <si>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</si>
  <si>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</si>
  <si>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</si>
  <si>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</si>
  <si>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</si>
  <si>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</si>
  <si>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</si>
  <si>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</si>
  <si>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</si>
  <si>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</si>
  <si>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</si>
  <si>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</si>
  <si>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</si>
  <si>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</si>
  <si>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</si>
  <si>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</si>
  <si>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</si>
  <si>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</si>
  <si>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</si>
  <si>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</si>
  <si>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</si>
  <si>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</si>
  <si>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</si>
  <si>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</si>
  <si>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</si>
  <si>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</si>
  <si>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</si>
  <si>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</si>
  <si>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</si>
  <si>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</si>
  <si>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</si>
  <si>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</si>
  <si>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</si>
  <si>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</si>
  <si>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</si>
  <si>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</si>
  <si>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</si>
  <si>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</si>
  <si>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</si>
  <si>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</si>
  <si>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</si>
  <si>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</si>
  <si>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</si>
  <si>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</si>
  <si>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</si>
  <si>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</si>
  <si>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</si>
  <si>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</si>
  <si>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</si>
  <si>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</si>
  <si>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</si>
  <si>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</si>
  <si>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</si>
  <si>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</si>
  <si>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</si>
  <si>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</si>
  <si>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</si>
  <si>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</si>
  <si>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</si>
  <si>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</si>
  <si>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</si>
  <si>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</si>
  <si>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</si>
  <si>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</si>
  <si>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</si>
  <si>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</si>
  <si>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</si>
  <si>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</si>
  <si>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</si>
  <si>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</si>
  <si>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</si>
  <si>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</si>
  <si>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</si>
  <si>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</si>
  <si>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</si>
  <si>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</si>
  <si>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</si>
  <si>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</si>
  <si>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</si>
  <si>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</si>
  <si>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</si>
  <si>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</si>
  <si>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</si>
  <si>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</si>
  <si>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</si>
  <si>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</si>
  <si>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</si>
  <si>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</si>
  <si>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</si>
  <si>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</si>
  <si>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</si>
  <si>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</si>
  <si>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</si>
  <si>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</si>
  <si>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</si>
  <si>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</si>
  <si>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</si>
  <si>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</si>
  <si>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</si>
  <si>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</si>
  <si>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</si>
  <si>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</si>
  <si>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</si>
  <si>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</si>
  <si>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</si>
  <si>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</si>
  <si>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</si>
  <si>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</si>
  <si>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</si>
  <si>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</si>
  <si>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</si>
  <si>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</si>
  <si>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</si>
  <si>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</si>
  <si>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</si>
  <si>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</si>
  <si>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</si>
  <si>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</si>
  <si>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</si>
  <si>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</si>
  <si>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</si>
  <si>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</si>
  <si>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</si>
  <si>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</si>
  <si>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</si>
  <si>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</si>
  <si>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</si>
  <si>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</si>
  <si>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</si>
  <si>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</si>
  <si>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</si>
  <si>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</si>
  <si>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</si>
  <si>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</si>
  <si>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</si>
  <si>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</si>
  <si>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</si>
  <si>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</si>
  <si>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</si>
  <si>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</si>
  <si>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</si>
  <si>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</si>
  <si>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</si>
  <si>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</si>
  <si>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</si>
  <si>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</si>
  <si>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</si>
  <si>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</si>
  <si>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</si>
  <si>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</si>
  <si>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</si>
  <si>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</si>
  <si>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</si>
  <si>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</si>
  <si>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</si>
  <si>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</si>
  <si>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</si>
  <si>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</si>
  <si>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</si>
  <si>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</si>
  <si>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</si>
  <si>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</si>
  <si>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</si>
  <si>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</si>
  <si>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</si>
  <si>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</si>
  <si>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</si>
  <si>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</si>
  <si>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</si>
  <si>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</si>
  <si>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</si>
  <si>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</si>
  <si>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</si>
  <si>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</si>
  <si>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</si>
  <si>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</si>
  <si>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</si>
  <si>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</si>
  <si>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</si>
  <si>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</si>
  <si>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</si>
  <si>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</si>
  <si>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</si>
  <si>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</si>
  <si>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</si>
  <si>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</si>
  <si>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</si>
  <si>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</si>
  <si>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</si>
  <si>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</si>
  <si>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</si>
  <si>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</si>
  <si>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</si>
  <si>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</si>
  <si>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</si>
  <si>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</si>
  <si>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</si>
  <si>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</si>
  <si>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</si>
  <si>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</si>
  <si>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</si>
  <si>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</si>
  <si>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</si>
  <si>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</si>
  <si>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</si>
  <si>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</si>
  <si>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</si>
  <si>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</si>
  <si>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</si>
  <si>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</si>
  <si>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</si>
  <si>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</si>
  <si>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</si>
  <si>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</si>
  <si>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</si>
  <si>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</si>
  <si>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</si>
  <si>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</si>
  <si>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</si>
  <si>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</si>
  <si>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</si>
  <si>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</si>
  <si>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</si>
  <si>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</si>
  <si>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</si>
  <si>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</si>
  <si>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</si>
  <si>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</si>
  <si>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</si>
  <si>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</si>
  <si>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</si>
  <si>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</si>
  <si>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</si>
  <si>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</si>
  <si>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</si>
  <si>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</si>
  <si>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</si>
  <si>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</si>
  <si>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</si>
  <si>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</si>
  <si>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</si>
  <si>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</si>
  <si>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</si>
  <si>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</si>
  <si>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</si>
  <si>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</si>
  <si>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</si>
  <si>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</si>
  <si>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</si>
  <si>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</si>
  <si>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</si>
  <si>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</si>
  <si>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</si>
  <si>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</si>
  <si>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</si>
  <si>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</si>
  <si>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</si>
  <si>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</si>
  <si>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</si>
  <si>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</si>
  <si>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</si>
  <si>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</si>
  <si>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</si>
  <si>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</si>
  <si>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</si>
  <si>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</si>
  <si>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</si>
  <si>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</si>
  <si>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</si>
  <si>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</si>
  <si>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</si>
  <si>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</si>
  <si>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</si>
  <si>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</si>
  <si>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</si>
  <si>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</si>
  <si>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</si>
  <si>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</si>
  <si>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</si>
  <si>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</si>
  <si>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</si>
  <si>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</si>
  <si>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</si>
  <si>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</si>
  <si>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</si>
  <si>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</si>
  <si>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</si>
  <si>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</si>
  <si>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</si>
  <si>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</si>
  <si>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</si>
  <si>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</si>
  <si>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</si>
  <si>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</si>
  <si>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</si>
  <si>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</si>
  <si>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</si>
  <si>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</si>
  <si>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</si>
  <si>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</si>
  <si>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</si>
  <si>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</si>
  <si>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</si>
  <si>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</si>
  <si>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</si>
  <si>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</si>
  <si>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</si>
  <si>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</si>
  <si>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</si>
  <si>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</si>
  <si>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</si>
  <si>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</si>
  <si>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</si>
  <si>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</si>
  <si>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</si>
  <si>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</si>
  <si>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</si>
  <si>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</si>
  <si>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</si>
  <si>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</si>
  <si>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</si>
  <si>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</si>
  <si>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</si>
  <si>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</si>
  <si>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</si>
  <si>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</si>
  <si>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</si>
  <si>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</si>
  <si>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</si>
  <si>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</si>
  <si>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</si>
  <si>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</si>
  <si>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</si>
  <si>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</si>
  <si>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</si>
  <si>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</si>
  <si>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</si>
  <si>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</si>
  <si>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</si>
  <si>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</si>
  <si>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</si>
  <si>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</si>
  <si>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</si>
  <si>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</si>
  <si>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</si>
  <si>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</si>
  <si>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</si>
  <si>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</si>
  <si>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</si>
  <si>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</si>
  <si>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</si>
  <si>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</si>
  <si>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</si>
  <si>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</si>
  <si>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</si>
  <si>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</si>
  <si>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</si>
  <si>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</si>
  <si>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</si>
  <si>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</si>
  <si>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</si>
  <si>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</si>
  <si>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</si>
  <si>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</si>
  <si>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</si>
  <si>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</si>
  <si>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</si>
  <si>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</si>
  <si>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</si>
  <si>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</si>
  <si>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</si>
  <si>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</si>
  <si>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</si>
  <si>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</si>
  <si>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</si>
  <si>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</si>
  <si>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</si>
  <si>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</si>
  <si>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</si>
  <si>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</si>
  <si>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</si>
  <si>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</si>
  <si>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</si>
  <si>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</si>
  <si>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</si>
  <si>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</si>
  <si>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</si>
  <si>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</si>
  <si>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</si>
  <si>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</si>
  <si>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</si>
  <si>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</si>
  <si>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</si>
  <si>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</si>
  <si>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</si>
  <si>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</si>
  <si>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</si>
  <si>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</si>
  <si>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</si>
  <si>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</si>
  <si>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</si>
  <si>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</si>
  <si>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</si>
  <si>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</si>
  <si>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</si>
  <si>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</si>
  <si>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</si>
  <si>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</si>
  <si>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</si>
  <si>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</si>
  <si>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</si>
  <si>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</si>
  <si>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</si>
  <si>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</si>
  <si>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</si>
  <si>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</si>
  <si>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</si>
  <si>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</si>
  <si>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</si>
  <si>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</si>
  <si>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</si>
  <si>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</si>
  <si>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</si>
  <si>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</si>
  <si>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</si>
  <si>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</si>
  <si>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</si>
  <si>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</si>
  <si>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</si>
  <si>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</si>
  <si>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</si>
  <si>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</si>
  <si>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</si>
  <si>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</si>
  <si>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</si>
  <si>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</si>
  <si>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</si>
  <si>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</si>
  <si>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</si>
  <si>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</si>
  <si>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</si>
  <si>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</si>
  <si>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</si>
  <si>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</si>
  <si>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</si>
  <si>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</si>
  <si>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</si>
  <si>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</si>
  <si>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</si>
  <si>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</si>
  <si>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</si>
  <si>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</si>
  <si>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</si>
  <si>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</si>
  <si>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</si>
  <si>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</si>
  <si>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</si>
  <si>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</si>
  <si>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</si>
  <si>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</si>
  <si>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</si>
  <si>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</si>
  <si>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</si>
  <si>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</si>
  <si>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</si>
  <si>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</si>
  <si>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</si>
  <si>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</si>
  <si>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</si>
  <si>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</si>
  <si>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</si>
  <si>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</si>
  <si>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</si>
  <si>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</si>
  <si>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</si>
  <si>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</si>
  <si>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</si>
  <si>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</si>
  <si>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</si>
  <si>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</si>
  <si>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</si>
  <si>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</si>
  <si>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</si>
  <si>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</si>
  <si>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</si>
  <si>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</si>
  <si>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</si>
  <si>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</si>
  <si>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</si>
  <si>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</si>
  <si>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</si>
  <si>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</si>
  <si>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</si>
  <si>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</si>
  <si>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</si>
  <si>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</si>
  <si>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</si>
  <si>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</si>
  <si>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</si>
  <si>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</si>
  <si>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</si>
  <si>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</si>
  <si>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</si>
  <si>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</si>
  <si>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</si>
  <si>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</si>
  <si>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</si>
  <si>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</si>
  <si>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</si>
  <si>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</si>
  <si>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</si>
  <si>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</si>
  <si>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</si>
  <si>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</si>
  <si>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</si>
  <si>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</si>
  <si>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</si>
  <si>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</si>
  <si>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</si>
  <si>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</si>
  <si>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</si>
  <si>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</si>
  <si>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</si>
  <si>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</si>
  <si>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</si>
  <si>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</si>
  <si>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</si>
  <si>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</si>
  <si>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</si>
  <si>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</si>
  <si>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</si>
  <si>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</si>
  <si>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</si>
  <si>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</si>
  <si>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</si>
  <si>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</si>
  <si>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</si>
  <si>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</si>
  <si>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</si>
  <si>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</si>
  <si>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</si>
  <si>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</si>
  <si>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</si>
  <si>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</si>
  <si>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</si>
  <si>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</si>
  <si>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</si>
  <si>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</si>
  <si>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</si>
  <si>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</si>
  <si>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</si>
  <si>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</si>
  <si>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</si>
  <si>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</si>
  <si>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</si>
  <si>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</si>
  <si>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</si>
  <si>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</si>
  <si>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</si>
  <si>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</si>
  <si>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</si>
  <si>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</si>
  <si>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</si>
  <si>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</si>
  <si>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</si>
  <si>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</si>
  <si>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</si>
  <si>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</si>
  <si>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</si>
  <si>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</si>
  <si>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</si>
  <si>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</si>
  <si>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</si>
  <si>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</si>
  <si>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</si>
  <si>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</si>
  <si>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</si>
  <si>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</si>
  <si>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</si>
  <si>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</si>
  <si>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</si>
  <si>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</si>
  <si>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</si>
  <si>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</si>
  <si>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</si>
  <si>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</si>
  <si>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</si>
  <si>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</si>
  <si>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</si>
  <si>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</si>
  <si>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</si>
  <si>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</si>
  <si>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</si>
  <si>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</si>
  <si>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</si>
  <si>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</si>
  <si>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</si>
  <si>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</si>
  <si>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</si>
  <si>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</si>
  <si>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</si>
  <si>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</si>
  <si>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</si>
  <si>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</si>
  <si>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</si>
  <si>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</si>
  <si>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</si>
  <si>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</si>
  <si>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</si>
  <si>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</si>
  <si>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</si>
  <si>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</si>
  <si>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</si>
  <si>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</si>
  <si>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</si>
  <si>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</si>
  <si>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</si>
  <si>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</si>
  <si>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</si>
  <si>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</si>
  <si>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</si>
  <si>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</si>
  <si>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</si>
  <si>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</si>
  <si>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</si>
  <si>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</si>
  <si>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</si>
  <si>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</si>
  <si>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</si>
  <si>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</si>
  <si>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</si>
  <si>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</si>
  <si>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</si>
  <si>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</si>
  <si>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</si>
  <si>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</si>
  <si>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</si>
  <si>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</si>
  <si>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</si>
  <si>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</si>
  <si>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</si>
  <si>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</si>
  <si>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</si>
  <si>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</si>
  <si>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</si>
  <si>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</si>
  <si>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</si>
  <si>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</si>
  <si>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</si>
  <si>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</si>
  <si>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</si>
  <si>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</si>
  <si>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</si>
  <si>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</si>
  <si>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</si>
  <si>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</si>
  <si>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</si>
  <si>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</si>
  <si>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</si>
  <si>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</si>
  <si>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</si>
  <si>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</si>
  <si>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</si>
  <si>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</si>
  <si>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</si>
  <si>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</si>
  <si>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</si>
  <si>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</si>
  <si>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</si>
  <si>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</si>
  <si>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</si>
  <si>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</si>
  <si>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</si>
  <si>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</si>
  <si>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</si>
  <si>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</si>
  <si>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</si>
  <si>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</si>
  <si>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</si>
  <si>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</si>
  <si>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</si>
  <si>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</si>
  <si>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</si>
  <si>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</si>
  <si>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</si>
  <si>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</si>
  <si>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</si>
  <si>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</si>
  <si>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</si>
  <si>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</si>
  <si>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</si>
  <si>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</si>
  <si>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</si>
  <si>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</si>
  <si>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</si>
  <si>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</si>
  <si>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</si>
  <si>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</si>
  <si>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</si>
  <si>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</si>
  <si>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</si>
  <si>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</si>
  <si>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</si>
  <si>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</si>
  <si>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</si>
  <si>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</si>
  <si>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</si>
  <si>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</si>
  <si>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</si>
  <si>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</si>
  <si>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</si>
  <si>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</si>
  <si>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</si>
  <si>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</si>
  <si>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</si>
  <si>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</si>
  <si>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</si>
  <si>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</si>
  <si>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</si>
  <si>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</si>
  <si>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</si>
  <si>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</si>
  <si>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</si>
  <si>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</si>
  <si>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</si>
  <si>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</si>
  <si>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</si>
  <si>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</si>
  <si>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</si>
  <si>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</si>
  <si>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</si>
  <si>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</si>
  <si>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</si>
  <si>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</si>
  <si>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</si>
  <si>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</si>
  <si>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</si>
  <si>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</si>
  <si>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</si>
  <si>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</si>
  <si>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</si>
  <si>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</si>
  <si>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</si>
  <si>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</si>
  <si>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</si>
  <si>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</si>
  <si>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</si>
  <si>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</si>
  <si>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</si>
  <si>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</si>
  <si>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</si>
  <si>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</si>
  <si>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</si>
  <si>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</si>
  <si>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</si>
  <si>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</si>
  <si>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</si>
  <si>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</si>
  <si>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</si>
  <si>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</si>
  <si>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</si>
  <si>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</si>
  <si>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</si>
  <si>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</si>
  <si>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</si>
  <si>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</si>
  <si>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</si>
  <si>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</si>
  <si>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</si>
  <si>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</si>
  <si>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</si>
  <si>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</si>
  <si>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</si>
  <si>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</si>
  <si>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</si>
  <si>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</si>
  <si>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</si>
  <si>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</si>
  <si>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</si>
  <si>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</si>
  <si>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</si>
  <si>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</si>
  <si>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</si>
  <si>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</si>
  <si>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</si>
  <si>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</si>
  <si>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</si>
  <si>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</si>
  <si>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</si>
  <si>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</si>
  <si>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</si>
  <si>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</si>
  <si>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</si>
  <si>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</si>
  <si>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</si>
  <si>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</si>
  <si>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</si>
  <si>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</si>
  <si>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</si>
  <si>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</si>
  <si>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</si>
  <si>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</si>
  <si>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</si>
  <si>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</si>
  <si>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</si>
  <si>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</si>
  <si>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</si>
  <si>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</si>
  <si>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</si>
  <si>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</si>
  <si>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</si>
  <si>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</si>
  <si>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</si>
  <si>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</si>
  <si>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</si>
  <si>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</si>
  <si>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</si>
  <si>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</si>
  <si>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</si>
  <si>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</si>
  <si>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</si>
  <si>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</si>
  <si>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</si>
  <si>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</si>
  <si>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</si>
  <si>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</si>
  <si>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</si>
  <si>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</si>
  <si>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</si>
  <si>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</si>
  <si>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</si>
  <si>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</si>
  <si>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</si>
  <si>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</si>
  <si>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</si>
  <si>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</si>
  <si>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</si>
  <si>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</si>
  <si>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</si>
  <si>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</si>
  <si>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</si>
  <si>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</si>
  <si>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</si>
  <si>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</si>
  <si>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</si>
  <si>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</si>
  <si>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</si>
  <si>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</si>
  <si>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</si>
  <si>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</si>
  <si>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</si>
  <si>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</si>
  <si>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</si>
  <si>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</si>
  <si>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</si>
  <si>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</si>
  <si>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</si>
  <si>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</si>
  <si>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</si>
  <si>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</si>
  <si>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</si>
  <si>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</si>
  <si>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</si>
  <si>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</si>
  <si>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</si>
  <si>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</si>
  <si>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</si>
  <si>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</si>
  <si>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</si>
  <si>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</si>
  <si>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</si>
  <si>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</si>
  <si>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</si>
  <si>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</si>
  <si>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</si>
  <si>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</si>
  <si>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</si>
  <si>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</si>
  <si>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</si>
  <si>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</si>
  <si>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</si>
  <si>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</si>
  <si>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</si>
  <si>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</si>
  <si>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</si>
  <si>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</si>
  <si>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</si>
  <si>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</si>
  <si>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</si>
  <si>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</si>
  <si>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</si>
  <si>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</si>
  <si>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</si>
  <si>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</si>
  <si>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</si>
  <si>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</si>
  <si>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</si>
  <si>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</si>
  <si>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</si>
  <si>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</si>
  <si>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</si>
  <si>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</si>
  <si>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</si>
  <si>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</si>
  <si>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</si>
  <si>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</si>
  <si>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</si>
  <si>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</si>
  <si>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</si>
  <si>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</si>
  <si>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</si>
  <si>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</si>
  <si>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</si>
  <si>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</si>
  <si>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</si>
  <si>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</si>
  <si>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</si>
  <si>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</si>
  <si>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</si>
  <si>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</si>
  <si>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</si>
  <si>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</si>
  <si>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</si>
  <si>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</si>
  <si>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</si>
  <si>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</si>
  <si>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</si>
  <si>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</si>
  <si>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</si>
  <si>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</si>
  <si>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</si>
  <si>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</si>
  <si>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</si>
  <si>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</si>
  <si>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</si>
  <si>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</si>
  <si>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</si>
  <si>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</si>
  <si>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</si>
  <si>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</si>
  <si>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</si>
  <si>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</si>
  <si>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</si>
  <si>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</si>
  <si>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</si>
  <si>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</si>
  <si>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</si>
  <si>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</si>
  <si>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</si>
  <si>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</si>
  <si>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</si>
  <si>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</si>
  <si>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</si>
  <si>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</si>
  <si>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</si>
  <si>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</si>
  <si>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</si>
  <si>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</si>
  <si>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</si>
  <si>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</si>
  <si>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</si>
  <si>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</si>
  <si>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</si>
  <si>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</si>
  <si>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</si>
  <si>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</si>
  <si>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</si>
  <si>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</si>
  <si>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</si>
  <si>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</si>
  <si>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</si>
  <si>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</si>
  <si>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</si>
  <si>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</si>
  <si>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</si>
  <si>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</si>
  <si>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</si>
  <si>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</si>
  <si>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</si>
  <si>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</si>
  <si>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</si>
  <si>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</si>
  <si>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</si>
  <si>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</si>
  <si>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</si>
  <si>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</si>
  <si>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</si>
  <si>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</si>
  <si>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</si>
  <si>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</si>
  <si>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</si>
  <si>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</si>
  <si>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</si>
  <si>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</si>
  <si>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</si>
  <si>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</si>
  <si>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</si>
  <si>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</si>
  <si>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</si>
  <si>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</si>
  <si>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</si>
  <si>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</si>
  <si>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</si>
  <si>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</si>
  <si>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</si>
  <si>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</si>
  <si>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</si>
  <si>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</si>
  <si>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</si>
  <si>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</si>
  <si>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</si>
  <si>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</si>
  <si>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</si>
  <si>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</si>
  <si>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</si>
  <si>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</si>
  <si>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</si>
  <si>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</si>
  <si>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</si>
  <si>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</si>
  <si>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</si>
  <si>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</si>
  <si>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</si>
  <si>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</si>
  <si>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</si>
  <si>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</si>
  <si>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</si>
  <si>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</si>
  <si>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</si>
  <si>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</si>
  <si>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</si>
  <si>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</si>
  <si>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</si>
  <si>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</si>
  <si>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</si>
  <si>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</si>
  <si>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</si>
  <si>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</si>
  <si>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</si>
  <si>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</si>
  <si>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</si>
  <si>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</si>
  <si>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</si>
  <si>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</si>
  <si>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</si>
  <si>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</si>
  <si>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</si>
  <si>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</si>
  <si>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</si>
  <si>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</si>
  <si>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</si>
  <si>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</si>
  <si>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</si>
  <si>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</si>
  <si>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</si>
  <si>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</si>
  <si>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</si>
  <si>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</si>
  <si>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</si>
  <si>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</si>
  <si>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</si>
  <si>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</si>
  <si>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</si>
  <si>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</si>
  <si>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</si>
  <si>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</si>
  <si>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</si>
  <si>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</si>
  <si>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</si>
  <si>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</si>
  <si>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</si>
  <si>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</si>
  <si>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</si>
  <si>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</si>
  <si>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</si>
  <si>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</si>
  <si>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</si>
  <si>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</si>
  <si>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</si>
  <si>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</si>
  <si>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</si>
  <si>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</si>
  <si>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</si>
  <si>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</si>
  <si>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</si>
  <si>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</si>
  <si>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</si>
  <si>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</si>
  <si>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</si>
  <si>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</si>
  <si>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</si>
  <si>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</si>
  <si>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</si>
  <si>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</si>
  <si>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</si>
  <si>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</si>
  <si>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</si>
  <si>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</si>
  <si>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</si>
  <si>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</si>
  <si>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</si>
  <si>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</si>
  <si>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</si>
  <si>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</si>
  <si>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</si>
  <si>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</si>
  <si>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</si>
  <si>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</si>
  <si>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</si>
  <si>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</si>
  <si>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</si>
  <si>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</si>
  <si>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</si>
  <si>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</si>
  <si>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</si>
  <si>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</si>
  <si>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</si>
  <si>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</si>
  <si>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</si>
  <si>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</si>
  <si>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</si>
  <si>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</si>
  <si>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</si>
  <si>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</si>
  <si>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</si>
  <si>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</si>
  <si>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</si>
  <si>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</si>
  <si>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</si>
  <si>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</si>
  <si>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</si>
  <si>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</si>
  <si>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</si>
  <si>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</si>
  <si>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</si>
  <si>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</si>
  <si>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</si>
  <si>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</si>
  <si>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</si>
  <si>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</si>
  <si>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</si>
  <si>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</si>
  <si>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</si>
  <si>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</si>
  <si>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</si>
  <si>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</si>
  <si>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</si>
  <si>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</si>
  <si>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</si>
  <si>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</si>
  <si>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</si>
  <si>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</si>
  <si>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</si>
  <si>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</si>
  <si>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</si>
  <si>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</si>
  <si>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</si>
  <si>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</si>
  <si>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</si>
  <si>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</si>
  <si>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</si>
  <si>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</si>
  <si>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</si>
  <si>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</si>
  <si>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</si>
  <si>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</si>
  <si>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</si>
  <si>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</si>
  <si>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</si>
  <si>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</si>
  <si>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</si>
  <si>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</si>
  <si>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</si>
  <si>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</si>
  <si>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</si>
  <si>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</si>
  <si>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</si>
  <si>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</si>
  <si>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</si>
  <si>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</si>
  <si>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</si>
  <si>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</si>
  <si>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</si>
  <si>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</si>
  <si>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</si>
  <si>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</si>
  <si>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</si>
  <si>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</si>
  <si>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</si>
  <si>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</si>
  <si>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</si>
  <si>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</si>
  <si>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</si>
  <si>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</si>
  <si>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</si>
  <si>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</si>
  <si>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</si>
  <si>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</si>
  <si>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</si>
  <si>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</si>
  <si>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</si>
  <si>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</si>
  <si>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</si>
  <si>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</si>
  <si>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</si>
  <si>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</si>
  <si>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</si>
  <si>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</si>
  <si>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</si>
  <si>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</si>
  <si>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</si>
  <si>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</si>
  <si>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</si>
  <si>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</si>
  <si>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</si>
  <si>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</si>
  <si>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</si>
  <si>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</si>
  <si>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</si>
  <si>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</si>
  <si>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</si>
  <si>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</si>
  <si>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</si>
  <si>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</si>
  <si>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</si>
  <si>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</si>
  <si>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</si>
  <si>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</si>
  <si>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</si>
  <si>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</si>
  <si>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</si>
  <si>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</si>
  <si>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</si>
  <si>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</si>
  <si>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</si>
  <si>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</si>
  <si>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</si>
  <si>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</si>
  <si>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</si>
  <si>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</si>
  <si>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</si>
  <si>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</si>
  <si>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</si>
  <si>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</si>
  <si>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</si>
  <si>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</si>
  <si>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</si>
  <si>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</si>
  <si>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</si>
  <si>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</si>
  <si>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</si>
  <si>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</si>
  <si>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</si>
  <si>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</si>
  <si>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</si>
  <si>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</si>
  <si>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</si>
  <si>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</si>
  <si>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</si>
  <si>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</si>
  <si>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</si>
  <si>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</si>
  <si>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</si>
  <si>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</si>
  <si>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</si>
  <si>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</si>
  <si>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</si>
  <si>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</si>
  <si>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</si>
  <si>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</si>
  <si>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</si>
  <si>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</si>
  <si>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</si>
  <si>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</si>
  <si>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</si>
  <si>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</si>
  <si>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</si>
  <si>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</si>
  <si>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</si>
  <si>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</si>
  <si>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</si>
  <si>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</si>
  <si>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</si>
  <si>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</si>
  <si>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</si>
  <si>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</si>
  <si>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</si>
  <si>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</si>
  <si>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</si>
  <si>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</si>
  <si>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</si>
  <si>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</si>
  <si>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</si>
  <si>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</si>
  <si>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</si>
  <si>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</si>
  <si>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</si>
  <si>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</si>
  <si>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</si>
  <si>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</si>
  <si>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</si>
  <si>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</si>
  <si>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</si>
  <si>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</si>
  <si>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</si>
  <si>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</si>
  <si>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</si>
  <si>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</si>
  <si>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</si>
  <si>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</si>
  <si>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</si>
  <si>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</si>
  <si>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</si>
  <si>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</si>
  <si>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</si>
  <si>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</si>
  <si>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</si>
  <si>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</si>
  <si>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</si>
  <si>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</si>
  <si>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</si>
  <si>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</si>
  <si>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</si>
  <si>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</si>
  <si>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</si>
  <si>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</si>
  <si>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</si>
  <si>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</si>
  <si>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</si>
  <si>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</si>
  <si>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</si>
  <si>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</si>
  <si>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</si>
  <si>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</si>
  <si>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</si>
  <si>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</si>
  <si>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</si>
  <si>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</si>
  <si>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</si>
  <si>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</si>
  <si>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</si>
  <si>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</si>
  <si>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</si>
  <si>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</si>
  <si>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</si>
  <si>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</si>
  <si>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</si>
  <si>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</si>
  <si>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</si>
  <si>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</si>
  <si>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</si>
  <si>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</si>
  <si>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</si>
  <si>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</si>
  <si>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</si>
  <si>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</si>
  <si>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</si>
  <si>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</si>
  <si>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</si>
  <si>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</si>
  <si>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</si>
  <si>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</si>
  <si>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</si>
  <si>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</si>
  <si>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</si>
  <si>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</si>
  <si>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</si>
  <si>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</si>
  <si>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</si>
  <si>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</si>
  <si>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</si>
  <si>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</si>
  <si>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</si>
  <si>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</si>
  <si>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</si>
  <si>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</si>
  <si>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</si>
  <si>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</si>
  <si>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</si>
  <si>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</si>
  <si>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</si>
  <si>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</si>
  <si>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</si>
  <si>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</si>
  <si>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</si>
  <si>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</si>
  <si>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</si>
  <si>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</si>
  <si>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</si>
  <si>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</si>
  <si>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</si>
  <si>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</si>
  <si>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</si>
  <si>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</si>
  <si>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</si>
  <si>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</si>
  <si>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</si>
  <si>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</si>
  <si>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</si>
  <si>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</si>
  <si>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</si>
  <si>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</si>
  <si>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</si>
  <si>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</si>
  <si>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</si>
  <si>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</si>
  <si>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</si>
  <si>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</si>
  <si>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</si>
  <si>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</si>
  <si>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</si>
  <si>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</si>
  <si>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</si>
  <si>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</si>
  <si>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</si>
  <si>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</si>
  <si>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</si>
  <si>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</si>
  <si>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</si>
  <si>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</si>
  <si>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</si>
  <si>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</si>
  <si>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</si>
  <si>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</si>
  <si>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</si>
  <si>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</si>
  <si>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</si>
  <si>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</si>
  <si>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</si>
  <si>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</si>
  <si>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</si>
  <si>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</si>
  <si>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</si>
  <si>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</si>
  <si>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</si>
  <si>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</si>
  <si>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</si>
  <si>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</si>
  <si>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</si>
  <si>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</si>
  <si>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</si>
  <si>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</si>
  <si>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</si>
  <si>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</si>
  <si>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</si>
  <si>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</si>
  <si>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</si>
  <si>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</si>
  <si>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</si>
  <si>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</si>
  <si>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</si>
  <si>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</si>
  <si>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</si>
  <si>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</si>
  <si>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</si>
  <si>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</si>
  <si>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</si>
  <si>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</si>
  <si>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</si>
  <si>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</si>
  <si>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</si>
  <si>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</si>
  <si>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</si>
  <si>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</si>
  <si>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</si>
  <si>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</si>
  <si>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</si>
  <si>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</si>
  <si>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</si>
  <si>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</si>
  <si>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</si>
  <si>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</si>
  <si>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</si>
  <si>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</si>
  <si>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</si>
  <si>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</si>
  <si>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</si>
  <si>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</si>
  <si>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</si>
  <si>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</si>
  <si>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</si>
  <si>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</si>
  <si>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</si>
  <si>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</si>
  <si>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</si>
  <si>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</si>
  <si>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</si>
  <si>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</si>
  <si>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</si>
  <si>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</si>
  <si>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</si>
  <si>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</si>
  <si>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</si>
  <si>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</si>
  <si>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</si>
  <si>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</si>
  <si>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</si>
  <si>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</si>
  <si>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</si>
  <si>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</si>
  <si>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</si>
  <si>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</si>
  <si>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</si>
  <si>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</si>
  <si>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</si>
  <si>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</si>
  <si>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</si>
  <si>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</si>
  <si>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</si>
  <si>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</si>
  <si>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</si>
  <si>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</si>
  <si>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</si>
  <si>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</si>
  <si>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</si>
  <si>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</si>
  <si>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</si>
  <si>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</si>
  <si>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</si>
  <si>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</si>
  <si>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</si>
  <si>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</si>
  <si>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</si>
  <si>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</si>
  <si>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</si>
  <si>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</si>
  <si>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</si>
  <si>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</si>
  <si>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</si>
  <si>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</si>
  <si>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</si>
  <si>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</si>
  <si>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</si>
  <si>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</si>
  <si>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</si>
  <si>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</si>
  <si>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</si>
  <si>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</si>
  <si>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</si>
  <si>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</si>
  <si>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</si>
  <si>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</si>
  <si>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</si>
  <si>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</si>
  <si>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</si>
  <si>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</si>
  <si>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</si>
  <si>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</si>
  <si>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</si>
  <si>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</si>
  <si>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</si>
  <si>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</si>
  <si>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</si>
  <si>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</si>
  <si>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</si>
  <si>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</si>
  <si>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</si>
  <si>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</si>
  <si>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</si>
  <si>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</si>
  <si>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</si>
  <si>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</si>
  <si>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</si>
  <si>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</si>
  <si>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</si>
  <si>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</si>
  <si>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</si>
  <si>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</si>
  <si>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</si>
  <si>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</si>
  <si>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</si>
  <si>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</si>
  <si>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</si>
  <si>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</si>
  <si>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</si>
  <si>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</si>
  <si>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</si>
  <si>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</si>
  <si>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</si>
  <si>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</si>
  <si>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</si>
  <si>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</si>
  <si>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</si>
  <si>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</si>
  <si>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</si>
  <si>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</si>
  <si>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</si>
  <si>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</si>
  <si>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</si>
  <si>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</si>
  <si>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</si>
  <si>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</si>
  <si>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</si>
  <si>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</si>
  <si>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</si>
  <si>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</si>
  <si>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</si>
  <si>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</si>
  <si>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</si>
  <si>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</si>
  <si>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</si>
  <si>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</si>
  <si>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</si>
  <si>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</si>
  <si>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</si>
  <si>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</si>
  <si>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</si>
  <si>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</si>
  <si>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</si>
  <si>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</si>
  <si>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</si>
  <si>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</si>
  <si>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</si>
  <si>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</si>
  <si>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</si>
  <si>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</si>
  <si>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</si>
  <si>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</si>
  <si>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</si>
  <si>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</si>
  <si>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</si>
  <si>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</si>
  <si>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</si>
  <si>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</si>
  <si>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</si>
  <si>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</si>
  <si>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</si>
  <si>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</si>
  <si>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</si>
  <si>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</si>
  <si>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</si>
  <si>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</si>
  <si>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</si>
  <si>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</si>
  <si>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</si>
  <si>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</si>
  <si>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</si>
  <si>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</si>
  <si>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</si>
  <si>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</si>
  <si>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</si>
  <si>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</si>
  <si>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</si>
  <si>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</si>
  <si>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</si>
  <si>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</si>
  <si>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</si>
  <si>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</si>
  <si>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</si>
  <si>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</si>
  <si>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</si>
  <si>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</si>
  <si>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</si>
  <si>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</si>
  <si>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</si>
  <si>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</si>
  <si>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</si>
  <si>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</si>
  <si>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</si>
  <si>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</si>
  <si>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</si>
  <si>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</si>
  <si>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</si>
  <si>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</si>
  <si>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</si>
  <si>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</si>
  <si>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</si>
  <si>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</si>
  <si>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</si>
  <si>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</si>
  <si>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</si>
  <si>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</si>
  <si>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</si>
  <si>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</si>
  <si>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</si>
  <si>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</si>
  <si>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</si>
  <si>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</si>
  <si>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</si>
  <si>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</si>
  <si>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</si>
  <si>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</si>
  <si>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</si>
  <si>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</si>
  <si>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</si>
  <si>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</si>
  <si>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</si>
  <si>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</si>
  <si>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</si>
  <si>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</si>
  <si>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</si>
  <si>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</si>
  <si>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</si>
  <si>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</si>
  <si>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</si>
  <si>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</si>
  <si>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</si>
  <si>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</si>
  <si>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</si>
  <si>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</si>
  <si>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</si>
  <si>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</si>
  <si>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</si>
  <si>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</si>
  <si>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</si>
  <si>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</si>
  <si>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</si>
  <si>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</si>
  <si>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</si>
  <si>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</si>
  <si>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</si>
  <si>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</si>
  <si>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</si>
  <si>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</si>
  <si>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</si>
  <si>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</si>
  <si>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</si>
  <si>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</si>
  <si>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</si>
  <si>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</si>
  <si>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</si>
  <si>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</si>
  <si>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</si>
  <si>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</si>
  <si>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</si>
  <si>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</si>
  <si>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</si>
  <si>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</si>
  <si>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</si>
  <si>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</si>
  <si>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</si>
  <si>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</si>
  <si>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</si>
  <si>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</si>
  <si>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</si>
  <si>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</si>
  <si>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</si>
  <si>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</si>
  <si>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</si>
  <si>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</si>
  <si>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</si>
  <si>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</si>
  <si>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</si>
  <si>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</si>
  <si>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</si>
  <si>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</si>
  <si>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</si>
  <si>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</si>
  <si>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</si>
  <si>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</si>
  <si>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</si>
  <si>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</si>
  <si>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</si>
  <si>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</si>
  <si>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</si>
  <si>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</si>
  <si>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</si>
  <si>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</si>
  <si>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</si>
  <si>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</si>
  <si>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</si>
  <si>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</si>
  <si>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</si>
  <si>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</si>
  <si>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</si>
  <si>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</si>
  <si>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</si>
  <si>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</si>
  <si>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</si>
  <si>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</si>
  <si>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</si>
  <si>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</si>
  <si>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</si>
  <si>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</si>
  <si>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</si>
  <si>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</si>
  <si>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</si>
  <si>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</si>
  <si>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</si>
  <si>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</si>
  <si>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</si>
  <si>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</si>
  <si>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</si>
  <si>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</si>
  <si>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</si>
  <si>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</si>
  <si>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</si>
  <si>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</si>
  <si>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</si>
  <si>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</si>
  <si>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</si>
  <si>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</si>
  <si>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</si>
  <si>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</si>
  <si>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</si>
  <si>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</si>
  <si>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</si>
  <si>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</si>
  <si>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</si>
  <si>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</si>
  <si>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</si>
  <si>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</si>
  <si>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</si>
  <si>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</si>
  <si>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</si>
  <si>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</si>
  <si>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</si>
  <si>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</si>
  <si>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</si>
  <si>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</si>
  <si>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</si>
  <si>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</si>
  <si>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</si>
  <si>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</si>
  <si>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</si>
  <si>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</si>
  <si>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</si>
  <si>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</si>
  <si>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</si>
  <si>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</si>
  <si>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</si>
  <si>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</si>
  <si>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</si>
  <si>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</si>
  <si>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</si>
  <si>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</si>
  <si>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</si>
  <si>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</si>
  <si>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</si>
  <si>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</si>
  <si>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</si>
  <si>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</si>
  <si>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</si>
  <si>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</si>
  <si>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</si>
  <si>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</si>
  <si>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</si>
  <si>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</si>
  <si>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</si>
  <si>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</si>
  <si>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</si>
  <si>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</si>
  <si>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</si>
  <si>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</si>
  <si>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</si>
  <si>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</si>
  <si>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</si>
  <si>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</si>
  <si>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</si>
  <si>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</si>
  <si>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</si>
  <si>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</si>
  <si>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</si>
  <si>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</si>
  <si>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</si>
  <si>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</si>
  <si>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</si>
  <si>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</si>
  <si>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</si>
  <si>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</si>
  <si>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</si>
  <si>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</si>
  <si>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</si>
  <si>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</si>
  <si>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</si>
  <si>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</si>
  <si>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</si>
  <si>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</si>
  <si>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</si>
  <si>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</si>
  <si>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</si>
  <si>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</si>
  <si>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</si>
  <si>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</si>
  <si>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</si>
  <si>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</si>
  <si>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</si>
  <si>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</si>
  <si>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</si>
  <si>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</si>
  <si>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</si>
  <si>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</si>
  <si>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</si>
  <si>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</si>
  <si>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</si>
  <si>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</si>
  <si>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</si>
  <si>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</si>
  <si>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</si>
  <si>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</si>
  <si>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</si>
  <si>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</si>
  <si>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</si>
  <si>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</si>
  <si>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</si>
  <si>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</si>
  <si>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</si>
  <si>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</si>
  <si>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</si>
  <si>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</si>
  <si>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</si>
  <si>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</si>
  <si>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</si>
  <si>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</si>
  <si>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</si>
  <si>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</si>
  <si>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</si>
  <si>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</si>
  <si>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</si>
  <si>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</si>
  <si>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</si>
  <si>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</si>
  <si>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</si>
  <si>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</si>
  <si>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</si>
  <si>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</si>
  <si>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</si>
  <si>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</si>
  <si>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</si>
  <si>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</si>
  <si>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</si>
  <si>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</si>
  <si>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</si>
  <si>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</si>
  <si>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</si>
  <si>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</si>
  <si>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</si>
  <si>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</si>
  <si>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</si>
  <si>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</si>
  <si>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</si>
  <si>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</si>
  <si>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</si>
  <si>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</si>
  <si>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</si>
  <si>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</si>
  <si>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</si>
  <si>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</si>
  <si>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</si>
  <si>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</si>
  <si>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</si>
  <si>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</si>
  <si>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</si>
  <si>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</si>
  <si>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</si>
  <si>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</si>
  <si>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</si>
  <si>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</si>
  <si>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</si>
  <si>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</si>
  <si>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</si>
  <si>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</si>
  <si>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</si>
  <si>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</si>
  <si>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</si>
  <si>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</si>
  <si>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</si>
  <si>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</si>
  <si>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</si>
  <si>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</si>
  <si>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</si>
  <si>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</si>
  <si>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</si>
  <si>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</si>
  <si>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</si>
  <si>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</si>
  <si>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</si>
  <si>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</si>
  <si>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</si>
  <si>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</si>
  <si>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</si>
  <si>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</si>
  <si>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</si>
  <si>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</si>
  <si>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</si>
  <si>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</si>
  <si>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</si>
  <si>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</si>
  <si>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</si>
  <si>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</si>
  <si>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</si>
  <si>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</si>
  <si>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</si>
  <si>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</si>
  <si>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</si>
  <si>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</si>
  <si>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</si>
  <si>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</si>
  <si>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</si>
  <si>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</si>
  <si>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</si>
  <si>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</si>
  <si>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</si>
  <si>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</si>
  <si>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</si>
  <si>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</si>
  <si>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</si>
  <si>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</si>
  <si>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</si>
  <si>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</si>
  <si>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</si>
  <si>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</si>
  <si>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</si>
  <si>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</si>
  <si>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</si>
  <si>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</si>
  <si>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</si>
  <si>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</si>
  <si>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</si>
  <si>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</si>
  <si>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</si>
  <si>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</si>
  <si>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</si>
  <si>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</si>
  <si>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</si>
  <si>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</si>
  <si>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</si>
  <si>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</si>
  <si>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</si>
  <si>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</si>
  <si>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</si>
  <si>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</si>
  <si>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</si>
  <si>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</si>
  <si>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</si>
  <si>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</si>
  <si>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</si>
  <si>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</si>
  <si>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</si>
  <si>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</si>
  <si>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</si>
  <si>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</si>
  <si>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</si>
  <si>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</si>
  <si>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</si>
  <si>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</si>
  <si>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</si>
  <si>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</si>
  <si>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</si>
  <si>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</si>
  <si>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</si>
  <si>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</si>
  <si>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</si>
  <si>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</si>
  <si>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</si>
  <si>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</si>
  <si>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</si>
  <si>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</si>
  <si>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</si>
  <si>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</si>
  <si>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</si>
  <si>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</si>
  <si>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</si>
  <si>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</si>
  <si>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</si>
  <si>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</si>
  <si>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</si>
  <si>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</si>
  <si>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</si>
  <si>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</si>
  <si>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</si>
  <si>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</si>
  <si>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</si>
  <si>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</si>
  <si>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</si>
  <si>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</si>
  <si>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</si>
  <si>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</si>
  <si>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</si>
  <si>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</si>
  <si>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</si>
  <si>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</si>
  <si>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</si>
  <si>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</si>
  <si>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</si>
  <si>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</si>
  <si>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</si>
  <si>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</si>
  <si>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</si>
  <si>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</si>
  <si>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</si>
  <si>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</si>
  <si>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</si>
  <si>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</si>
  <si>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</si>
  <si>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</si>
  <si>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</si>
  <si>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</si>
  <si>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</si>
  <si>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</si>
  <si>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</si>
  <si>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</si>
  <si>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</si>
  <si>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</si>
  <si>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</si>
  <si>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</si>
  <si>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</si>
  <si>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</si>
  <si>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</si>
  <si>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</si>
  <si>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</si>
  <si>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</si>
  <si>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</si>
  <si>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</si>
  <si>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</si>
  <si>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</si>
  <si>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</si>
  <si>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</si>
  <si>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</si>
  <si>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</si>
  <si>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</si>
  <si>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</si>
  <si>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</si>
  <si>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</si>
  <si>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</si>
  <si>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</si>
  <si>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</si>
  <si>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</si>
  <si>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</si>
  <si>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</si>
  <si>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</si>
  <si>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</si>
  <si>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</si>
  <si>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</si>
  <si>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</si>
  <si>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</si>
  <si>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</si>
  <si>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</si>
  <si>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</si>
  <si>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</si>
  <si>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</si>
  <si>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</si>
  <si>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</si>
  <si>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</si>
  <si>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</si>
  <si>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</si>
  <si>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</si>
  <si>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</si>
  <si>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</si>
  <si>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</si>
  <si>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</si>
  <si>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</si>
  <si>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</si>
  <si>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</si>
  <si>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</si>
  <si>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</si>
  <si>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</si>
  <si>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</si>
  <si>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</si>
  <si>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</si>
  <si>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</si>
  <si>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</si>
  <si>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</si>
  <si>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</si>
  <si>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</si>
  <si>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</si>
  <si>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</si>
  <si>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</si>
  <si>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</si>
  <si>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</si>
  <si>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</si>
  <si>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</si>
  <si>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</si>
  <si>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</si>
  <si>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</si>
  <si>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</si>
  <si>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</si>
  <si>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</si>
  <si>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</si>
  <si>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</si>
  <si>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</si>
  <si>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</si>
  <si>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</si>
  <si>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</si>
  <si>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</si>
  <si>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</si>
  <si>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</si>
  <si>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</si>
  <si>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</si>
  <si>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</si>
  <si>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</si>
  <si>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</si>
  <si>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</si>
  <si>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</si>
  <si>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</si>
  <si>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</si>
  <si>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</si>
  <si>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</si>
  <si>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</si>
  <si>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</si>
  <si>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</si>
  <si>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</si>
  <si>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</si>
  <si>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</si>
  <si>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</si>
  <si>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</si>
  <si>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</si>
  <si>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</si>
  <si>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</si>
  <si>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</si>
  <si>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</si>
  <si>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</si>
  <si>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</si>
  <si>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</si>
  <si>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</si>
  <si>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</si>
  <si>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</si>
  <si>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</si>
  <si>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</si>
  <si>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</si>
  <si>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</si>
  <si>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</si>
  <si>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</si>
  <si>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</si>
  <si>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</si>
  <si>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</si>
  <si>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</si>
  <si>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</si>
  <si>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</si>
  <si>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</si>
  <si>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</si>
  <si>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</si>
  <si>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</si>
  <si>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</si>
  <si>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</si>
  <si>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</si>
  <si>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</si>
  <si>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</si>
  <si>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</si>
  <si>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</si>
  <si>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</si>
  <si>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</si>
  <si>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</si>
  <si>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</si>
  <si>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</si>
  <si>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</si>
  <si>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</si>
  <si>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</si>
  <si>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</si>
  <si>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</si>
  <si>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</si>
  <si>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</si>
  <si>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</si>
  <si>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朝阳区核桃园北里4号楼</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</si>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</sst>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7" fillId="6" borderId="54" xfId="0" applyNumberFormat="1" applyFont="1" applyFill="1" applyBorder="1" applyAlignment="1" applyProtection="1">
      <alignment horizontal="left"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7"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7"/>
      <c r="B54" s="1201" t="s">
        <v>385</v>
      </c>
      <c r="C54" s="1198" t="s">
        <v>583</v>
      </c>
    </row>
    <row r="55" spans="1:4">
      <c r="A55" s="4137"/>
      <c r="B55" s="1201" t="s">
        <v>386</v>
      </c>
      <c r="C55" s="1198" t="s">
        <v>584</v>
      </c>
    </row>
    <row r="56" spans="1:4">
      <c r="A56" s="4137"/>
      <c r="B56" s="1201" t="s">
        <v>387</v>
      </c>
      <c r="C56" s="1198" t="s">
        <v>588</v>
      </c>
    </row>
    <row r="57" spans="1:4">
      <c r="A57" s="4137"/>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8" t="s">
        <v>2577</v>
      </c>
      <c r="J2" s="4138"/>
      <c r="K2" s="4138"/>
      <c r="L2" s="4138"/>
      <c r="M2" s="4138"/>
      <c r="N2" s="4138"/>
      <c r="O2" s="4138"/>
      <c r="P2" s="4138"/>
      <c r="Q2" s="4138"/>
      <c r="R2" s="4138"/>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7" customWidth="1"/>
    <col min="2" max="2" width="10" style="3477" customWidth="1"/>
    <col min="3" max="3" width="11.5" style="3477" customWidth="1"/>
    <col min="4" max="4" width="10" style="3477" customWidth="1"/>
    <col min="5" max="5" width="12.625" style="3477" customWidth="1"/>
    <col min="6" max="6" width="10" style="3477" customWidth="1"/>
    <col min="7" max="7" width="10.75" style="3477" customWidth="1"/>
    <col min="8" max="8" width="10" style="3477" customWidth="1"/>
    <col min="9" max="9" width="11.125" style="3611" customWidth="1"/>
    <col min="10" max="10" width="10" style="3478" customWidth="1"/>
    <col min="11" max="11" width="10" style="3612" customWidth="1"/>
    <col min="12" max="13" width="10" style="3613" customWidth="1"/>
    <col min="14" max="14" width="10" style="3478" customWidth="1"/>
    <col min="15" max="15" width="10" style="3613" customWidth="1"/>
    <col min="16" max="17" width="10" style="3478"/>
    <col min="18" max="18" width="10" style="3478" customWidth="1"/>
    <col min="19" max="30" width="10" style="3478"/>
    <col min="31" max="16384" width="10" style="3477"/>
  </cols>
  <sheetData>
    <row r="1" spans="1:30" ht="13.5" thickBot="1">
      <c r="A1" s="3471" t="s">
        <v>2165</v>
      </c>
      <c r="B1" s="4146" t="str">
        <f>IF(B10="北京市","北京市",C10)&amp;F10&amp;IF(结果表!G1="在建","出让国有建设用地使用权及在建建筑物",IF(结果表!G1="土地","出让国有建设用地使用权",))&amp;B9&amp;"预评估"</f>
        <v>北京市朝阳区农丰里4号楼6门309号房地产市场价值预评估</v>
      </c>
      <c r="C1" s="4147"/>
      <c r="D1" s="4147"/>
      <c r="E1" s="4147"/>
      <c r="F1" s="4147"/>
      <c r="G1" s="4147"/>
      <c r="H1" s="4147"/>
      <c r="I1" s="4148"/>
      <c r="J1" s="3472"/>
      <c r="K1" s="3473"/>
      <c r="L1" s="3474"/>
      <c r="M1" s="3474"/>
      <c r="N1" s="3475"/>
      <c r="O1" s="3474"/>
      <c r="P1" s="3475"/>
      <c r="Q1" s="3475"/>
      <c r="R1" s="3475"/>
      <c r="S1" s="3476"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7"/>
      <c r="U1" s="3477"/>
      <c r="V1" s="3477"/>
      <c r="W1" s="3477"/>
      <c r="X1" s="3477"/>
      <c r="Y1" s="3477"/>
      <c r="Z1" s="3477"/>
      <c r="AA1" s="3477"/>
      <c r="AB1" s="3477"/>
    </row>
    <row r="2" spans="1:30">
      <c r="A2" s="3479" t="s">
        <v>2166</v>
      </c>
      <c r="B2" s="3480"/>
      <c r="C2" s="3481"/>
      <c r="D2" s="3482"/>
      <c r="E2" s="3483"/>
      <c r="F2" s="3483"/>
      <c r="G2" s="3484"/>
      <c r="H2" s="3484"/>
      <c r="I2" s="3484"/>
      <c r="J2" s="3472"/>
      <c r="K2" s="3473"/>
      <c r="L2" s="3474"/>
      <c r="M2" s="3474"/>
      <c r="N2" s="3475"/>
      <c r="O2" s="3474"/>
      <c r="P2" s="3475"/>
      <c r="Q2" s="3475"/>
      <c r="R2" s="3475"/>
      <c r="S2" s="3476" t="str">
        <f>IF(B10="北京市","北京市",C10)&amp;F10&amp;IF(结果表!G1="在建","出让国有建设用地使用权及在建建筑物房地产",IF(结果表!G1="土地","出让国有建设用地使用权","房地产"))</f>
        <v>北京市朝阳区农丰里4号楼6门309号房地产</v>
      </c>
      <c r="T2" s="3477"/>
      <c r="U2" s="3477"/>
      <c r="V2" s="3477"/>
      <c r="W2" s="3477"/>
      <c r="X2" s="3477"/>
      <c r="Y2" s="3477"/>
      <c r="Z2" s="3477"/>
      <c r="AA2" s="3477"/>
      <c r="AB2" s="3477"/>
    </row>
    <row r="3" spans="1:30">
      <c r="A3" s="3485" t="s">
        <v>2167</v>
      </c>
      <c r="B3" s="1696">
        <v>45051</v>
      </c>
      <c r="C3" s="3486" t="s">
        <v>2168</v>
      </c>
      <c r="D3" s="1696">
        <v>39034</v>
      </c>
      <c r="E3" s="3484"/>
      <c r="F3" s="3484"/>
      <c r="G3" s="3484"/>
      <c r="H3" s="3484"/>
      <c r="I3" s="3484"/>
      <c r="J3" s="3472"/>
      <c r="K3" s="3473"/>
      <c r="L3" s="3474"/>
      <c r="M3" s="3474"/>
      <c r="N3" s="3475"/>
      <c r="O3" s="3474"/>
      <c r="P3" s="3475"/>
      <c r="Q3" s="3475"/>
      <c r="R3" s="3475"/>
      <c r="S3" s="3476"/>
      <c r="T3" s="3477"/>
      <c r="U3" s="3477"/>
      <c r="V3" s="3477"/>
      <c r="W3" s="3477"/>
      <c r="X3" s="3477"/>
      <c r="Y3" s="3477"/>
      <c r="Z3" s="3477"/>
      <c r="AA3" s="3477"/>
      <c r="AB3" s="3477"/>
    </row>
    <row r="4" spans="1:30" ht="13.5" thickBot="1">
      <c r="A4" s="3487" t="s">
        <v>2169</v>
      </c>
      <c r="B4" s="3488" t="s">
        <v>3373</v>
      </c>
      <c r="C4" s="3489">
        <f ca="1">SUMIF(注册房地产估价师,B4,估价师及机构信息!B3:B24)</f>
        <v>1120060040</v>
      </c>
      <c r="D4" s="3488" t="s">
        <v>3381</v>
      </c>
      <c r="E4" s="3489">
        <f ca="1">SUMIF(注册房地产估价师,D4,估价师及机构信息!B3:B24)</f>
        <v>1119970111</v>
      </c>
      <c r="F4" s="3488"/>
      <c r="G4" s="3489">
        <f>SUMIF(注册房地产估价师,F4,估价师及机构信息!B3:B24)</f>
        <v>0</v>
      </c>
      <c r="H4" s="3488"/>
      <c r="I4" s="3489">
        <f>SUMIF(注册房地产估价师,H4,估价师及机构信息!B3:B24)</f>
        <v>0</v>
      </c>
      <c r="J4" s="3490"/>
      <c r="K4" s="3491" t="str">
        <f ca="1">CONCATENATE(B4,"（注册号：",C4,")、",D4,"（注册号：",E4,")")</f>
        <v>陈颖（注册号：1120060040)、叶凌（注册号：1119970111)</v>
      </c>
      <c r="L4" s="3474"/>
      <c r="M4" s="3474"/>
      <c r="N4" s="3475"/>
      <c r="O4" s="3474"/>
      <c r="P4" s="3475"/>
      <c r="Q4" s="3475"/>
      <c r="R4" s="3475"/>
      <c r="S4" s="3476"/>
      <c r="T4" s="3477"/>
      <c r="U4" s="3477"/>
      <c r="V4" s="3477"/>
      <c r="W4" s="3477"/>
      <c r="X4" s="3477"/>
      <c r="Y4" s="3477"/>
      <c r="Z4" s="3477"/>
      <c r="AA4" s="3477"/>
      <c r="AB4" s="3477"/>
    </row>
    <row r="5" spans="1:30" ht="13.5" thickTop="1">
      <c r="A5" s="3492" t="s">
        <v>2170</v>
      </c>
      <c r="B5" s="3493"/>
      <c r="C5" s="3494"/>
      <c r="D5" s="3495"/>
      <c r="E5" s="3496"/>
      <c r="F5" s="3496"/>
      <c r="G5" s="3496"/>
      <c r="H5" s="3496"/>
      <c r="I5" s="3496"/>
      <c r="J5" s="3490"/>
      <c r="K5" s="3491" t="str">
        <f>IF(F4="——","",IF(H4="——",F4&amp;"（注册号："&amp;G4&amp;")",CONCATENATE(F4,"（注册号：",G4,")、",H4,"（注册号：",I4,")")))</f>
        <v>（注册号：0)、（注册号：0)</v>
      </c>
      <c r="L5" s="3474"/>
      <c r="M5" s="3474"/>
      <c r="N5" s="3475"/>
      <c r="O5" s="3474"/>
      <c r="P5" s="3475"/>
      <c r="Q5" s="3475"/>
      <c r="R5" s="3475"/>
      <c r="S5" s="3477"/>
      <c r="T5" s="3477"/>
      <c r="U5" s="3477"/>
      <c r="V5" s="3477"/>
      <c r="W5" s="3477"/>
      <c r="X5" s="3477"/>
      <c r="Y5" s="3477"/>
      <c r="Z5" s="3477"/>
      <c r="AA5" s="3477"/>
      <c r="AB5" s="3477"/>
    </row>
    <row r="6" spans="1:30">
      <c r="A6" s="3497" t="s">
        <v>2171</v>
      </c>
      <c r="B6" s="3498"/>
      <c r="C6" s="3499"/>
      <c r="D6" s="3500"/>
      <c r="E6" s="3483"/>
      <c r="F6" s="3496"/>
      <c r="G6" s="3496"/>
      <c r="H6" s="3496"/>
      <c r="I6" s="3496"/>
      <c r="J6" s="3490"/>
      <c r="K6" s="3501" t="str">
        <f>IF(COUNTIF(B6,"*上海银行*"),"上海银行","")</f>
        <v/>
      </c>
      <c r="L6" s="3502"/>
      <c r="M6" s="3502"/>
      <c r="N6" s="3490"/>
      <c r="O6" s="3502"/>
      <c r="P6" s="3490"/>
      <c r="Q6" s="3490"/>
      <c r="R6" s="3490"/>
    </row>
    <row r="7" spans="1:30">
      <c r="A7" s="3497" t="s">
        <v>2172</v>
      </c>
      <c r="B7" s="3503"/>
      <c r="C7" s="3499"/>
      <c r="D7" s="3500"/>
      <c r="E7" s="3483"/>
      <c r="F7" s="3496"/>
      <c r="G7" s="3496"/>
      <c r="H7" s="3496"/>
      <c r="I7" s="3496"/>
      <c r="J7" s="3490"/>
      <c r="K7" s="3501"/>
      <c r="L7" s="3502"/>
      <c r="M7" s="3502"/>
      <c r="N7" s="3490"/>
      <c r="O7" s="3502"/>
      <c r="P7" s="3490"/>
      <c r="Q7" s="3490"/>
      <c r="R7" s="3490"/>
    </row>
    <row r="8" spans="1:30">
      <c r="A8" s="3504" t="s">
        <v>2173</v>
      </c>
      <c r="B8" s="3505" t="s">
        <v>3374</v>
      </c>
      <c r="C8" s="3506"/>
      <c r="D8" s="4149" t="s">
        <v>2174</v>
      </c>
      <c r="E8" s="3507"/>
      <c r="F8" s="3508"/>
      <c r="G8" s="3484"/>
      <c r="H8" s="3484"/>
      <c r="I8" s="3484"/>
      <c r="J8" s="3490"/>
      <c r="K8" s="3509"/>
      <c r="L8" s="3502"/>
      <c r="M8" s="3502"/>
      <c r="N8" s="3490"/>
      <c r="O8" s="3502"/>
      <c r="P8" s="3490"/>
      <c r="Q8" s="3490"/>
      <c r="R8" s="3490"/>
    </row>
    <row r="9" spans="1:30" ht="13.5" thickBot="1">
      <c r="A9" s="3510" t="s">
        <v>2175</v>
      </c>
      <c r="B9" s="3511" t="s">
        <v>3375</v>
      </c>
      <c r="C9" s="3512"/>
      <c r="D9" s="4150"/>
      <c r="E9" s="3511"/>
      <c r="F9" s="3513"/>
      <c r="G9" s="3514"/>
      <c r="H9" s="3514"/>
      <c r="I9" s="3514"/>
      <c r="J9" s="3490"/>
      <c r="K9" s="3501"/>
      <c r="L9" s="3502"/>
      <c r="M9" s="3502"/>
      <c r="N9" s="3490"/>
      <c r="O9" s="3502"/>
      <c r="P9" s="3490"/>
      <c r="Q9" s="3490"/>
      <c r="R9" s="3490"/>
    </row>
    <row r="10" spans="1:30" ht="13.5" thickTop="1">
      <c r="A10" s="3515" t="s">
        <v>2176</v>
      </c>
      <c r="B10" s="3516" t="s">
        <v>3376</v>
      </c>
      <c r="C10" s="3517"/>
      <c r="D10" s="3495"/>
      <c r="E10" s="3518" t="s">
        <v>2177</v>
      </c>
      <c r="F10" s="3519" t="s">
        <v>3431</v>
      </c>
      <c r="G10" s="3520"/>
      <c r="H10" s="3521"/>
      <c r="I10" s="3522"/>
      <c r="J10" s="3490"/>
      <c r="K10" s="3501"/>
      <c r="L10" s="3502"/>
      <c r="M10" s="3502"/>
      <c r="N10" s="3490"/>
      <c r="O10" s="3502"/>
      <c r="P10" s="3490"/>
      <c r="Q10" s="3490"/>
      <c r="R10" s="3490"/>
    </row>
    <row r="11" spans="1:30">
      <c r="A11" s="3523" t="s">
        <v>2178</v>
      </c>
      <c r="B11" s="3524" t="s">
        <v>3429</v>
      </c>
      <c r="C11" s="3525" t="s">
        <v>3430</v>
      </c>
      <c r="D11" s="3526"/>
      <c r="E11" s="3475"/>
      <c r="F11" s="3475"/>
      <c r="G11" s="3475"/>
      <c r="H11" s="3475"/>
      <c r="I11" s="3475"/>
      <c r="J11" s="3527"/>
      <c r="K11" s="3528"/>
      <c r="L11" s="3502"/>
      <c r="M11" s="3502"/>
      <c r="N11" s="3490"/>
      <c r="O11" s="3502"/>
      <c r="P11" s="3490"/>
      <c r="Q11" s="3490"/>
      <c r="R11" s="3490"/>
    </row>
    <row r="12" spans="1:30">
      <c r="A12" s="3529" t="s">
        <v>2179</v>
      </c>
      <c r="B12" s="3530" t="s">
        <v>2180</v>
      </c>
      <c r="C12" s="3531" t="s">
        <v>2181</v>
      </c>
      <c r="D12" s="3531" t="s">
        <v>2182</v>
      </c>
      <c r="E12" s="3531" t="s">
        <v>2183</v>
      </c>
      <c r="F12" s="3531" t="s">
        <v>2184</v>
      </c>
      <c r="G12" s="3531" t="s">
        <v>2185</v>
      </c>
      <c r="H12" s="3531" t="s">
        <v>2186</v>
      </c>
      <c r="I12" s="3532" t="s">
        <v>2573</v>
      </c>
      <c r="J12" s="3533"/>
      <c r="K12" s="3502"/>
      <c r="L12" s="3502"/>
      <c r="M12" s="3490"/>
      <c r="N12" s="3502"/>
      <c r="O12" s="3490"/>
      <c r="P12" s="3490"/>
      <c r="Q12" s="3490"/>
      <c r="AD12" s="3477"/>
    </row>
    <row r="13" spans="1:30">
      <c r="A13" s="3534" t="s">
        <v>3333</v>
      </c>
      <c r="B13" s="3535" t="s">
        <v>2187</v>
      </c>
      <c r="C13" s="3536">
        <v>64587</v>
      </c>
      <c r="D13" s="3537"/>
      <c r="E13" s="3537"/>
      <c r="F13" s="3537"/>
      <c r="G13" s="3537"/>
      <c r="H13" s="3537"/>
      <c r="I13" s="3537"/>
      <c r="J13" s="3533"/>
      <c r="K13" s="3502"/>
      <c r="L13" s="3502"/>
      <c r="M13" s="3490"/>
      <c r="N13" s="3502"/>
      <c r="O13" s="3490"/>
      <c r="P13" s="3490"/>
      <c r="Q13" s="3490"/>
      <c r="AD13" s="3477"/>
    </row>
    <row r="14" spans="1:30">
      <c r="A14" s="3538"/>
      <c r="B14" s="3535" t="s">
        <v>2188</v>
      </c>
      <c r="C14" s="3539" t="s">
        <v>3435</v>
      </c>
      <c r="D14" s="3539"/>
      <c r="E14" s="3539"/>
      <c r="F14" s="3539"/>
      <c r="G14" s="3539"/>
      <c r="H14" s="3539"/>
      <c r="I14" s="3539"/>
      <c r="J14" s="3533"/>
      <c r="K14" s="3502"/>
      <c r="L14" s="3502"/>
      <c r="M14" s="3490"/>
      <c r="N14" s="3502"/>
      <c r="O14" s="3490"/>
      <c r="P14" s="3490"/>
      <c r="Q14" s="3490"/>
      <c r="AD14" s="3477"/>
    </row>
    <row r="15" spans="1:30">
      <c r="A15" s="3540"/>
      <c r="B15" s="3541" t="s">
        <v>2189</v>
      </c>
      <c r="C15" s="3531">
        <f>IF(A13="出让",IF(C13="","",ROUNDDOWN(MIN((C13-$D$3)/365,C14),2)),C14)</f>
        <v>70</v>
      </c>
      <c r="D15" s="3531" t="str">
        <f>IF(A13="出让",IF(D13="","",ROUNDDOWN(MIN((D13-$D$3)/365,D14),2)),D14)</f>
        <v/>
      </c>
      <c r="E15" s="3531" t="str">
        <f>IF(A13="出让",IF(E13="","",ROUNDDOWN(MIN((E13-$D$3)/365,E14),2)),E14)</f>
        <v/>
      </c>
      <c r="F15" s="3531" t="str">
        <f>IF(A13="出让",IF(F13="","",ROUNDDOWN(MIN((F13-$D$3)/365,F14),2)),F14)</f>
        <v/>
      </c>
      <c r="G15" s="3531" t="str">
        <f>IF(A13="出让",IF(G13="","",ROUNDDOWN(MIN((G13-$D$3)/365,G14),2)),G14)</f>
        <v/>
      </c>
      <c r="H15" s="3531" t="str">
        <f>IF(A13="出让",IF(H13="","",ROUNDDOWN(MIN((H13-$D$3)/365,H14),2)),H14)</f>
        <v/>
      </c>
      <c r="I15" s="3531" t="str">
        <f>IF(A13="出让",IF(I13="","",ROUNDDOWN(MIN((I13-$D$3)/365,I14),2)),I14)</f>
        <v/>
      </c>
      <c r="J15" s="3533"/>
      <c r="K15" s="3502"/>
      <c r="L15" s="3502"/>
      <c r="M15" s="3490"/>
      <c r="N15" s="3502"/>
      <c r="O15" s="3490"/>
      <c r="P15" s="3490"/>
      <c r="Q15" s="3490"/>
      <c r="AD15" s="3477"/>
    </row>
    <row r="16" spans="1:30">
      <c r="A16" s="3518" t="s">
        <v>2190</v>
      </c>
      <c r="B16" s="4156" t="s">
        <v>3434</v>
      </c>
      <c r="C16" s="4157"/>
      <c r="D16" s="4158"/>
      <c r="E16" s="3542" t="s">
        <v>2191</v>
      </c>
      <c r="F16" s="4159"/>
      <c r="G16" s="4160"/>
      <c r="H16" s="4160"/>
      <c r="I16" s="4161"/>
      <c r="J16" s="3490"/>
      <c r="K16" s="3501"/>
      <c r="L16" s="3502"/>
      <c r="M16" s="3502"/>
      <c r="N16" s="3490"/>
      <c r="O16" s="3502"/>
      <c r="P16" s="3490"/>
      <c r="Q16" s="3490"/>
      <c r="R16" s="3490"/>
    </row>
    <row r="17" spans="1:28">
      <c r="A17" s="3543" t="s">
        <v>2192</v>
      </c>
      <c r="B17" s="3485" t="s">
        <v>2193</v>
      </c>
      <c r="C17" s="3531">
        <f>'数据-汇总表'!E3</f>
        <v>79.92</v>
      </c>
      <c r="D17" s="3544" t="s">
        <v>2194</v>
      </c>
      <c r="E17" s="4162" t="s">
        <v>2195</v>
      </c>
      <c r="F17" s="4163"/>
      <c r="G17" s="4163"/>
      <c r="H17" s="4163"/>
      <c r="I17" s="4164"/>
      <c r="J17" s="3490"/>
      <c r="K17" s="3509"/>
      <c r="L17" s="3502"/>
      <c r="M17" s="3502"/>
      <c r="N17" s="3490"/>
      <c r="O17" s="3502"/>
      <c r="P17" s="3490"/>
      <c r="Q17" s="3490"/>
      <c r="R17" s="3490"/>
      <c r="S17" s="3490"/>
      <c r="T17" s="3490"/>
      <c r="U17" s="3490"/>
      <c r="V17" s="3490"/>
    </row>
    <row r="18" spans="1:28" ht="24.75" thickBot="1">
      <c r="A18" s="3545" t="s">
        <v>2196</v>
      </c>
      <c r="B18" s="3487" t="s">
        <v>2197</v>
      </c>
      <c r="C18" s="3546">
        <f>'数据-汇总表'!D3</f>
        <v>0</v>
      </c>
      <c r="D18" s="3547" t="s">
        <v>2198</v>
      </c>
      <c r="E18" s="4165" t="s">
        <v>2199</v>
      </c>
      <c r="F18" s="4166"/>
      <c r="G18" s="4166"/>
      <c r="H18" s="4166"/>
      <c r="I18" s="4167"/>
      <c r="J18" s="3490"/>
      <c r="K18" s="3509"/>
      <c r="L18" s="3502"/>
      <c r="M18" s="3502"/>
      <c r="N18" s="3490"/>
      <c r="O18" s="3502"/>
      <c r="P18" s="3490"/>
      <c r="Q18" s="3490"/>
      <c r="R18" s="3490"/>
      <c r="S18" s="3490"/>
      <c r="T18" s="3490"/>
      <c r="U18" s="3490"/>
      <c r="V18" s="3490"/>
    </row>
    <row r="19" spans="1:28" ht="37.5" thickTop="1" thickBot="1">
      <c r="A19" s="3518" t="s">
        <v>1055</v>
      </c>
      <c r="B19" s="3548" t="s">
        <v>2200</v>
      </c>
      <c r="C19" s="3549"/>
      <c r="D19" s="3550" t="s">
        <v>2201</v>
      </c>
      <c r="E19" s="3551"/>
      <c r="F19" s="3552" t="str">
        <f>IF(AND(C19="是",E19="否"),"是否提供他项权证或相关说明","")</f>
        <v/>
      </c>
      <c r="G19" s="3553"/>
      <c r="H19" s="3496"/>
      <c r="I19" s="3496"/>
      <c r="J19" s="3490"/>
      <c r="K19" s="3501"/>
      <c r="L19" s="3502"/>
      <c r="M19" s="3502"/>
      <c r="N19" s="3490"/>
      <c r="O19" s="3502"/>
      <c r="P19" s="3490"/>
      <c r="Q19" s="3490"/>
      <c r="R19" s="3490"/>
      <c r="S19" s="3490"/>
      <c r="T19" s="3490"/>
      <c r="U19" s="3490"/>
      <c r="V19" s="3490"/>
    </row>
    <row r="20" spans="1:28">
      <c r="A20" s="3554" t="s">
        <v>2202</v>
      </c>
      <c r="B20" s="4152" t="s">
        <v>2203</v>
      </c>
      <c r="C20" s="4153"/>
      <c r="D20" s="4154" t="s">
        <v>2204</v>
      </c>
      <c r="E20" s="4155"/>
      <c r="F20" s="3555" t="s">
        <v>1056</v>
      </c>
      <c r="G20" s="3496"/>
      <c r="H20" s="3496"/>
      <c r="I20" s="3496"/>
      <c r="J20" s="3490"/>
      <c r="K20" s="4151" t="s">
        <v>2205</v>
      </c>
      <c r="L20" s="3556"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4"/>
      <c r="N20" s="3475"/>
      <c r="O20" s="3474"/>
      <c r="P20" s="3475"/>
      <c r="Q20" s="3475"/>
      <c r="R20" s="3475"/>
      <c r="S20" s="3475"/>
      <c r="T20" s="3475"/>
      <c r="U20" s="3475"/>
      <c r="V20" s="3475"/>
      <c r="W20" s="3477"/>
      <c r="X20" s="3477"/>
      <c r="Y20" s="3477"/>
      <c r="Z20" s="3477"/>
      <c r="AA20" s="3477"/>
      <c r="AB20" s="3477"/>
    </row>
    <row r="21" spans="1:28" ht="24.75" thickBot="1">
      <c r="A21" s="3554"/>
      <c r="B21" s="3557" t="s">
        <v>2206</v>
      </c>
      <c r="C21" s="3558" t="s">
        <v>1057</v>
      </c>
      <c r="D21" s="3559" t="s">
        <v>2207</v>
      </c>
      <c r="E21" s="3560" t="s">
        <v>1057</v>
      </c>
      <c r="F21" s="3561"/>
      <c r="G21" s="3496"/>
      <c r="H21" s="3496"/>
      <c r="I21" s="3496"/>
      <c r="J21" s="3490"/>
      <c r="K21" s="4151"/>
      <c r="L21" s="3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75"/>
      <c r="O21" s="3474"/>
      <c r="P21" s="3475"/>
      <c r="Q21" s="3475"/>
      <c r="R21" s="3475"/>
      <c r="S21" s="3475"/>
      <c r="T21" s="3475"/>
      <c r="U21" s="3475"/>
      <c r="V21" s="3475"/>
      <c r="W21" s="3477"/>
      <c r="X21" s="3477"/>
      <c r="Y21" s="3477"/>
      <c r="Z21" s="3477"/>
      <c r="AA21" s="3477"/>
      <c r="AB21" s="3477"/>
    </row>
    <row r="22" spans="1:28" ht="24.75" thickBot="1">
      <c r="A22" s="3554"/>
      <c r="B22" s="3562" t="s">
        <v>2208</v>
      </c>
      <c r="C22" s="3558" t="s">
        <v>43</v>
      </c>
      <c r="D22" s="3484"/>
      <c r="E22" s="3484"/>
      <c r="F22" s="3484"/>
      <c r="G22" s="3496"/>
      <c r="H22" s="3496"/>
      <c r="I22" s="3496"/>
      <c r="J22" s="3490"/>
      <c r="K22" s="4151"/>
      <c r="L22" s="3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75"/>
      <c r="O22" s="3474"/>
      <c r="P22" s="3475"/>
      <c r="Q22" s="3475"/>
      <c r="R22" s="3475"/>
      <c r="S22" s="3475"/>
      <c r="T22" s="3475"/>
      <c r="U22" s="3475"/>
      <c r="V22" s="3475"/>
      <c r="W22" s="3477"/>
      <c r="X22" s="3477"/>
      <c r="Y22" s="3477"/>
      <c r="Z22" s="3477"/>
      <c r="AA22" s="3477"/>
      <c r="AB22" s="3477"/>
    </row>
    <row r="23" spans="1:28">
      <c r="A23" s="3563" t="s">
        <v>2209</v>
      </c>
      <c r="B23" s="3564" t="s">
        <v>2210</v>
      </c>
      <c r="C23" s="3565"/>
      <c r="D23" s="3566" t="s">
        <v>2210</v>
      </c>
      <c r="E23" s="3567"/>
      <c r="F23" s="3484"/>
      <c r="G23" s="3496"/>
      <c r="H23" s="3496"/>
      <c r="I23" s="3496"/>
      <c r="J23" s="3490"/>
      <c r="K23" s="3501"/>
      <c r="L23" s="3568"/>
      <c r="M23" s="3502"/>
      <c r="N23" s="3490"/>
      <c r="O23" s="3502"/>
      <c r="P23" s="3490"/>
      <c r="Q23" s="3490"/>
      <c r="R23" s="3490"/>
      <c r="S23" s="3490"/>
      <c r="T23" s="3490"/>
      <c r="U23" s="3490"/>
      <c r="V23" s="3490"/>
    </row>
    <row r="24" spans="1:28">
      <c r="A24" s="3563"/>
      <c r="B24" s="3564" t="s">
        <v>1058</v>
      </c>
      <c r="C24" s="3569"/>
      <c r="D24" s="3563" t="s">
        <v>1058</v>
      </c>
      <c r="E24" s="3570"/>
      <c r="F24" s="3484"/>
      <c r="G24" s="3496"/>
      <c r="H24" s="3496"/>
      <c r="I24" s="3496"/>
      <c r="J24" s="3490"/>
      <c r="K24" s="3501"/>
      <c r="L24" s="3568"/>
      <c r="M24" s="3502"/>
      <c r="N24" s="3490"/>
      <c r="O24" s="3502"/>
      <c r="P24" s="3490"/>
      <c r="Q24" s="3490"/>
      <c r="R24" s="3490"/>
      <c r="S24" s="3490"/>
      <c r="T24" s="3490"/>
      <c r="U24" s="3490"/>
      <c r="V24" s="3490"/>
    </row>
    <row r="25" spans="1:28">
      <c r="A25" s="3563"/>
      <c r="B25" s="3564" t="s">
        <v>1059</v>
      </c>
      <c r="C25" s="3569"/>
      <c r="D25" s="3563" t="s">
        <v>1059</v>
      </c>
      <c r="E25" s="3570"/>
      <c r="F25" s="3484"/>
      <c r="G25" s="3496"/>
      <c r="H25" s="3496"/>
      <c r="I25" s="3496"/>
      <c r="J25" s="3490"/>
      <c r="K25" s="3501"/>
      <c r="L25" s="3502"/>
      <c r="M25" s="3502"/>
      <c r="N25" s="3490"/>
      <c r="O25" s="3502"/>
      <c r="P25" s="3490"/>
      <c r="Q25" s="3490"/>
      <c r="R25" s="3490"/>
      <c r="S25" s="3490"/>
      <c r="T25" s="3490"/>
      <c r="U25" s="3490"/>
      <c r="V25" s="3490"/>
    </row>
    <row r="26" spans="1:28" ht="13.5" thickBot="1">
      <c r="A26" s="3571"/>
      <c r="B26" s="3572" t="s">
        <v>1060</v>
      </c>
      <c r="C26" s="3573"/>
      <c r="D26" s="3571" t="s">
        <v>1060</v>
      </c>
      <c r="E26" s="3574"/>
      <c r="F26" s="3514"/>
      <c r="G26" s="3514"/>
      <c r="H26" s="3514"/>
      <c r="I26" s="3514"/>
      <c r="J26" s="3490"/>
      <c r="K26" s="3501"/>
      <c r="L26" s="3502"/>
      <c r="M26" s="3502"/>
      <c r="N26" s="3490"/>
      <c r="O26" s="3502"/>
      <c r="P26" s="3490"/>
      <c r="Q26" s="3490"/>
      <c r="R26" s="3490"/>
      <c r="S26" s="3490"/>
      <c r="T26" s="3490"/>
      <c r="U26" s="3490"/>
      <c r="V26" s="3490"/>
    </row>
    <row r="27" spans="1:28" ht="13.5" thickTop="1">
      <c r="A27" s="4140" t="s">
        <v>2211</v>
      </c>
      <c r="B27" s="3540" t="s">
        <v>2212</v>
      </c>
      <c r="C27" s="3575" t="s">
        <v>3640</v>
      </c>
      <c r="D27" s="3576"/>
      <c r="E27" s="3496"/>
      <c r="F27" s="3496"/>
      <c r="G27" s="3496"/>
      <c r="H27" s="3496"/>
      <c r="I27" s="3496"/>
      <c r="J27" s="3490"/>
      <c r="K27" s="3501"/>
      <c r="L27" s="3502"/>
      <c r="M27" s="3502"/>
      <c r="N27" s="3490"/>
      <c r="O27" s="3502"/>
      <c r="P27" s="3490"/>
      <c r="Q27" s="3490"/>
      <c r="R27" s="3490"/>
      <c r="S27" s="3490"/>
      <c r="T27" s="3490"/>
      <c r="U27" s="3490"/>
      <c r="V27" s="3490"/>
    </row>
    <row r="28" spans="1:28">
      <c r="A28" s="4140"/>
      <c r="B28" s="3485" t="s">
        <v>2213</v>
      </c>
      <c r="C28" s="3577" t="s">
        <v>3382</v>
      </c>
      <c r="D28" s="3578"/>
      <c r="E28" s="3496"/>
      <c r="F28" s="3496"/>
      <c r="G28" s="3496"/>
      <c r="H28" s="3496"/>
      <c r="I28" s="3496"/>
      <c r="J28" s="3490"/>
      <c r="K28" s="3501"/>
      <c r="L28" s="3502"/>
      <c r="M28" s="3502"/>
      <c r="N28" s="3490"/>
      <c r="O28" s="3502"/>
      <c r="P28" s="3490"/>
      <c r="Q28" s="3490"/>
      <c r="R28" s="3490"/>
      <c r="S28" s="3490"/>
      <c r="T28" s="3490"/>
      <c r="U28" s="3490"/>
      <c r="V28" s="3490"/>
    </row>
    <row r="29" spans="1:28">
      <c r="A29" s="4140"/>
      <c r="B29" s="3485" t="s">
        <v>2214</v>
      </c>
      <c r="C29" s="3579"/>
      <c r="D29" s="3580"/>
      <c r="E29" s="3496"/>
      <c r="F29" s="3496"/>
      <c r="G29" s="3496"/>
      <c r="H29" s="3496"/>
      <c r="I29" s="3496"/>
      <c r="J29" s="3490"/>
      <c r="K29" s="3501"/>
      <c r="L29" s="3502"/>
      <c r="M29" s="3502"/>
      <c r="N29" s="3490"/>
      <c r="O29" s="3502"/>
      <c r="P29" s="3490"/>
      <c r="Q29" s="3490"/>
      <c r="R29" s="3490"/>
      <c r="S29" s="3490"/>
      <c r="T29" s="3490"/>
      <c r="U29" s="3490"/>
      <c r="V29" s="3490"/>
    </row>
    <row r="30" spans="1:28">
      <c r="A30" s="4141"/>
      <c r="B30" s="3485" t="s">
        <v>2215</v>
      </c>
      <c r="C30" s="4142"/>
      <c r="D30" s="4143"/>
      <c r="E30" s="3496"/>
      <c r="F30" s="3496"/>
      <c r="G30" s="3496"/>
      <c r="H30" s="3496"/>
      <c r="I30" s="3496"/>
      <c r="J30" s="3490"/>
      <c r="K30" s="3501"/>
      <c r="L30" s="3502"/>
      <c r="M30" s="3502"/>
      <c r="N30" s="3490"/>
      <c r="O30" s="3502"/>
      <c r="P30" s="3490"/>
      <c r="Q30" s="3490"/>
      <c r="R30" s="3490"/>
      <c r="S30" s="3490"/>
      <c r="T30" s="3490"/>
      <c r="U30" s="3490"/>
      <c r="V30" s="3490"/>
    </row>
    <row r="31" spans="1:28">
      <c r="A31" s="4144" t="s">
        <v>2216</v>
      </c>
      <c r="B31" s="3581"/>
      <c r="C31" s="3582" t="str">
        <f>IF(B31="现房","成新及维护状况正常否",IF(B31="在建","工程状态是否正常",IF(B31="土地","是否闲置","-")))</f>
        <v>-</v>
      </c>
      <c r="D31" s="2983"/>
      <c r="E31" s="3583"/>
      <c r="F31" s="3496"/>
      <c r="G31" s="3496"/>
      <c r="H31" s="3496"/>
      <c r="I31" s="3496"/>
      <c r="J31" s="3490"/>
      <c r="K31" s="3501"/>
      <c r="L31" s="3502"/>
      <c r="M31" s="3502"/>
      <c r="N31" s="3490"/>
      <c r="O31" s="3502"/>
      <c r="P31" s="3490"/>
      <c r="Q31" s="3490"/>
      <c r="R31" s="3490"/>
      <c r="S31" s="3490"/>
      <c r="T31" s="3490"/>
      <c r="U31" s="3490"/>
      <c r="V31" s="3490"/>
    </row>
    <row r="32" spans="1:28">
      <c r="A32" s="4145"/>
      <c r="B32" s="3581"/>
      <c r="C32" s="3582" t="str">
        <f>IF(B32="现房","成新及维护状况是否正常",IF(B32="在建","工程状态是否正常",IF(B32="土地","是否闲置","-")))</f>
        <v>-</v>
      </c>
      <c r="D32" s="2983"/>
      <c r="E32" s="3583"/>
      <c r="F32" s="3496"/>
      <c r="G32" s="3496"/>
      <c r="H32" s="3496"/>
      <c r="I32" s="3496"/>
      <c r="J32" s="3490"/>
      <c r="K32" s="3501"/>
      <c r="L32" s="3502"/>
      <c r="M32" s="3502"/>
      <c r="N32" s="3490"/>
      <c r="O32" s="3502"/>
      <c r="P32" s="3490"/>
      <c r="Q32" s="3490"/>
      <c r="R32" s="3490"/>
      <c r="S32" s="3490"/>
      <c r="T32" s="3490"/>
      <c r="U32" s="3490"/>
      <c r="V32" s="3490"/>
    </row>
    <row r="33" spans="1:30">
      <c r="A33" s="4145"/>
      <c r="B33" s="3584"/>
      <c r="C33" s="3585" t="str">
        <f>IF(B33="现房","成新及维护状况是否正常",IF(B33="在建","工程状态是否正常",IF(B33="土地","是否闲置","-")))</f>
        <v>-</v>
      </c>
      <c r="D33" s="3586"/>
      <c r="E33" s="3587"/>
      <c r="F33" s="3496"/>
      <c r="G33" s="3496"/>
      <c r="H33" s="3496"/>
      <c r="I33" s="3496"/>
      <c r="J33" s="3490"/>
      <c r="K33" s="3501"/>
      <c r="L33" s="3502"/>
      <c r="M33" s="3502"/>
      <c r="N33" s="3490"/>
      <c r="O33" s="3502"/>
      <c r="P33" s="3490"/>
      <c r="Q33" s="3490"/>
      <c r="R33" s="3490"/>
      <c r="S33" s="3490"/>
      <c r="T33" s="3490"/>
      <c r="U33" s="3490"/>
      <c r="V33" s="3490"/>
    </row>
    <row r="34" spans="1:30">
      <c r="A34" s="3485" t="s">
        <v>2217</v>
      </c>
      <c r="B34" s="3588"/>
      <c r="C34" s="3588"/>
      <c r="D34" s="3588"/>
      <c r="E34" s="3588"/>
      <c r="F34" s="3588"/>
      <c r="G34" s="3588"/>
      <c r="H34" s="3588"/>
      <c r="I34" s="3496"/>
      <c r="J34" s="3490"/>
      <c r="K34" s="3531">
        <f>COUNTIF(B34:H34,"——")</f>
        <v>0</v>
      </c>
      <c r="L34" s="3530" t="s">
        <v>2218</v>
      </c>
      <c r="M34" s="3530" t="s">
        <v>2219</v>
      </c>
      <c r="N34" s="3530" t="s">
        <v>2220</v>
      </c>
      <c r="O34" s="3530" t="s">
        <v>2221</v>
      </c>
      <c r="P34" s="3530" t="s">
        <v>2222</v>
      </c>
      <c r="Q34" s="3530" t="s">
        <v>2223</v>
      </c>
      <c r="R34" s="3530" t="s">
        <v>2224</v>
      </c>
      <c r="S34" s="4139" t="s">
        <v>2225</v>
      </c>
      <c r="T34" s="3530" t="str">
        <f>NUMBERSTRING(7-K34,1)&amp;"通"</f>
        <v>七通</v>
      </c>
      <c r="U34" s="3490"/>
      <c r="V34" s="3490"/>
    </row>
    <row r="35" spans="1:30">
      <c r="A35" s="3589"/>
      <c r="B35" s="4139" t="s">
        <v>2226</v>
      </c>
      <c r="C35" s="4139"/>
      <c r="D35" s="4139"/>
      <c r="E35" s="4139"/>
      <c r="F35" s="3531">
        <f>C10</f>
        <v>0</v>
      </c>
      <c r="G35" s="3496"/>
      <c r="H35" s="3496"/>
      <c r="I35" s="3496"/>
      <c r="J35" s="3490"/>
      <c r="K35" s="3530"/>
      <c r="L35" s="3530">
        <f>B34</f>
        <v>0</v>
      </c>
      <c r="M35" s="3590" t="str">
        <f>B34&amp;"、"&amp;C34</f>
        <v>、</v>
      </c>
      <c r="N35" s="3590" t="str">
        <f>B34&amp;"、"&amp;C34&amp;"、"&amp;D34</f>
        <v>、、</v>
      </c>
      <c r="O35" s="3590" t="str">
        <f>B34&amp;"、"&amp;C34&amp;"、"&amp;D34&amp;"、"&amp;E34</f>
        <v>、、、</v>
      </c>
      <c r="P35" s="3590" t="str">
        <f>B34&amp;"、"&amp;C34&amp;"、"&amp;D34&amp;"、"&amp;E34&amp;"、"&amp;F34</f>
        <v>、、、、</v>
      </c>
      <c r="Q35" s="3590" t="str">
        <f>B34&amp;"、"&amp;C34&amp;"、"&amp;D34&amp;"、"&amp;E34&amp;"、"&amp;F34&amp;"、"&amp;G34</f>
        <v>、、、、、</v>
      </c>
      <c r="R35" s="3590" t="str">
        <f>B34&amp;"、"&amp;C34&amp;"、"&amp;D34&amp;"、"&amp;E34&amp;"、"&amp;F34&amp;"、"&amp;G34&amp;"、"&amp;H34</f>
        <v>、、、、、、</v>
      </c>
      <c r="S35" s="4139"/>
      <c r="T35" s="3590" t="str">
        <f>IF(T34="一通",L35,IF(T34="二通",M35,IF(T34="三通",N35,IF(T34="四通",O35,IF(T34="五通",P35,IF(T34="六通",Q35,R35))))))</f>
        <v>、、、、、、</v>
      </c>
      <c r="U35" s="3490"/>
      <c r="V35" s="3490"/>
    </row>
    <row r="36" spans="1:30">
      <c r="A36" s="3473"/>
      <c r="B36" s="3531" t="s">
        <v>2182</v>
      </c>
      <c r="C36" s="3531" t="s">
        <v>2183</v>
      </c>
      <c r="D36" s="3531" t="s">
        <v>2181</v>
      </c>
      <c r="E36" s="3531" t="s">
        <v>2186</v>
      </c>
      <c r="F36" s="3532" t="s">
        <v>2576</v>
      </c>
      <c r="G36" s="3496"/>
      <c r="H36" s="3496"/>
      <c r="I36" s="3496"/>
      <c r="J36" s="3490"/>
      <c r="K36" s="3501"/>
      <c r="L36" s="3502"/>
      <c r="M36" s="3502"/>
      <c r="N36" s="3490"/>
      <c r="O36" s="3502"/>
      <c r="P36" s="3490"/>
      <c r="Q36" s="3490"/>
      <c r="R36" s="3490"/>
      <c r="S36" s="3490"/>
      <c r="T36" s="3490"/>
      <c r="U36" s="3490"/>
      <c r="V36" s="3490"/>
    </row>
    <row r="37" spans="1:30">
      <c r="A37" s="3591" t="s">
        <v>2227</v>
      </c>
      <c r="B37" s="3592"/>
      <c r="C37" s="3592"/>
      <c r="D37" s="3592"/>
      <c r="E37" s="3592"/>
      <c r="F37" s="3592"/>
      <c r="G37" s="3496"/>
      <c r="H37" s="3496"/>
      <c r="I37" s="3496"/>
      <c r="J37" s="3490"/>
      <c r="K37" s="3501"/>
      <c r="L37" s="3502"/>
      <c r="M37" s="3502"/>
      <c r="N37" s="3490"/>
      <c r="O37" s="3502"/>
      <c r="P37" s="3490"/>
      <c r="Q37" s="3490"/>
      <c r="R37" s="3490"/>
      <c r="S37" s="3490"/>
      <c r="T37" s="3490"/>
      <c r="U37" s="3490"/>
      <c r="V37" s="3490"/>
    </row>
    <row r="38" spans="1:30" ht="13.5" thickBot="1">
      <c r="A38" s="3593" t="s">
        <v>2228</v>
      </c>
      <c r="B38" s="3594"/>
      <c r="C38" s="3594"/>
      <c r="D38" s="3594"/>
      <c r="E38" s="3594"/>
      <c r="F38" s="3594"/>
      <c r="G38" s="3514"/>
      <c r="H38" s="3514"/>
      <c r="I38" s="3514"/>
      <c r="J38" s="3490"/>
      <c r="K38" s="3501"/>
      <c r="L38" s="3502"/>
      <c r="M38" s="3502"/>
      <c r="N38" s="3490"/>
      <c r="O38" s="3502"/>
      <c r="P38" s="3490"/>
      <c r="Q38" s="3490"/>
      <c r="R38" s="3490"/>
      <c r="S38" s="3490"/>
      <c r="T38" s="3490"/>
      <c r="U38" s="3490"/>
      <c r="V38" s="3490"/>
    </row>
    <row r="39" spans="1:30" s="3601" customFormat="1" ht="14.25" thickTop="1" thickBot="1">
      <c r="A39" s="3595" t="s">
        <v>2229</v>
      </c>
      <c r="B39" s="3596"/>
      <c r="C39" s="3596"/>
      <c r="D39" s="3596"/>
      <c r="E39" s="3596"/>
      <c r="F39" s="3596"/>
      <c r="G39" s="3596"/>
      <c r="H39" s="3596"/>
      <c r="I39" s="3596"/>
      <c r="J39" s="3597"/>
      <c r="K39" s="3598"/>
      <c r="L39" s="3597"/>
      <c r="M39" s="3597"/>
      <c r="N39" s="3597"/>
      <c r="O39" s="3599"/>
      <c r="P39" s="3597"/>
      <c r="Q39" s="3597"/>
      <c r="R39" s="3597"/>
      <c r="S39" s="3597"/>
      <c r="T39" s="3597"/>
      <c r="U39" s="3597"/>
      <c r="V39" s="3597"/>
      <c r="W39" s="3600"/>
      <c r="X39" s="3600"/>
      <c r="Y39" s="3600"/>
      <c r="Z39" s="3600"/>
      <c r="AA39" s="3600"/>
      <c r="AB39" s="3600"/>
      <c r="AC39" s="3600"/>
      <c r="AD39" s="3600"/>
    </row>
    <row r="40" spans="1:30">
      <c r="A40" s="3475"/>
      <c r="B40" s="3475"/>
      <c r="C40" s="3475"/>
      <c r="D40" s="3475"/>
      <c r="E40" s="3475"/>
      <c r="F40" s="3475"/>
      <c r="G40" s="3475"/>
      <c r="H40" s="3475"/>
      <c r="I40" s="3602"/>
      <c r="J40" s="3490"/>
      <c r="K40" s="3501"/>
      <c r="L40" s="3502"/>
      <c r="M40" s="3502"/>
      <c r="N40" s="3490"/>
      <c r="O40" s="3502"/>
      <c r="P40" s="3490"/>
      <c r="Q40" s="3490"/>
      <c r="R40" s="3490"/>
      <c r="S40" s="3490"/>
      <c r="T40" s="3490"/>
      <c r="U40" s="3490"/>
      <c r="V40" s="3490"/>
    </row>
    <row r="41" spans="1:30">
      <c r="A41" s="3603" t="s">
        <v>2230</v>
      </c>
      <c r="B41" s="2982"/>
      <c r="C41" s="2983"/>
      <c r="D41" s="3475"/>
      <c r="E41" s="3475"/>
      <c r="F41" s="3475"/>
      <c r="G41" s="3475"/>
      <c r="H41" s="3475"/>
      <c r="I41" s="3474"/>
      <c r="J41" s="3490"/>
      <c r="K41" s="3501"/>
      <c r="L41" s="3502"/>
      <c r="M41" s="3502"/>
      <c r="N41" s="3490"/>
      <c r="O41" s="3502"/>
      <c r="P41" s="3490"/>
      <c r="Q41" s="3490"/>
      <c r="R41" s="3490"/>
      <c r="S41" s="3490"/>
      <c r="T41" s="3490"/>
      <c r="U41" s="3490"/>
      <c r="V41" s="3490"/>
    </row>
    <row r="42" spans="1:30" ht="25.5">
      <c r="A42" s="3530" t="s">
        <v>2231</v>
      </c>
      <c r="B42" s="3531" t="s">
        <v>2232</v>
      </c>
      <c r="C42" s="3531" t="s">
        <v>2233</v>
      </c>
      <c r="D42" s="3531" t="s">
        <v>2234</v>
      </c>
      <c r="E42" s="3531" t="s">
        <v>2235</v>
      </c>
      <c r="F42" s="3531" t="s">
        <v>2236</v>
      </c>
      <c r="G42" s="3531" t="s">
        <v>2237</v>
      </c>
      <c r="H42" s="3531" t="s">
        <v>2238</v>
      </c>
      <c r="I42" s="3531" t="s">
        <v>2239</v>
      </c>
      <c r="J42" s="3604" t="s">
        <v>2240</v>
      </c>
      <c r="K42" s="3605" t="s">
        <v>2241</v>
      </c>
      <c r="L42" s="3605" t="s">
        <v>2242</v>
      </c>
      <c r="M42" s="3605" t="s">
        <v>2243</v>
      </c>
      <c r="N42" s="3605" t="s">
        <v>2244</v>
      </c>
      <c r="O42" s="3605" t="s">
        <v>2245</v>
      </c>
      <c r="P42" s="3605" t="s">
        <v>2246</v>
      </c>
      <c r="Q42" s="3606" t="s">
        <v>2247</v>
      </c>
      <c r="R42" s="3606" t="s">
        <v>2248</v>
      </c>
      <c r="S42" s="3490"/>
      <c r="T42" s="3490"/>
      <c r="U42" s="3490"/>
      <c r="V42" s="3490"/>
    </row>
    <row r="43" spans="1:30" s="3478" customFormat="1">
      <c r="A43" s="3607"/>
      <c r="B43" s="3608"/>
      <c r="C43" s="3608"/>
      <c r="D43" s="3608"/>
      <c r="E43" s="3608"/>
      <c r="F43" s="3608"/>
      <c r="G43" s="3608"/>
      <c r="H43" s="3608"/>
      <c r="I43" s="3608"/>
      <c r="J43" s="3609"/>
      <c r="K43" s="3608"/>
      <c r="L43" s="3608"/>
      <c r="M43" s="3608"/>
      <c r="N43" s="3608"/>
      <c r="O43" s="3608"/>
      <c r="P43" s="3608"/>
      <c r="Q43" s="3608"/>
      <c r="R43" s="3608"/>
      <c r="S43" s="3490"/>
      <c r="T43" s="3490"/>
      <c r="U43" s="3490"/>
      <c r="V43" s="3490"/>
    </row>
    <row r="44" spans="1:30" s="3478" customFormat="1">
      <c r="A44" s="3607"/>
      <c r="B44" s="3607"/>
      <c r="C44" s="3608"/>
      <c r="D44" s="3608"/>
      <c r="E44" s="3608"/>
      <c r="F44" s="3608"/>
      <c r="G44" s="3608"/>
      <c r="H44" s="3608"/>
      <c r="I44" s="3608"/>
      <c r="J44" s="3609"/>
      <c r="K44" s="3608"/>
      <c r="L44" s="3608"/>
      <c r="M44" s="3608"/>
      <c r="N44" s="3608"/>
      <c r="O44" s="3608"/>
      <c r="P44" s="3608"/>
      <c r="Q44" s="3608"/>
      <c r="R44" s="3608"/>
      <c r="S44" s="3490"/>
      <c r="T44" s="3490"/>
      <c r="U44" s="3490"/>
      <c r="V44" s="3490"/>
    </row>
    <row r="45" spans="1:30" s="3478" customFormat="1">
      <c r="A45" s="3607"/>
      <c r="B45" s="3607"/>
      <c r="C45" s="3608"/>
      <c r="D45" s="3608"/>
      <c r="E45" s="3608"/>
      <c r="F45" s="3608"/>
      <c r="G45" s="3608"/>
      <c r="H45" s="3608"/>
      <c r="I45" s="3608"/>
      <c r="J45" s="3609"/>
      <c r="K45" s="3608"/>
      <c r="L45" s="3608"/>
      <c r="M45" s="3608"/>
      <c r="N45" s="3608"/>
      <c r="O45" s="3608"/>
      <c r="P45" s="3608"/>
      <c r="Q45" s="3608"/>
      <c r="R45" s="3608"/>
      <c r="S45" s="3490"/>
      <c r="T45" s="3490"/>
      <c r="U45" s="3490"/>
      <c r="V45" s="3490"/>
    </row>
    <row r="46" spans="1:30" s="3478" customFormat="1">
      <c r="A46" s="3607"/>
      <c r="B46" s="3607"/>
      <c r="C46" s="3608"/>
      <c r="D46" s="3608"/>
      <c r="E46" s="3608"/>
      <c r="F46" s="3608"/>
      <c r="G46" s="3608"/>
      <c r="H46" s="3608"/>
      <c r="I46" s="3608"/>
      <c r="J46" s="3609"/>
      <c r="K46" s="3608"/>
      <c r="L46" s="3608"/>
      <c r="M46" s="3608"/>
      <c r="N46" s="3608"/>
      <c r="O46" s="3608"/>
      <c r="P46" s="3608"/>
      <c r="Q46" s="3608"/>
      <c r="R46" s="3608"/>
      <c r="S46" s="3490"/>
      <c r="T46" s="3490"/>
      <c r="U46" s="3490"/>
      <c r="V46" s="3490"/>
    </row>
    <row r="47" spans="1:30" s="3478" customFormat="1">
      <c r="A47" s="3607"/>
      <c r="B47" s="3607"/>
      <c r="C47" s="3608"/>
      <c r="D47" s="3608"/>
      <c r="E47" s="3608"/>
      <c r="F47" s="3608"/>
      <c r="G47" s="3608"/>
      <c r="H47" s="3608"/>
      <c r="I47" s="3608"/>
      <c r="J47" s="3609"/>
      <c r="K47" s="3608"/>
      <c r="L47" s="3608"/>
      <c r="M47" s="3608"/>
      <c r="N47" s="3608"/>
      <c r="O47" s="3608"/>
      <c r="P47" s="3608"/>
      <c r="Q47" s="3608"/>
      <c r="R47" s="3608"/>
      <c r="S47" s="3490"/>
      <c r="T47" s="3490"/>
      <c r="U47" s="3490"/>
      <c r="V47" s="3490"/>
    </row>
    <row r="48" spans="1:30" s="3478" customFormat="1">
      <c r="A48" s="3607"/>
      <c r="B48" s="3607"/>
      <c r="C48" s="3608"/>
      <c r="D48" s="3608"/>
      <c r="E48" s="3608"/>
      <c r="F48" s="3608"/>
      <c r="G48" s="3608"/>
      <c r="H48" s="3608"/>
      <c r="I48" s="3608"/>
      <c r="J48" s="3609"/>
      <c r="K48" s="3608"/>
      <c r="L48" s="3608"/>
      <c r="M48" s="3608"/>
      <c r="N48" s="3608"/>
      <c r="O48" s="3608"/>
      <c r="P48" s="3608"/>
      <c r="Q48" s="3608"/>
      <c r="R48" s="3608"/>
      <c r="S48" s="3490"/>
      <c r="T48" s="3490"/>
      <c r="U48" s="3490"/>
      <c r="V48" s="3490"/>
    </row>
    <row r="49" spans="1:22" s="3478" customFormat="1">
      <c r="A49" s="3607"/>
      <c r="B49" s="3607"/>
      <c r="C49" s="3608"/>
      <c r="D49" s="3608"/>
      <c r="E49" s="3608"/>
      <c r="F49" s="3608"/>
      <c r="G49" s="3608"/>
      <c r="H49" s="3608"/>
      <c r="I49" s="3608"/>
      <c r="J49" s="3609"/>
      <c r="K49" s="3608"/>
      <c r="L49" s="3608"/>
      <c r="M49" s="3608"/>
      <c r="N49" s="3608"/>
      <c r="O49" s="3608"/>
      <c r="P49" s="3608"/>
      <c r="Q49" s="3608"/>
      <c r="R49" s="3608"/>
      <c r="S49" s="3490"/>
      <c r="T49" s="3490"/>
      <c r="U49" s="3490"/>
      <c r="V49" s="3490"/>
    </row>
    <row r="50" spans="1:22" s="3478" customFormat="1">
      <c r="A50" s="3607"/>
      <c r="B50" s="3607"/>
      <c r="C50" s="3608"/>
      <c r="D50" s="3608"/>
      <c r="E50" s="3608"/>
      <c r="F50" s="3608"/>
      <c r="G50" s="3608"/>
      <c r="H50" s="3608"/>
      <c r="I50" s="3608"/>
      <c r="J50" s="3609"/>
      <c r="K50" s="3608"/>
      <c r="L50" s="3608"/>
      <c r="M50" s="3608"/>
      <c r="N50" s="3608"/>
      <c r="O50" s="3608"/>
      <c r="P50" s="3608"/>
      <c r="Q50" s="3608"/>
      <c r="R50" s="3608"/>
      <c r="S50" s="3490"/>
      <c r="T50" s="3490"/>
      <c r="U50" s="3490"/>
      <c r="V50" s="3490"/>
    </row>
    <row r="51" spans="1:22" s="3478" customFormat="1">
      <c r="A51" s="3607"/>
      <c r="B51" s="3607"/>
      <c r="C51" s="3608"/>
      <c r="D51" s="3608"/>
      <c r="E51" s="3608"/>
      <c r="F51" s="3608"/>
      <c r="G51" s="3608"/>
      <c r="H51" s="3608"/>
      <c r="I51" s="3608"/>
      <c r="J51" s="3609"/>
      <c r="K51" s="3608"/>
      <c r="L51" s="3608"/>
      <c r="M51" s="3608"/>
      <c r="N51" s="3608"/>
      <c r="O51" s="3608"/>
      <c r="P51" s="3608"/>
      <c r="Q51" s="3608"/>
      <c r="R51" s="3608"/>
    </row>
    <row r="52" spans="1:22" s="3478" customFormat="1">
      <c r="A52" s="3607"/>
      <c r="B52" s="3607"/>
      <c r="C52" s="3607"/>
      <c r="D52" s="3607"/>
      <c r="E52" s="3607"/>
      <c r="F52" s="3608"/>
      <c r="G52" s="3607"/>
      <c r="H52" s="3607"/>
      <c r="I52" s="3607"/>
      <c r="J52" s="3610"/>
      <c r="K52" s="3608"/>
      <c r="L52" s="3608"/>
      <c r="M52" s="3608"/>
      <c r="N52" s="3607"/>
      <c r="O52" s="3607"/>
      <c r="P52" s="3607"/>
      <c r="Q52" s="3607"/>
      <c r="R52" s="3607"/>
    </row>
    <row r="53" spans="1:22" s="3478" customFormat="1">
      <c r="A53" s="3607"/>
      <c r="B53" s="3607"/>
      <c r="C53" s="3607"/>
      <c r="D53" s="3607"/>
      <c r="E53" s="3607"/>
      <c r="F53" s="3608"/>
      <c r="G53" s="3607"/>
      <c r="H53" s="3607"/>
      <c r="I53" s="3607"/>
      <c r="J53" s="3610"/>
      <c r="K53" s="3608"/>
      <c r="L53" s="3608"/>
      <c r="M53" s="3608"/>
      <c r="N53" s="3607"/>
      <c r="O53" s="3607"/>
      <c r="P53" s="3607"/>
      <c r="Q53" s="3607"/>
      <c r="R53" s="3607"/>
    </row>
    <row r="54" spans="1:22" s="3478" customFormat="1">
      <c r="A54" s="3607"/>
      <c r="B54" s="3607"/>
      <c r="C54" s="3607"/>
      <c r="D54" s="3607"/>
      <c r="E54" s="3607"/>
      <c r="F54" s="3608"/>
      <c r="G54" s="3607"/>
      <c r="H54" s="3607"/>
      <c r="I54" s="3607"/>
      <c r="J54" s="3610"/>
      <c r="K54" s="3608"/>
      <c r="L54" s="3608"/>
      <c r="M54" s="3608"/>
      <c r="N54" s="3607"/>
      <c r="O54" s="3607"/>
      <c r="P54" s="3607"/>
      <c r="Q54" s="3607"/>
      <c r="R54" s="3607"/>
    </row>
    <row r="55" spans="1:22" s="3478" customFormat="1">
      <c r="A55" s="3607"/>
      <c r="B55" s="3607"/>
      <c r="C55" s="3607"/>
      <c r="D55" s="3607"/>
      <c r="E55" s="3607"/>
      <c r="F55" s="3608"/>
      <c r="G55" s="3607"/>
      <c r="H55" s="3607"/>
      <c r="I55" s="3607"/>
      <c r="J55" s="3610"/>
      <c r="K55" s="3608"/>
      <c r="L55" s="3608"/>
      <c r="M55" s="3608"/>
      <c r="N55" s="3607"/>
      <c r="O55" s="3607"/>
      <c r="P55" s="3607"/>
      <c r="Q55" s="3607"/>
      <c r="R55" s="3607"/>
    </row>
    <row r="56" spans="1:22" s="3478" customFormat="1">
      <c r="A56" s="3607"/>
      <c r="B56" s="3607"/>
      <c r="C56" s="3607"/>
      <c r="D56" s="3607"/>
      <c r="E56" s="3607"/>
      <c r="F56" s="3608"/>
      <c r="G56" s="3607"/>
      <c r="H56" s="3607"/>
      <c r="I56" s="3607"/>
      <c r="J56" s="3610"/>
      <c r="K56" s="3608"/>
      <c r="L56" s="3608"/>
      <c r="M56" s="3608"/>
      <c r="N56" s="3607"/>
      <c r="O56" s="3607"/>
      <c r="P56" s="3607"/>
      <c r="Q56" s="3607"/>
      <c r="R56" s="360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6" customWidth="1"/>
    <col min="2" max="2" width="10.25" style="3616" customWidth="1"/>
    <col min="3" max="3" width="18.5" style="3616" customWidth="1"/>
    <col min="4" max="4" width="11.625" style="3616" customWidth="1"/>
    <col min="5" max="5" width="13.375" style="3616" customWidth="1"/>
    <col min="6" max="8" width="11.5" style="3616" customWidth="1"/>
    <col min="9" max="9" width="11.125" style="3616" customWidth="1"/>
    <col min="10" max="10" width="3.125" style="3705" customWidth="1"/>
    <col min="11" max="16" width="10" style="3616" customWidth="1"/>
    <col min="17" max="17" width="2.625" style="3616" customWidth="1"/>
    <col min="18" max="18" width="9.375" style="3616" bestFit="1" customWidth="1"/>
    <col min="19" max="19" width="10.5" style="3616" bestFit="1" customWidth="1"/>
    <col min="20" max="16384" width="9.25" style="3616"/>
  </cols>
  <sheetData>
    <row r="1" spans="1:16" ht="19.5" thickBot="1">
      <c r="A1" s="3614" t="s">
        <v>1129</v>
      </c>
      <c r="B1" s="3615"/>
      <c r="C1" s="3615"/>
      <c r="D1" s="3615"/>
      <c r="E1" s="3615"/>
      <c r="F1" s="3615"/>
      <c r="G1" s="3615"/>
      <c r="H1" s="3615"/>
      <c r="I1" s="3615"/>
      <c r="J1" s="3615"/>
      <c r="K1" s="3615"/>
      <c r="L1" s="3615"/>
      <c r="M1" s="3615"/>
      <c r="N1" s="3615"/>
      <c r="O1" s="3615"/>
      <c r="P1" s="3615"/>
    </row>
    <row r="2" spans="1:16" ht="15">
      <c r="A2" s="4177" t="s">
        <v>1130</v>
      </c>
      <c r="B2" s="4177"/>
      <c r="C2" s="4177"/>
      <c r="D2" s="3617" t="s">
        <v>1106</v>
      </c>
      <c r="E2" s="3618" t="s">
        <v>1107</v>
      </c>
      <c r="F2" s="3619"/>
      <c r="G2" s="3620"/>
      <c r="H2" s="3621"/>
      <c r="I2" s="3622" t="s">
        <v>1131</v>
      </c>
      <c r="J2" s="3619"/>
      <c r="K2" s="3619"/>
      <c r="L2" s="3619"/>
      <c r="M2" s="3619"/>
      <c r="N2" s="3623"/>
      <c r="O2" s="3619"/>
      <c r="P2" s="3619"/>
    </row>
    <row r="3" spans="1:16" ht="15.75" thickBot="1">
      <c r="A3" s="4178" t="s">
        <v>1104</v>
      </c>
      <c r="B3" s="4178"/>
      <c r="C3" s="4178"/>
      <c r="D3" s="3624">
        <f>'数据-基础表'!AY6</f>
        <v>0</v>
      </c>
      <c r="E3" s="3624">
        <f>'数据-基础表'!AZ5</f>
        <v>79.92</v>
      </c>
      <c r="F3" s="3619"/>
      <c r="G3" s="3625"/>
      <c r="H3" s="2997" t="s">
        <v>1105</v>
      </c>
      <c r="I3" s="3626" t="e">
        <f>ROUND('数据-基础表'!B3/'数据-基础表'!A3,2)</f>
        <v>#DIV/0!</v>
      </c>
      <c r="J3" s="3619"/>
      <c r="K3" s="3619"/>
      <c r="L3" s="3619"/>
      <c r="M3" s="3619"/>
      <c r="N3" s="3623"/>
      <c r="O3" s="3619"/>
      <c r="P3" s="3619"/>
    </row>
    <row r="4" spans="1:16" ht="15">
      <c r="A4" s="4179"/>
      <c r="B4" s="4180"/>
      <c r="C4" s="4181"/>
      <c r="D4" s="3627" t="s">
        <v>1106</v>
      </c>
      <c r="E4" s="3628" t="s">
        <v>1107</v>
      </c>
      <c r="F4" s="3619"/>
      <c r="G4" s="3629" t="s">
        <v>1132</v>
      </c>
      <c r="H4" s="2997" t="s">
        <v>1112</v>
      </c>
      <c r="I4" s="3626" t="e">
        <f>ROUND(SUMIF('数据-基础表'!I9:AS9,"地上",'数据-基础表'!I5:AS5)/'数据-基础表'!A3,2)</f>
        <v>#DIV/0!</v>
      </c>
      <c r="J4" s="3619"/>
      <c r="K4" s="3619"/>
      <c r="L4" s="3619"/>
      <c r="M4" s="3619"/>
      <c r="N4" s="3623"/>
      <c r="O4" s="3619"/>
      <c r="P4" s="3619"/>
    </row>
    <row r="5" spans="1:16">
      <c r="A5" s="3630" t="s">
        <v>1108</v>
      </c>
      <c r="B5" s="4182" t="s">
        <v>1109</v>
      </c>
      <c r="C5" s="4182"/>
      <c r="D5" s="3631">
        <f>ROUND($D$3*E5/$E$3,2)</f>
        <v>0</v>
      </c>
      <c r="E5" s="3632">
        <f>SUMIF('数据-基础表'!$11:$11,"住宅",'数据-基础表'!$5:$5)</f>
        <v>79.92</v>
      </c>
      <c r="F5" s="3619"/>
      <c r="G5" s="3625"/>
      <c r="H5" s="2997" t="s">
        <v>1105</v>
      </c>
      <c r="I5" s="3626" t="e">
        <f>ROUND(E31/D31,2)</f>
        <v>#DIV/0!</v>
      </c>
      <c r="J5" s="3619"/>
      <c r="K5" s="3619"/>
      <c r="L5" s="3619"/>
      <c r="M5" s="3619"/>
      <c r="N5" s="3619"/>
      <c r="O5" s="3619"/>
      <c r="P5" s="3619"/>
    </row>
    <row r="6" spans="1:16" ht="15" thickBot="1">
      <c r="A6" s="3633"/>
      <c r="B6" s="4182" t="s">
        <v>1110</v>
      </c>
      <c r="C6" s="4182"/>
      <c r="D6" s="3631">
        <f>ROUND($D$3*E6/$E$3,2)</f>
        <v>0</v>
      </c>
      <c r="E6" s="3632">
        <f>E3-E5</f>
        <v>0</v>
      </c>
      <c r="F6" s="3619"/>
      <c r="G6" s="3634" t="s">
        <v>1111</v>
      </c>
      <c r="H6" s="3635" t="s">
        <v>1112</v>
      </c>
      <c r="I6" s="3636" t="e">
        <f>ROUND(F31/D31,2)</f>
        <v>#DIV/0!</v>
      </c>
      <c r="J6" s="3619"/>
      <c r="K6" s="3619"/>
      <c r="L6" s="3619"/>
      <c r="M6" s="3619"/>
      <c r="N6" s="3619"/>
      <c r="O6" s="3619"/>
      <c r="P6" s="3619"/>
    </row>
    <row r="7" spans="1:16" ht="15.75" thickBot="1">
      <c r="A7" s="4174"/>
      <c r="B7" s="4175"/>
      <c r="C7" s="4176"/>
      <c r="D7" s="3627" t="s">
        <v>1106</v>
      </c>
      <c r="E7" s="3637" t="s">
        <v>1113</v>
      </c>
      <c r="F7" s="3619"/>
      <c r="G7" s="3638" t="s">
        <v>1114</v>
      </c>
      <c r="H7" s="3639"/>
      <c r="I7" s="3640"/>
      <c r="J7" s="3619"/>
      <c r="K7" s="3619"/>
      <c r="L7" s="3619"/>
      <c r="M7" s="3619"/>
      <c r="N7" s="3619"/>
      <c r="O7" s="3619"/>
      <c r="P7" s="3619"/>
    </row>
    <row r="8" spans="1:16">
      <c r="A8" s="3630" t="s">
        <v>1115</v>
      </c>
      <c r="B8" s="3641" t="s">
        <v>1116</v>
      </c>
      <c r="C8" s="3631" t="s">
        <v>1117</v>
      </c>
      <c r="D8" s="3631">
        <f t="shared" ref="D8:D15" si="0">ROUND($D$3*E8/$E$3,2)</f>
        <v>0</v>
      </c>
      <c r="E8" s="3632">
        <f>SUMIF('数据-基础表'!BB10:BK10,"地上",'数据-基础表'!BB5:BK5)</f>
        <v>79.92</v>
      </c>
      <c r="F8" s="3619"/>
      <c r="G8" s="3642"/>
      <c r="H8" s="3642"/>
      <c r="I8" s="3619"/>
      <c r="J8" s="3619"/>
      <c r="K8" s="3619"/>
      <c r="L8" s="3619"/>
      <c r="M8" s="3619"/>
      <c r="N8" s="3619"/>
      <c r="O8" s="3619"/>
      <c r="P8" s="3619"/>
    </row>
    <row r="9" spans="1:16">
      <c r="A9" s="3643"/>
      <c r="B9" s="3644"/>
      <c r="C9" s="3631" t="s">
        <v>1118</v>
      </c>
      <c r="D9" s="3631">
        <f t="shared" si="0"/>
        <v>0</v>
      </c>
      <c r="E9" s="3645">
        <v>0</v>
      </c>
      <c r="F9" s="3619"/>
      <c r="G9" s="3642"/>
      <c r="H9" s="3642"/>
      <c r="I9" s="3619"/>
      <c r="J9" s="3619"/>
      <c r="K9" s="3619"/>
      <c r="L9" s="3619"/>
      <c r="M9" s="3619"/>
      <c r="N9" s="3619"/>
      <c r="O9" s="3619"/>
      <c r="P9" s="3619"/>
    </row>
    <row r="10" spans="1:16">
      <c r="A10" s="3643"/>
      <c r="B10" s="3644"/>
      <c r="C10" s="3631" t="s">
        <v>1127</v>
      </c>
      <c r="D10" s="3631">
        <f t="shared" si="0"/>
        <v>0</v>
      </c>
      <c r="E10" s="3632">
        <f>SUMPRODUCT(('数据-基础表'!BB10:BK10="地下")*('数据-基础表'!BB11:BK11="商业")*('数据-基础表'!BB5:BK5))</f>
        <v>0</v>
      </c>
      <c r="F10" s="3619"/>
      <c r="G10" s="3642"/>
      <c r="H10" s="3642"/>
      <c r="I10" s="3619"/>
      <c r="J10" s="3619"/>
      <c r="K10" s="3619"/>
      <c r="L10" s="3619"/>
      <c r="M10" s="3619"/>
      <c r="N10" s="3619"/>
      <c r="O10" s="3619"/>
      <c r="P10" s="3619"/>
    </row>
    <row r="11" spans="1:16">
      <c r="A11" s="3643"/>
      <c r="B11" s="3644"/>
      <c r="C11" s="3631" t="s">
        <v>1119</v>
      </c>
      <c r="D11" s="3631">
        <f t="shared" si="0"/>
        <v>0</v>
      </c>
      <c r="E11" s="3632">
        <f>SUMPRODUCT(('数据-基础表'!BB10:BK10="地下")*('数据-基础表'!BB11:BK11="办公")*('数据-基础表'!BB5:BK5))+'数据-基础表'!BP5</f>
        <v>0</v>
      </c>
      <c r="F11" s="3619"/>
      <c r="G11" s="3642"/>
      <c r="H11" s="3642"/>
      <c r="I11" s="3619"/>
      <c r="J11" s="3619"/>
      <c r="K11" s="3619"/>
      <c r="L11" s="3619"/>
      <c r="M11" s="3619"/>
      <c r="N11" s="3619"/>
      <c r="O11" s="3619"/>
      <c r="P11" s="3619"/>
    </row>
    <row r="12" spans="1:16">
      <c r="A12" s="3643"/>
      <c r="B12" s="3644"/>
      <c r="C12" s="3631" t="s">
        <v>1120</v>
      </c>
      <c r="D12" s="3631">
        <f t="shared" si="0"/>
        <v>0</v>
      </c>
      <c r="E12" s="3632">
        <f>SUMPRODUCT(('数据-基础表'!BB10:BK10="地下")*('数据-基础表'!BB11:BK11="仓储")*('数据-基础表'!BB5:BK5))</f>
        <v>0</v>
      </c>
      <c r="F12" s="3619"/>
      <c r="G12" s="3642"/>
      <c r="H12" s="3642"/>
      <c r="I12" s="3619"/>
      <c r="J12" s="3619"/>
      <c r="K12" s="3619"/>
      <c r="L12" s="3619"/>
      <c r="M12" s="3619"/>
      <c r="N12" s="3619"/>
      <c r="O12" s="3619"/>
      <c r="P12" s="3619"/>
    </row>
    <row r="13" spans="1:16">
      <c r="A13" s="3643"/>
      <c r="B13" s="3644"/>
      <c r="C13" s="3631" t="s">
        <v>1121</v>
      </c>
      <c r="D13" s="3631">
        <f t="shared" si="0"/>
        <v>0</v>
      </c>
      <c r="E13" s="3632">
        <f>SUMPRODUCT(('数据-基础表'!BB10:BK10="地下")*('数据-基础表'!BB11:BK11="车库")*('数据-基础表'!BB5:BK5))</f>
        <v>0</v>
      </c>
      <c r="F13" s="3619"/>
      <c r="G13" s="3642"/>
      <c r="H13" s="3642"/>
      <c r="I13" s="3619"/>
      <c r="J13" s="3619"/>
      <c r="K13" s="3619"/>
      <c r="L13" s="3619"/>
      <c r="M13" s="3619"/>
      <c r="N13" s="3619"/>
      <c r="O13" s="3619"/>
      <c r="P13" s="3619"/>
    </row>
    <row r="14" spans="1:16">
      <c r="A14" s="3643"/>
      <c r="B14" s="3644"/>
      <c r="C14" s="3631" t="s">
        <v>1133</v>
      </c>
      <c r="D14" s="3631">
        <f t="shared" si="0"/>
        <v>0</v>
      </c>
      <c r="E14" s="3632">
        <f>SUMPRODUCT(('数据-基础表'!BB10:BK10="地下")*('数据-基础表'!BB11:BK11="车库—商业")*('数据-基础表'!BB5:BK5))</f>
        <v>0</v>
      </c>
      <c r="F14" s="3619"/>
      <c r="G14" s="3642"/>
      <c r="H14" s="3642"/>
      <c r="I14" s="3619"/>
      <c r="J14" s="3619"/>
      <c r="K14" s="3619"/>
      <c r="L14" s="3619"/>
      <c r="M14" s="3619"/>
      <c r="N14" s="3619"/>
      <c r="O14" s="3619"/>
      <c r="P14" s="3619"/>
    </row>
    <row r="15" spans="1:16" ht="15" thickBot="1">
      <c r="A15" s="3643"/>
      <c r="B15" s="3644"/>
      <c r="C15" s="3631" t="s">
        <v>1128</v>
      </c>
      <c r="D15" s="3631">
        <f t="shared" si="0"/>
        <v>0</v>
      </c>
      <c r="E15" s="3632">
        <f>SUMPRODUCT(('数据-基础表'!BB10:BK10="地下")*('数据-基础表'!BB11:BK11="车库—办公")*('数据-基础表'!BB5:BK5))</f>
        <v>0</v>
      </c>
      <c r="F15" s="3619"/>
      <c r="G15" s="3642"/>
      <c r="H15" s="3642"/>
      <c r="I15" s="3619"/>
      <c r="J15" s="3619"/>
      <c r="K15" s="3619"/>
      <c r="L15" s="3619"/>
      <c r="M15" s="3619"/>
      <c r="N15" s="3619"/>
      <c r="O15" s="3619"/>
      <c r="P15" s="3619"/>
    </row>
    <row r="16" spans="1:16" ht="15.75" thickBot="1">
      <c r="A16" s="3633"/>
      <c r="B16" s="3644"/>
      <c r="C16" s="3641" t="s">
        <v>1122</v>
      </c>
      <c r="D16" s="3641">
        <f>SUM(D8:D15)</f>
        <v>0</v>
      </c>
      <c r="E16" s="3646">
        <f>SUM(E8:E15)</f>
        <v>79.92</v>
      </c>
      <c r="F16" s="3619"/>
      <c r="G16" s="3642"/>
      <c r="H16" s="3647" t="s">
        <v>1134</v>
      </c>
      <c r="I16" s="3648"/>
      <c r="J16" s="3615"/>
      <c r="K16" s="4171" t="s">
        <v>1134</v>
      </c>
      <c r="L16" s="4172"/>
      <c r="M16" s="4172"/>
      <c r="N16" s="4172"/>
      <c r="O16" s="4172"/>
      <c r="P16" s="4173"/>
    </row>
    <row r="17" spans="1:19" ht="15">
      <c r="A17" s="3649" t="s">
        <v>1135</v>
      </c>
      <c r="B17" s="3650" t="s">
        <v>1136</v>
      </c>
      <c r="C17" s="3651" t="s">
        <v>1137</v>
      </c>
      <c r="D17" s="3652" t="s">
        <v>1125</v>
      </c>
      <c r="E17" s="3653" t="s">
        <v>1126</v>
      </c>
      <c r="F17" s="3654"/>
      <c r="G17" s="3655"/>
      <c r="H17" s="3656" t="s">
        <v>1138</v>
      </c>
      <c r="I17" s="3657" t="s">
        <v>1123</v>
      </c>
      <c r="J17" s="3615"/>
      <c r="K17" s="4168" t="s">
        <v>1139</v>
      </c>
      <c r="L17" s="4169"/>
      <c r="M17" s="4170"/>
      <c r="N17" s="4168" t="s">
        <v>1140</v>
      </c>
      <c r="O17" s="4169"/>
      <c r="P17" s="4170"/>
      <c r="R17" s="3658" t="s">
        <v>1141</v>
      </c>
      <c r="S17" s="2985"/>
    </row>
    <row r="18" spans="1:19" ht="15">
      <c r="A18" s="3643"/>
      <c r="B18" s="3659"/>
      <c r="C18" s="3660"/>
      <c r="D18" s="3661"/>
      <c r="E18" s="3662" t="s">
        <v>1142</v>
      </c>
      <c r="F18" s="3663" t="s">
        <v>1143</v>
      </c>
      <c r="G18" s="3664" t="s">
        <v>1144</v>
      </c>
      <c r="H18" s="3665" t="s">
        <v>1145</v>
      </c>
      <c r="I18" s="3626" t="s">
        <v>1146</v>
      </c>
      <c r="J18" s="3615"/>
      <c r="K18" s="3665" t="s">
        <v>1147</v>
      </c>
      <c r="L18" s="3666" t="s">
        <v>1148</v>
      </c>
      <c r="M18" s="3626" t="s">
        <v>1149</v>
      </c>
      <c r="N18" s="3665" t="s">
        <v>1147</v>
      </c>
      <c r="O18" s="3666" t="s">
        <v>1148</v>
      </c>
      <c r="P18" s="3626" t="s">
        <v>1149</v>
      </c>
      <c r="R18" s="2997" t="s">
        <v>1150</v>
      </c>
      <c r="S18" s="2997" t="s">
        <v>1151</v>
      </c>
    </row>
    <row r="19" spans="1:19">
      <c r="A19" s="3667"/>
      <c r="B19" s="3641" t="s">
        <v>1124</v>
      </c>
      <c r="C19" s="3668" t="s">
        <v>3433</v>
      </c>
      <c r="D19" s="3631">
        <f>ROUND($D$3*E19/$E$3,2)</f>
        <v>0</v>
      </c>
      <c r="E19" s="3631">
        <f t="shared" ref="E19:E26" si="1">SUM(F19:G19)</f>
        <v>79.92</v>
      </c>
      <c r="F19" s="3669">
        <v>79.92</v>
      </c>
      <c r="G19" s="3670"/>
      <c r="H19" s="3671">
        <f>ROUND($D$3*I19/$E$3,2)</f>
        <v>0</v>
      </c>
      <c r="I19" s="3632">
        <f t="shared" ref="I19:I26" si="2">IF($I$17="自定义",P19,M19)</f>
        <v>0</v>
      </c>
      <c r="J19" s="3615"/>
      <c r="K19" s="3672">
        <f t="shared" ref="K19:K26" si="3">ROUND(E$28*E19/E$27,2)</f>
        <v>0</v>
      </c>
      <c r="L19" s="2997">
        <f t="shared" ref="L19:L26" si="4">ROUND(IF(COUNTIF(C19,"*住宅*")&gt;0,E$29*E19/E$32,0),2)</f>
        <v>0</v>
      </c>
      <c r="M19" s="3673">
        <f>K19+L19</f>
        <v>0</v>
      </c>
      <c r="N19" s="3674"/>
      <c r="O19" s="3675"/>
      <c r="P19" s="3673">
        <f>N19+O19</f>
        <v>0</v>
      </c>
      <c r="R19" s="2997">
        <f t="shared" ref="R19:S26" si="5">D19+H19</f>
        <v>0</v>
      </c>
      <c r="S19" s="2997">
        <f t="shared" si="5"/>
        <v>79.92</v>
      </c>
    </row>
    <row r="20" spans="1:19">
      <c r="A20" s="3676"/>
      <c r="B20" s="3641" t="s">
        <v>1152</v>
      </c>
      <c r="C20" s="3668"/>
      <c r="D20" s="3631">
        <f t="shared" ref="D20:D26" si="6">ROUND($D$3*E20/$E$3,2)</f>
        <v>0</v>
      </c>
      <c r="E20" s="3631">
        <f t="shared" si="1"/>
        <v>0</v>
      </c>
      <c r="F20" s="3669"/>
      <c r="G20" s="3670"/>
      <c r="H20" s="3671">
        <f t="shared" ref="H20:H26" si="7">ROUND($D$3*I20/$E$3,2)</f>
        <v>0</v>
      </c>
      <c r="I20" s="3632">
        <f t="shared" si="2"/>
        <v>0</v>
      </c>
      <c r="J20" s="3615"/>
      <c r="K20" s="3672">
        <f t="shared" si="3"/>
        <v>0</v>
      </c>
      <c r="L20" s="2997">
        <f t="shared" si="4"/>
        <v>0</v>
      </c>
      <c r="M20" s="3673">
        <f t="shared" ref="M20:M26" si="8">K20+L20</f>
        <v>0</v>
      </c>
      <c r="N20" s="3674"/>
      <c r="O20" s="3675"/>
      <c r="P20" s="3673">
        <f t="shared" ref="P20:P26" si="9">N20+O20</f>
        <v>0</v>
      </c>
      <c r="R20" s="2997">
        <f t="shared" si="5"/>
        <v>0</v>
      </c>
      <c r="S20" s="2997">
        <f t="shared" si="5"/>
        <v>0</v>
      </c>
    </row>
    <row r="21" spans="1:19">
      <c r="A21" s="3676"/>
      <c r="B21" s="3641" t="s">
        <v>1152</v>
      </c>
      <c r="C21" s="3668"/>
      <c r="D21" s="3631">
        <f t="shared" si="6"/>
        <v>0</v>
      </c>
      <c r="E21" s="3631">
        <f t="shared" si="1"/>
        <v>0</v>
      </c>
      <c r="F21" s="3669"/>
      <c r="G21" s="3670"/>
      <c r="H21" s="3671">
        <f t="shared" si="7"/>
        <v>0</v>
      </c>
      <c r="I21" s="3632">
        <f t="shared" si="2"/>
        <v>0</v>
      </c>
      <c r="J21" s="3615"/>
      <c r="K21" s="3672">
        <f t="shared" si="3"/>
        <v>0</v>
      </c>
      <c r="L21" s="2997">
        <f t="shared" si="4"/>
        <v>0</v>
      </c>
      <c r="M21" s="3673">
        <f t="shared" si="8"/>
        <v>0</v>
      </c>
      <c r="N21" s="3674"/>
      <c r="O21" s="3675"/>
      <c r="P21" s="3673">
        <f t="shared" si="9"/>
        <v>0</v>
      </c>
      <c r="R21" s="2997">
        <f t="shared" si="5"/>
        <v>0</v>
      </c>
      <c r="S21" s="2997">
        <f t="shared" si="5"/>
        <v>0</v>
      </c>
    </row>
    <row r="22" spans="1:19">
      <c r="A22" s="3676"/>
      <c r="B22" s="3641" t="s">
        <v>1152</v>
      </c>
      <c r="C22" s="3677"/>
      <c r="D22" s="3631">
        <f t="shared" si="6"/>
        <v>0</v>
      </c>
      <c r="E22" s="3631">
        <f t="shared" si="1"/>
        <v>0</v>
      </c>
      <c r="F22" s="3678"/>
      <c r="G22" s="3679"/>
      <c r="H22" s="3671">
        <f t="shared" si="7"/>
        <v>0</v>
      </c>
      <c r="I22" s="3632">
        <f t="shared" si="2"/>
        <v>0</v>
      </c>
      <c r="J22" s="3615"/>
      <c r="K22" s="3672">
        <f t="shared" si="3"/>
        <v>0</v>
      </c>
      <c r="L22" s="2997">
        <f t="shared" si="4"/>
        <v>0</v>
      </c>
      <c r="M22" s="3673">
        <f t="shared" si="8"/>
        <v>0</v>
      </c>
      <c r="N22" s="3674"/>
      <c r="O22" s="3675"/>
      <c r="P22" s="3673">
        <f t="shared" si="9"/>
        <v>0</v>
      </c>
      <c r="R22" s="2997">
        <f t="shared" si="5"/>
        <v>0</v>
      </c>
      <c r="S22" s="2997">
        <f t="shared" si="5"/>
        <v>0</v>
      </c>
    </row>
    <row r="23" spans="1:19">
      <c r="A23" s="3676"/>
      <c r="B23" s="3641" t="s">
        <v>1152</v>
      </c>
      <c r="C23" s="3677"/>
      <c r="D23" s="3631">
        <f>ROUND($D$3*E23/$E$3,2)</f>
        <v>0</v>
      </c>
      <c r="E23" s="3631">
        <f>SUM(F23:G23)</f>
        <v>0</v>
      </c>
      <c r="F23" s="3678"/>
      <c r="G23" s="3679"/>
      <c r="H23" s="3671">
        <f>ROUND($D$3*I23/$E$3,2)</f>
        <v>0</v>
      </c>
      <c r="I23" s="3632">
        <f t="shared" si="2"/>
        <v>0</v>
      </c>
      <c r="J23" s="3615"/>
      <c r="K23" s="3672">
        <f t="shared" si="3"/>
        <v>0</v>
      </c>
      <c r="L23" s="2997">
        <f t="shared" si="4"/>
        <v>0</v>
      </c>
      <c r="M23" s="3673">
        <f t="shared" si="8"/>
        <v>0</v>
      </c>
      <c r="N23" s="3674"/>
      <c r="O23" s="3675"/>
      <c r="P23" s="3673">
        <f t="shared" si="9"/>
        <v>0</v>
      </c>
      <c r="R23" s="2997">
        <f t="shared" si="5"/>
        <v>0</v>
      </c>
      <c r="S23" s="2997">
        <f t="shared" si="5"/>
        <v>0</v>
      </c>
    </row>
    <row r="24" spans="1:19">
      <c r="A24" s="3676"/>
      <c r="B24" s="3641" t="s">
        <v>1152</v>
      </c>
      <c r="C24" s="3677"/>
      <c r="D24" s="3631">
        <f>ROUND($D$3*E24/$E$3,2)</f>
        <v>0</v>
      </c>
      <c r="E24" s="3631">
        <f>SUM(F24:G24)</f>
        <v>0</v>
      </c>
      <c r="F24" s="3678"/>
      <c r="G24" s="3679"/>
      <c r="H24" s="3671">
        <f>ROUND($D$3*I24/$E$3,2)</f>
        <v>0</v>
      </c>
      <c r="I24" s="3632">
        <f t="shared" si="2"/>
        <v>0</v>
      </c>
      <c r="J24" s="3615"/>
      <c r="K24" s="3672">
        <f t="shared" si="3"/>
        <v>0</v>
      </c>
      <c r="L24" s="2997">
        <f t="shared" si="4"/>
        <v>0</v>
      </c>
      <c r="M24" s="3673">
        <f t="shared" si="8"/>
        <v>0</v>
      </c>
      <c r="N24" s="3674"/>
      <c r="O24" s="3675"/>
      <c r="P24" s="3673">
        <f t="shared" si="9"/>
        <v>0</v>
      </c>
      <c r="R24" s="2997">
        <f t="shared" si="5"/>
        <v>0</v>
      </c>
      <c r="S24" s="2997">
        <f t="shared" si="5"/>
        <v>0</v>
      </c>
    </row>
    <row r="25" spans="1:19">
      <c r="A25" s="3676"/>
      <c r="B25" s="3641" t="s">
        <v>1152</v>
      </c>
      <c r="C25" s="3677"/>
      <c r="D25" s="3631">
        <f t="shared" si="6"/>
        <v>0</v>
      </c>
      <c r="E25" s="3631">
        <f t="shared" si="1"/>
        <v>0</v>
      </c>
      <c r="F25" s="3678"/>
      <c r="G25" s="3679"/>
      <c r="H25" s="3630">
        <f t="shared" si="7"/>
        <v>0</v>
      </c>
      <c r="I25" s="3632">
        <f t="shared" si="2"/>
        <v>0</v>
      </c>
      <c r="J25" s="3615"/>
      <c r="K25" s="3672">
        <f t="shared" si="3"/>
        <v>0</v>
      </c>
      <c r="L25" s="2997">
        <f t="shared" si="4"/>
        <v>0</v>
      </c>
      <c r="M25" s="3673">
        <f t="shared" si="8"/>
        <v>0</v>
      </c>
      <c r="N25" s="3674"/>
      <c r="O25" s="3675"/>
      <c r="P25" s="3673">
        <f t="shared" si="9"/>
        <v>0</v>
      </c>
      <c r="R25" s="2997">
        <f t="shared" si="5"/>
        <v>0</v>
      </c>
      <c r="S25" s="2997">
        <f t="shared" si="5"/>
        <v>0</v>
      </c>
    </row>
    <row r="26" spans="1:19">
      <c r="A26" s="3676"/>
      <c r="B26" s="3641" t="s">
        <v>1152</v>
      </c>
      <c r="C26" s="3680"/>
      <c r="D26" s="3631">
        <f t="shared" si="6"/>
        <v>0</v>
      </c>
      <c r="E26" s="3631">
        <f t="shared" si="1"/>
        <v>0</v>
      </c>
      <c r="F26" s="3678"/>
      <c r="G26" s="3679"/>
      <c r="H26" s="3630">
        <f t="shared" si="7"/>
        <v>0</v>
      </c>
      <c r="I26" s="3632">
        <f t="shared" si="2"/>
        <v>0</v>
      </c>
      <c r="J26" s="3615"/>
      <c r="K26" s="3625">
        <f t="shared" si="3"/>
        <v>0</v>
      </c>
      <c r="L26" s="3635">
        <f t="shared" si="4"/>
        <v>0</v>
      </c>
      <c r="M26" s="3681">
        <f t="shared" si="8"/>
        <v>0</v>
      </c>
      <c r="N26" s="3682"/>
      <c r="O26" s="3683"/>
      <c r="P26" s="3681">
        <f t="shared" si="9"/>
        <v>0</v>
      </c>
      <c r="R26" s="2997">
        <f t="shared" si="5"/>
        <v>0</v>
      </c>
      <c r="S26" s="2997">
        <f t="shared" si="5"/>
        <v>0</v>
      </c>
    </row>
    <row r="27" spans="1:19" ht="15.75" thickBot="1">
      <c r="A27" s="3676"/>
      <c r="B27" s="3631"/>
      <c r="C27" s="3684" t="s">
        <v>1153</v>
      </c>
      <c r="D27" s="3685">
        <f>SUM(D19:D26)</f>
        <v>0</v>
      </c>
      <c r="E27" s="3617">
        <f>IF(SUM(E19:E26)='数据-基础表'!BA5,SUM(E19:E26),IF(F27="地上面积有误","面积有误","地下面积有误"))</f>
        <v>79.92</v>
      </c>
      <c r="F27" s="3685">
        <f>IF(SUM(F19:F26)=E8,SUM(F19:F26),"地上面积有误")</f>
        <v>79.92</v>
      </c>
      <c r="G27" s="3686">
        <f>SUM(G19:G26)</f>
        <v>0</v>
      </c>
      <c r="H27" s="3687">
        <f>SUM(H19:H26)</f>
        <v>0</v>
      </c>
      <c r="I27" s="3688">
        <f>SUM(I19:I26)</f>
        <v>0</v>
      </c>
      <c r="J27" s="3615"/>
      <c r="K27" s="3689">
        <f>SUM(K19:K26)</f>
        <v>0</v>
      </c>
      <c r="L27" s="3690">
        <f>SUM(L19:L26)</f>
        <v>0</v>
      </c>
      <c r="M27" s="3691">
        <f>SUM(M19:M26)</f>
        <v>0</v>
      </c>
      <c r="N27" s="3689">
        <f t="shared" ref="N27:O27" si="10">SUM(N19:N26)</f>
        <v>0</v>
      </c>
      <c r="O27" s="3690">
        <f t="shared" si="10"/>
        <v>0</v>
      </c>
      <c r="P27" s="3692">
        <f>SUM(P19:P26)</f>
        <v>0</v>
      </c>
      <c r="R27" s="3693">
        <f>IF(SUM(R19:R26)=$D$3,SUM(R19:R26),SUM(R19:R26)&amp;"误差"&amp;ROUND(SUM(R19:R26)-$D$3,2))</f>
        <v>0</v>
      </c>
      <c r="S27" s="2997">
        <f>IF(SUM(S19:S26)=$E$3,SUM(S19:S26),SUM(S19:S26)&amp;"误差"&amp;ROUND(SUM(S19:S26)-E3,2))</f>
        <v>79.92</v>
      </c>
    </row>
    <row r="28" spans="1:19">
      <c r="A28" s="3676"/>
      <c r="B28" s="3641" t="s">
        <v>1154</v>
      </c>
      <c r="C28" s="3694" t="s">
        <v>1155</v>
      </c>
      <c r="D28" s="3631">
        <f>ROUND($D$3*E28/$E$3,2)</f>
        <v>0</v>
      </c>
      <c r="E28" s="3631">
        <f>SUM(F28:G28)</f>
        <v>0</v>
      </c>
      <c r="F28" s="2985">
        <f>'数据-基础表'!BQ5+'数据-基础表'!BS5</f>
        <v>0</v>
      </c>
      <c r="G28" s="3695">
        <f>'数据-基础表'!BR5+'数据-基础表'!BT5</f>
        <v>0</v>
      </c>
      <c r="H28" s="3619"/>
      <c r="I28" s="3619"/>
      <c r="J28" s="3619"/>
      <c r="K28" s="3619"/>
      <c r="L28" s="3619"/>
      <c r="M28" s="3619"/>
      <c r="N28" s="3619"/>
      <c r="O28" s="3619"/>
      <c r="P28" s="3619"/>
    </row>
    <row r="29" spans="1:19">
      <c r="A29" s="3676"/>
      <c r="B29" s="3641" t="s">
        <v>1154</v>
      </c>
      <c r="C29" s="3696" t="s">
        <v>1156</v>
      </c>
      <c r="D29" s="3631">
        <f>ROUND($D$3*E29/$E$3,2)</f>
        <v>0</v>
      </c>
      <c r="E29" s="3631">
        <f>SUM(F29:G29)</f>
        <v>0</v>
      </c>
      <c r="F29" s="3697">
        <f>'数据-基础表'!BM5+'数据-基础表'!BO5</f>
        <v>0</v>
      </c>
      <c r="G29" s="3681">
        <f>'数据-基础表'!BN5+'数据-基础表'!BP5</f>
        <v>0</v>
      </c>
      <c r="H29" s="3619"/>
      <c r="I29" s="3619"/>
      <c r="J29" s="3619"/>
      <c r="K29" s="3619"/>
      <c r="L29" s="3619"/>
      <c r="M29" s="3619"/>
      <c r="N29" s="3619"/>
      <c r="O29" s="3619"/>
      <c r="P29" s="3619"/>
    </row>
    <row r="30" spans="1:19" ht="15">
      <c r="A30" s="3676"/>
      <c r="B30" s="3641"/>
      <c r="C30" s="3698" t="s">
        <v>1153</v>
      </c>
      <c r="D30" s="3685">
        <f>SUM(D28:D29)</f>
        <v>0</v>
      </c>
      <c r="E30" s="3685">
        <f>SUM(E28:E29)</f>
        <v>0</v>
      </c>
      <c r="F30" s="3685">
        <f>SUM(F28:F29)</f>
        <v>0</v>
      </c>
      <c r="G30" s="3686">
        <f>SUM(G28:G29)</f>
        <v>0</v>
      </c>
      <c r="H30" s="3619"/>
      <c r="I30" s="3619"/>
      <c r="J30" s="3619"/>
      <c r="K30" s="3619"/>
      <c r="L30" s="3619"/>
      <c r="M30" s="3619"/>
      <c r="N30" s="3619"/>
      <c r="O30" s="3619"/>
      <c r="P30" s="3619"/>
    </row>
    <row r="31" spans="1:19" ht="15.75" thickBot="1">
      <c r="A31" s="3699"/>
      <c r="B31" s="3700"/>
      <c r="C31" s="3701" t="s">
        <v>1157</v>
      </c>
      <c r="D31" s="3702">
        <f>D27+D30</f>
        <v>0</v>
      </c>
      <c r="E31" s="3702">
        <f>E27+E30</f>
        <v>79.92</v>
      </c>
      <c r="F31" s="3701">
        <f>F27+F30</f>
        <v>79.92</v>
      </c>
      <c r="G31" s="3703">
        <f>G27+G30</f>
        <v>0</v>
      </c>
      <c r="H31" s="3619"/>
      <c r="I31" s="3619"/>
      <c r="J31" s="3619"/>
      <c r="K31" s="3619"/>
      <c r="L31" s="3619"/>
      <c r="M31" s="3619"/>
      <c r="N31" s="3619"/>
      <c r="O31" s="3619"/>
      <c r="P31" s="3619"/>
    </row>
    <row r="32" spans="1:19">
      <c r="A32" s="3704"/>
      <c r="B32" s="3704" t="s">
        <v>1158</v>
      </c>
      <c r="C32" s="3704"/>
      <c r="D32" s="3704"/>
      <c r="E32" s="3704">
        <f>SUMIF(C19:C26,"*住宅*",E19:E26)</f>
        <v>79.92</v>
      </c>
      <c r="F32" s="3704"/>
      <c r="G32" s="3704"/>
      <c r="H32" s="3619"/>
      <c r="I32" s="3619"/>
      <c r="J32" s="3619"/>
      <c r="K32" s="3619"/>
      <c r="L32" s="3619"/>
      <c r="M32" s="3619"/>
      <c r="N32" s="3619"/>
      <c r="O32" s="3619"/>
      <c r="P32" s="361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7" customWidth="1"/>
    <col min="2" max="2" width="12" style="3476" customWidth="1"/>
    <col min="3" max="3" width="12.75" style="3476" customWidth="1"/>
    <col min="4" max="4" width="9.125" style="3476" customWidth="1"/>
    <col min="5" max="5" width="15" style="3476" bestFit="1" customWidth="1"/>
    <col min="6" max="10" width="8.875" style="3476" customWidth="1"/>
    <col min="11" max="12" width="12.375" style="3855" customWidth="1"/>
    <col min="13" max="13" width="10.75" style="3476" customWidth="1"/>
    <col min="14" max="14" width="11.875" style="3476" customWidth="1"/>
    <col min="15" max="15" width="8.5" style="3476" customWidth="1"/>
    <col min="16" max="17" width="10.875" style="3476" customWidth="1"/>
    <col min="18" max="19" width="12.5" style="3476" customWidth="1"/>
    <col min="20" max="20" width="12.125" style="3476" customWidth="1"/>
    <col min="21" max="21" width="7.5" style="3476" customWidth="1"/>
    <col min="22" max="22" width="6.375" style="3476" customWidth="1"/>
    <col min="23" max="30" width="6.75" style="3476" customWidth="1"/>
    <col min="31" max="31" width="8" style="3476" customWidth="1"/>
    <col min="32" max="34" width="7.25" style="3476" customWidth="1"/>
    <col min="35" max="39" width="8" style="3476" customWidth="1"/>
    <col min="40" max="40" width="13.75" style="3711"/>
    <col min="41" max="41" width="11.625" style="3711" customWidth="1"/>
    <col min="42" max="42" width="9.75" style="3711" customWidth="1"/>
    <col min="43" max="67" width="13.75" style="3711"/>
    <col min="68" max="16384" width="13.75" style="3476"/>
  </cols>
  <sheetData>
    <row r="1" spans="1:67" ht="19.5" thickBot="1">
      <c r="A1" s="3706" t="s">
        <v>1159</v>
      </c>
      <c r="B1" s="3707"/>
      <c r="C1" s="3708"/>
      <c r="D1" s="3708"/>
      <c r="E1" s="3708"/>
      <c r="F1" s="3708"/>
      <c r="G1" s="3708"/>
      <c r="H1" s="3708"/>
      <c r="I1" s="3708"/>
      <c r="J1" s="3708"/>
      <c r="K1" s="3709"/>
      <c r="L1" s="3709"/>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10"/>
      <c r="AO1" s="3710"/>
      <c r="AP1" s="3710"/>
      <c r="AQ1" s="3710"/>
      <c r="AR1" s="3710"/>
    </row>
    <row r="2" spans="1:67" s="3718" customFormat="1" ht="15.75" thickBot="1">
      <c r="A2" s="3712" t="s">
        <v>1160</v>
      </c>
      <c r="B2" s="3713">
        <f>项目基本情况!D3</f>
        <v>39034</v>
      </c>
      <c r="C2" s="3714"/>
      <c r="D2" s="3714"/>
      <c r="E2" s="3714"/>
      <c r="F2" s="3714"/>
      <c r="G2" s="3714"/>
      <c r="H2" s="3714"/>
      <c r="I2" s="3714"/>
      <c r="J2" s="3714"/>
      <c r="K2" s="3715"/>
      <c r="L2" s="3715"/>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6"/>
      <c r="AO2" s="3716"/>
      <c r="AP2" s="3716"/>
      <c r="AQ2" s="3716"/>
      <c r="AR2" s="3716"/>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pans="1:67" s="3718" customFormat="1" ht="15" thickBot="1">
      <c r="A3" s="3719"/>
      <c r="B3" s="3720"/>
      <c r="C3" s="3714"/>
      <c r="D3" s="3714"/>
      <c r="E3" s="3714"/>
      <c r="F3" s="3714"/>
      <c r="G3" s="3714"/>
      <c r="H3" s="3714"/>
      <c r="I3" s="3714"/>
      <c r="J3" s="3714"/>
      <c r="K3" s="3715"/>
      <c r="L3" s="3715"/>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6"/>
      <c r="AO3" s="3716"/>
      <c r="AP3" s="3716"/>
      <c r="AQ3" s="3716"/>
      <c r="AR3" s="3716"/>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pans="1:67" s="3718" customFormat="1" ht="15" thickBot="1">
      <c r="A4" s="3721" t="s">
        <v>1161</v>
      </c>
      <c r="B4" s="3008"/>
      <c r="C4" s="3722"/>
      <c r="D4" s="3722"/>
      <c r="E4" s="3722" t="s">
        <v>1162</v>
      </c>
      <c r="F4" s="3722"/>
      <c r="G4" s="3722"/>
      <c r="H4" s="3722"/>
      <c r="I4" s="3722"/>
      <c r="J4" s="3723"/>
      <c r="K4" s="3724"/>
      <c r="L4" s="3725"/>
      <c r="M4" s="3722"/>
      <c r="N4" s="3722" t="s">
        <v>1163</v>
      </c>
      <c r="O4" s="3722"/>
      <c r="P4" s="3722"/>
      <c r="Q4" s="3722"/>
      <c r="R4" s="3722"/>
      <c r="S4" s="3723"/>
      <c r="T4" s="3726" t="str">
        <f>'数据-汇总表'!I17</f>
        <v>按面积比例</v>
      </c>
      <c r="U4" s="3008" t="s">
        <v>1164</v>
      </c>
      <c r="V4" s="3722"/>
      <c r="W4" s="3722"/>
      <c r="X4" s="3722"/>
      <c r="Y4" s="3723"/>
      <c r="Z4" s="3651" t="s">
        <v>1165</v>
      </c>
      <c r="AA4" s="3651"/>
      <c r="AB4" s="3651"/>
      <c r="AC4" s="3651"/>
      <c r="AD4" s="3651"/>
      <c r="AE4" s="3649" t="s">
        <v>1166</v>
      </c>
      <c r="AF4" s="3651"/>
      <c r="AG4" s="3727"/>
      <c r="AH4" s="3008"/>
      <c r="AI4" s="3722"/>
      <c r="AJ4" s="3722"/>
      <c r="AK4" s="3722"/>
      <c r="AL4" s="3722"/>
      <c r="AM4" s="3723"/>
      <c r="AN4" s="3716"/>
      <c r="AO4" s="3716"/>
      <c r="AP4" s="3716"/>
      <c r="AQ4" s="3716"/>
      <c r="AR4" s="3716"/>
      <c r="AS4" s="3717"/>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pans="1:67" s="3745" customFormat="1" ht="42">
      <c r="A5" s="3728" t="s">
        <v>1167</v>
      </c>
      <c r="B5" s="3729" t="s">
        <v>1168</v>
      </c>
      <c r="C5" s="3730" t="s">
        <v>1169</v>
      </c>
      <c r="D5" s="3731" t="s">
        <v>1170</v>
      </c>
      <c r="E5" s="3284" t="s">
        <v>1171</v>
      </c>
      <c r="F5" s="3284" t="s">
        <v>1172</v>
      </c>
      <c r="G5" s="3284" t="s">
        <v>1173</v>
      </c>
      <c r="H5" s="3284" t="s">
        <v>1174</v>
      </c>
      <c r="I5" s="3284" t="s">
        <v>1175</v>
      </c>
      <c r="J5" s="3732" t="s">
        <v>1176</v>
      </c>
      <c r="K5" s="3733" t="s">
        <v>1177</v>
      </c>
      <c r="L5" s="3734" t="s">
        <v>1178</v>
      </c>
      <c r="M5" s="3734" t="s">
        <v>1179</v>
      </c>
      <c r="N5" s="3735" t="s">
        <v>3626</v>
      </c>
      <c r="O5" s="3734" t="s">
        <v>1180</v>
      </c>
      <c r="P5" s="3736" t="s">
        <v>1181</v>
      </c>
      <c r="Q5" s="3122" t="s">
        <v>1182</v>
      </c>
      <c r="R5" s="3733" t="s">
        <v>1183</v>
      </c>
      <c r="S5" s="3737" t="s">
        <v>1184</v>
      </c>
      <c r="T5" s="3738" t="s">
        <v>1185</v>
      </c>
      <c r="U5" s="3739" t="s">
        <v>1186</v>
      </c>
      <c r="V5" s="3284" t="s">
        <v>1187</v>
      </c>
      <c r="W5" s="3284" t="s">
        <v>1188</v>
      </c>
      <c r="X5" s="3091"/>
      <c r="Y5" s="3093" t="s">
        <v>1189</v>
      </c>
      <c r="Z5" s="3740" t="s">
        <v>1186</v>
      </c>
      <c r="AA5" s="3284" t="s">
        <v>1187</v>
      </c>
      <c r="AB5" s="3284" t="s">
        <v>1188</v>
      </c>
      <c r="AC5" s="3091"/>
      <c r="AD5" s="3091" t="s">
        <v>1189</v>
      </c>
      <c r="AE5" s="3739" t="s">
        <v>1190</v>
      </c>
      <c r="AF5" s="3284" t="s">
        <v>1191</v>
      </c>
      <c r="AG5" s="3093" t="s">
        <v>1192</v>
      </c>
      <c r="AH5" s="3739" t="s">
        <v>1193</v>
      </c>
      <c r="AI5" s="3740" t="s">
        <v>1194</v>
      </c>
      <c r="AJ5" s="3740" t="s">
        <v>1195</v>
      </c>
      <c r="AK5" s="3284" t="s">
        <v>1196</v>
      </c>
      <c r="AL5" s="3284" t="s">
        <v>1197</v>
      </c>
      <c r="AM5" s="3093" t="s">
        <v>1198</v>
      </c>
      <c r="AN5" s="3741" t="s">
        <v>1199</v>
      </c>
      <c r="AO5" s="3742" t="s">
        <v>1200</v>
      </c>
      <c r="AP5" s="3693" t="s">
        <v>1201</v>
      </c>
      <c r="AQ5" s="3743" t="s">
        <v>1202</v>
      </c>
      <c r="AR5" s="3743" t="s">
        <v>1203</v>
      </c>
      <c r="AS5" s="3744"/>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pans="1:67" s="3718" customFormat="1" ht="14.25">
      <c r="A6" s="3746" t="str">
        <f>'数据-汇总表'!C19</f>
        <v>住宅</v>
      </c>
      <c r="B6" s="3747" t="str">
        <f>IF(A6=0,"","经营性")</f>
        <v>经营性</v>
      </c>
      <c r="C6" s="3748" t="s">
        <v>3432</v>
      </c>
      <c r="D6" s="3749">
        <f>SUMIF(项目基本情况!C$12:I$12,C6,项目基本情况!C$14:I$14)</f>
        <v>0</v>
      </c>
      <c r="E6" s="2978">
        <f>IF(B6="","",SUMIF(项目基本情况!C$12:I$12,C6,项目基本情况!C$13:I$13))</f>
        <v>64587</v>
      </c>
      <c r="F6" s="3751">
        <f>SUMIF(项目基本情况!C$12:I$12,C6,项目基本情况!C$15:I$15)</f>
        <v>70</v>
      </c>
      <c r="G6" s="3751">
        <f>IF(ISERROR(ROUND(POWER(1+H6,D6-F6)*(POWER(1+H6,F6)-1)/(POWER(1+H6,D6)-1),3)),0,ROUND(POWER(1+H6,D6-F6)*(POWER(1+H6,F6)-1)/(POWER(1+H6,D6)-1),3))</f>
        <v>0</v>
      </c>
      <c r="H6" s="3752"/>
      <c r="I6" s="3752"/>
      <c r="J6" s="3753"/>
      <c r="K6" s="3749">
        <f>SUMIF('数据-汇总表'!C$19:C$33,A6,'数据-汇总表'!E$19:E$33)</f>
        <v>79.92</v>
      </c>
      <c r="L6" s="3754">
        <v>1300</v>
      </c>
      <c r="M6" s="3755">
        <f t="shared" ref="M6:M14" si="0">ROUND(K6*L6/10000,0)</f>
        <v>10</v>
      </c>
      <c r="N6" s="3754">
        <v>0.8</v>
      </c>
      <c r="O6" s="3755" t="str">
        <f>IF($N$5="成新度","——",ROUND(M6*N6,0))</f>
        <v>——</v>
      </c>
      <c r="P6" s="3083" t="str">
        <f>IF($N$5="成新度","——",M6-O6)</f>
        <v>——</v>
      </c>
      <c r="Q6" s="3865">
        <v>0.1</v>
      </c>
      <c r="R6" s="3757">
        <f ca="1">SUMIF('数据-汇总表'!C$19:C$33,A6,'数据-汇总表'!R$19:R$27)</f>
        <v>0</v>
      </c>
      <c r="S6" s="3086">
        <f>IF('数据-汇总表'!$I$17="按面积比例",SUMIF('数据-汇总表'!C$19:C$33,A6,'数据-汇总表'!K$19:K$33),SUMIF('数据-汇总表'!C$19:C$33,A6,'数据-汇总表'!N$19:N$33))</f>
        <v>0</v>
      </c>
      <c r="T6" s="3758">
        <f>ROUND($L$14*S6/10000,0)</f>
        <v>0</v>
      </c>
      <c r="U6" s="3759"/>
      <c r="V6" s="3760"/>
      <c r="W6" s="3760"/>
      <c r="X6" s="3083"/>
      <c r="Y6" s="3761"/>
      <c r="Z6" s="3762"/>
      <c r="AA6" s="3753"/>
      <c r="AB6" s="3753"/>
      <c r="AC6" s="3083"/>
      <c r="AD6" s="3763"/>
      <c r="AE6" s="3665">
        <f ca="1">IF(AN6="",0,SUMIF(INDIRECT("'"&amp;AN6&amp;"'"&amp;"!E:E"),$AE$5,INDIRECT("'"&amp;AN6&amp;"'"&amp;"!F:F")))</f>
        <v>0</v>
      </c>
      <c r="AF6" s="3764"/>
      <c r="AG6" s="2999">
        <f>IF(AF6="",0,AE6-AF6)</f>
        <v>0</v>
      </c>
      <c r="AH6" s="3759"/>
      <c r="AI6" s="3765"/>
      <c r="AJ6" s="3764"/>
      <c r="AK6" s="3764"/>
      <c r="AL6" s="3764"/>
      <c r="AM6" s="3766"/>
      <c r="AN6" s="3767"/>
      <c r="AO6" s="3086" t="e">
        <f ca="1">SUMIF(INDIRECT("'"&amp;AN6&amp;"'"&amp;"!A:A"),"总价",INDIRECT("'"&amp;AN6&amp;"'"&amp;"!B:B"))</f>
        <v>#REF!</v>
      </c>
      <c r="AP6" s="3768">
        <f>IF(C6="住宅",K6*L6,0)</f>
        <v>103896</v>
      </c>
      <c r="AQ6" s="3086">
        <f>ROUND($L$14*$N$14*S6/10000,0)</f>
        <v>0</v>
      </c>
      <c r="AR6" s="3086">
        <f>ROUND($L$14*(1-$N$14)*S6/10000,0)</f>
        <v>0</v>
      </c>
      <c r="AS6" s="3717"/>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pans="1:67" s="3718" customFormat="1" ht="14.25">
      <c r="A7" s="3746">
        <f>'数据-汇总表'!C20</f>
        <v>0</v>
      </c>
      <c r="B7" s="3747" t="str">
        <f t="shared" ref="B7:B13" si="1">IF(A7=0,"","经营性")</f>
        <v/>
      </c>
      <c r="C7" s="3748"/>
      <c r="D7" s="3749">
        <f>SUMIF(项目基本情况!C$12:I$12,C7,项目基本情况!C$14:I$14)</f>
        <v>0</v>
      </c>
      <c r="E7" s="3750" t="str">
        <f>IF(B7="","",SUMIF(项目基本情况!C$12:I$12,C7,项目基本情况!C$13:I$13))</f>
        <v/>
      </c>
      <c r="F7" s="3751">
        <f>SUMIF(项目基本情况!C$12:I$12,C7,项目基本情况!C$15:I$15)</f>
        <v>0</v>
      </c>
      <c r="G7" s="3751">
        <f t="shared" ref="G7:G11" si="2">IF(ISERROR(ROUND(POWER(1+H7,D7-F7)*(POWER(1+H7,F7)-1)/(POWER(1+H7,D7)-1),3)),0,ROUND(POWER(1+H7,D7-F7)*(POWER(1+H7,F7)-1)/(POWER(1+H7,D7)-1),3))</f>
        <v>0</v>
      </c>
      <c r="H7" s="3752"/>
      <c r="I7" s="3752"/>
      <c r="J7" s="3753"/>
      <c r="K7" s="3749">
        <f>SUMIF('数据-汇总表'!C$19:C$33,A7,'数据-汇总表'!E$19:E$33)</f>
        <v>0</v>
      </c>
      <c r="L7" s="3754"/>
      <c r="M7" s="3755">
        <f t="shared" si="0"/>
        <v>0</v>
      </c>
      <c r="N7" s="3754"/>
      <c r="O7" s="3755" t="str">
        <f t="shared" ref="O7:O14" si="3">IF($N$5="成新度","——",ROUND(M7*N7,0))</f>
        <v>——</v>
      </c>
      <c r="P7" s="3083" t="str">
        <f t="shared" ref="P7:P14" si="4">IF($N$5="成新度","——",M7-O7)</f>
        <v>——</v>
      </c>
      <c r="Q7" s="3756"/>
      <c r="R7" s="3757">
        <f ca="1">SUMIF('数据-汇总表'!C$19:C$33,A7,'数据-汇总表'!R$19:R$27)</f>
        <v>0</v>
      </c>
      <c r="S7" s="3086">
        <f>IF('数据-汇总表'!$I$17="按面积比例",SUMIF('数据-汇总表'!C$19:C$33,A7,'数据-汇总表'!K$19:K$33),SUMIF('数据-汇总表'!C$19:C$33,A7,'数据-汇总表'!N$19:N$33))</f>
        <v>0</v>
      </c>
      <c r="T7" s="3758">
        <f t="shared" ref="T7:T13" si="5">ROUND($L$14*S7/10000,0)</f>
        <v>0</v>
      </c>
      <c r="U7" s="3759"/>
      <c r="V7" s="3760"/>
      <c r="W7" s="3760"/>
      <c r="X7" s="3083"/>
      <c r="Y7" s="3761"/>
      <c r="Z7" s="3762"/>
      <c r="AA7" s="3753"/>
      <c r="AB7" s="3753"/>
      <c r="AC7" s="3083"/>
      <c r="AD7" s="3763"/>
      <c r="AE7" s="3665">
        <f t="shared" ref="AE7:AE13" ca="1" si="6">IF(AN7="",0,SUMIF(INDIRECT("'"&amp;AN7&amp;"'"&amp;"!E:E"),$AE$5,INDIRECT("'"&amp;AN7&amp;"'"&amp;"!F:F")))</f>
        <v>0</v>
      </c>
      <c r="AF7" s="3764"/>
      <c r="AG7" s="2999">
        <f t="shared" ref="AG7:AG13" si="7">IF(AF7="",0,AE7-AF7)</f>
        <v>0</v>
      </c>
      <c r="AH7" s="3759"/>
      <c r="AI7" s="3765"/>
      <c r="AJ7" s="3764"/>
      <c r="AK7" s="3764"/>
      <c r="AL7" s="3764"/>
      <c r="AM7" s="3766"/>
      <c r="AN7" s="3767"/>
      <c r="AO7" s="3086" t="e">
        <f t="shared" ref="AO7:AO13" ca="1" si="8">SUMIF(INDIRECT("'"&amp;AN7&amp;"'"&amp;"!A:A"),"总价",INDIRECT("'"&amp;AN7&amp;"'"&amp;"!B:B"))</f>
        <v>#REF!</v>
      </c>
      <c r="AP7" s="3768">
        <f t="shared" ref="AP7:AP13" si="9">IF(C7="住宅",K7*L7,0)</f>
        <v>0</v>
      </c>
      <c r="AQ7" s="3086">
        <f t="shared" ref="AQ7:AQ13" si="10">ROUND($L$14*$N$14*S7/10000,0)</f>
        <v>0</v>
      </c>
      <c r="AR7" s="3086">
        <f t="shared" ref="AR7:AR13" si="11">ROUND($L$14*(1-$N$14)*S7/10000,0)</f>
        <v>0</v>
      </c>
      <c r="AS7" s="3717"/>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pans="1:67" s="3718" customFormat="1" ht="14.25">
      <c r="A8" s="3746">
        <f>'数据-汇总表'!C21</f>
        <v>0</v>
      </c>
      <c r="B8" s="3747" t="str">
        <f t="shared" si="1"/>
        <v/>
      </c>
      <c r="C8" s="3748"/>
      <c r="D8" s="3749">
        <f>SUMIF(项目基本情况!C$12:I$12,C8,项目基本情况!C$14:I$14)</f>
        <v>0</v>
      </c>
      <c r="E8" s="3750" t="str">
        <f>IF(B8="","",SUMIF(项目基本情况!C$12:I$12,C8,项目基本情况!C$13:I$13))</f>
        <v/>
      </c>
      <c r="F8" s="3751">
        <f>SUMIF(项目基本情况!C$12:I$12,C8,项目基本情况!C$15:I$15)</f>
        <v>0</v>
      </c>
      <c r="G8" s="3751">
        <f t="shared" si="2"/>
        <v>0</v>
      </c>
      <c r="H8" s="3752"/>
      <c r="I8" s="3752"/>
      <c r="J8" s="3753"/>
      <c r="K8" s="3749">
        <f>SUMIF('数据-汇总表'!C$19:C$33,A8,'数据-汇总表'!E$19:E$33)</f>
        <v>0</v>
      </c>
      <c r="L8" s="3754"/>
      <c r="M8" s="3755">
        <f>ROUND(K8*L8/10000,0)</f>
        <v>0</v>
      </c>
      <c r="N8" s="3754"/>
      <c r="O8" s="3755" t="str">
        <f t="shared" si="3"/>
        <v>——</v>
      </c>
      <c r="P8" s="3083" t="str">
        <f t="shared" si="4"/>
        <v>——</v>
      </c>
      <c r="Q8" s="3756"/>
      <c r="R8" s="3757">
        <f ca="1">SUMIF('数据-汇总表'!C$19:C$33,A8,'数据-汇总表'!R$19:R$27)</f>
        <v>0</v>
      </c>
      <c r="S8" s="3086">
        <f>IF('数据-汇总表'!$I$17="按面积比例",SUMIF('数据-汇总表'!C$19:C$33,A8,'数据-汇总表'!K$19:K$33),SUMIF('数据-汇总表'!C$19:C$33,A8,'数据-汇总表'!N$19:N$33))</f>
        <v>0</v>
      </c>
      <c r="T8" s="3758">
        <f t="shared" si="5"/>
        <v>0</v>
      </c>
      <c r="U8" s="3769"/>
      <c r="V8" s="3770"/>
      <c r="W8" s="3770"/>
      <c r="X8" s="3083"/>
      <c r="Y8" s="3761"/>
      <c r="Z8" s="3762"/>
      <c r="AA8" s="3753"/>
      <c r="AB8" s="3753"/>
      <c r="AC8" s="3083"/>
      <c r="AD8" s="3763"/>
      <c r="AE8" s="3665">
        <f t="shared" ca="1" si="6"/>
        <v>0</v>
      </c>
      <c r="AF8" s="3764"/>
      <c r="AG8" s="2999">
        <f t="shared" si="7"/>
        <v>0</v>
      </c>
      <c r="AH8" s="3769"/>
      <c r="AI8" s="3765"/>
      <c r="AJ8" s="3764"/>
      <c r="AK8" s="3771"/>
      <c r="AL8" s="3771"/>
      <c r="AM8" s="3772"/>
      <c r="AN8" s="3767"/>
      <c r="AO8" s="3086" t="e">
        <f t="shared" ca="1" si="8"/>
        <v>#REF!</v>
      </c>
      <c r="AP8" s="3768">
        <f t="shared" si="9"/>
        <v>0</v>
      </c>
      <c r="AQ8" s="3086">
        <f t="shared" si="10"/>
        <v>0</v>
      </c>
      <c r="AR8" s="3086">
        <f t="shared" si="11"/>
        <v>0</v>
      </c>
      <c r="AS8" s="3717"/>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pans="1:67" s="3718" customFormat="1" ht="14.25">
      <c r="A9" s="3746">
        <f>'数据-汇总表'!C22</f>
        <v>0</v>
      </c>
      <c r="B9" s="3747" t="str">
        <f t="shared" si="1"/>
        <v/>
      </c>
      <c r="C9" s="3748"/>
      <c r="D9" s="3749">
        <f>SUMIF(项目基本情况!C$12:I$12,C9,项目基本情况!C$14:I$14)</f>
        <v>0</v>
      </c>
      <c r="E9" s="3750" t="str">
        <f>IF(B9="","",SUMIF(项目基本情况!C$12:I$12,C9,项目基本情况!C$13:I$13))</f>
        <v/>
      </c>
      <c r="F9" s="3751">
        <f>SUMIF(项目基本情况!C$12:I$12,C9,项目基本情况!C$15:I$15)</f>
        <v>0</v>
      </c>
      <c r="G9" s="3751">
        <f t="shared" si="2"/>
        <v>0</v>
      </c>
      <c r="H9" s="3753"/>
      <c r="I9" s="3753"/>
      <c r="J9" s="3753"/>
      <c r="K9" s="3749">
        <f>SUMIF('数据-汇总表'!C$19:C$33,A9,'数据-汇总表'!E$19:E$33)</f>
        <v>0</v>
      </c>
      <c r="L9" s="3754"/>
      <c r="M9" s="3755">
        <f t="shared" si="0"/>
        <v>0</v>
      </c>
      <c r="N9" s="3754"/>
      <c r="O9" s="3755" t="str">
        <f t="shared" si="3"/>
        <v>——</v>
      </c>
      <c r="P9" s="3083" t="str">
        <f t="shared" si="4"/>
        <v>——</v>
      </c>
      <c r="Q9" s="3773"/>
      <c r="R9" s="3757">
        <f ca="1">SUMIF('数据-汇总表'!C$19:C$33,A9,'数据-汇总表'!R$19:R$27)</f>
        <v>0</v>
      </c>
      <c r="S9" s="3086">
        <f>IF('数据-汇总表'!$I$17="按面积比例",SUMIF('数据-汇总表'!C$19:C$33,A9,'数据-汇总表'!K$19:K$33),SUMIF('数据-汇总表'!C$19:C$33,A9,'数据-汇总表'!N$19:N$33))</f>
        <v>0</v>
      </c>
      <c r="T9" s="3758">
        <f t="shared" si="5"/>
        <v>0</v>
      </c>
      <c r="U9" s="3759"/>
      <c r="V9" s="3760"/>
      <c r="W9" s="3760"/>
      <c r="X9" s="3083"/>
      <c r="Y9" s="3761"/>
      <c r="Z9" s="3762"/>
      <c r="AA9" s="3753"/>
      <c r="AB9" s="3753"/>
      <c r="AC9" s="3083"/>
      <c r="AD9" s="3763"/>
      <c r="AE9" s="3665">
        <f t="shared" ca="1" si="6"/>
        <v>0</v>
      </c>
      <c r="AF9" s="3764"/>
      <c r="AG9" s="2999">
        <f t="shared" si="7"/>
        <v>0</v>
      </c>
      <c r="AH9" s="3759"/>
      <c r="AI9" s="3765"/>
      <c r="AJ9" s="3764"/>
      <c r="AK9" s="3764"/>
      <c r="AL9" s="3764"/>
      <c r="AM9" s="3766"/>
      <c r="AN9" s="3767"/>
      <c r="AO9" s="3086" t="e">
        <f t="shared" ca="1" si="8"/>
        <v>#REF!</v>
      </c>
      <c r="AP9" s="3768">
        <f t="shared" si="9"/>
        <v>0</v>
      </c>
      <c r="AQ9" s="3086">
        <f t="shared" si="10"/>
        <v>0</v>
      </c>
      <c r="AR9" s="3086">
        <f t="shared" si="11"/>
        <v>0</v>
      </c>
      <c r="AS9" s="3717"/>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pans="1:67" s="3718" customFormat="1" ht="14.25">
      <c r="A10" s="3746">
        <f>'数据-汇总表'!C23</f>
        <v>0</v>
      </c>
      <c r="B10" s="3747" t="str">
        <f t="shared" si="1"/>
        <v/>
      </c>
      <c r="C10" s="3748"/>
      <c r="D10" s="3749">
        <f>SUMIF(项目基本情况!C$12:I$12,C10,项目基本情况!C$14:I$14)</f>
        <v>0</v>
      </c>
      <c r="E10" s="3750" t="str">
        <f>IF(B10="","",SUMIF(项目基本情况!C$12:I$12,C10,项目基本情况!C$13:I$13))</f>
        <v/>
      </c>
      <c r="F10" s="3751">
        <f>SUMIF(项目基本情况!C$12:I$12,C10,项目基本情况!C$15:I$15)</f>
        <v>0</v>
      </c>
      <c r="G10" s="3751">
        <f t="shared" si="2"/>
        <v>0</v>
      </c>
      <c r="H10" s="3753"/>
      <c r="I10" s="3753"/>
      <c r="J10" s="3753"/>
      <c r="K10" s="3749">
        <f>SUMIF('数据-汇总表'!C$19:C$33,A10,'数据-汇总表'!E$19:E$33)</f>
        <v>0</v>
      </c>
      <c r="L10" s="3754"/>
      <c r="M10" s="3755">
        <f t="shared" si="0"/>
        <v>0</v>
      </c>
      <c r="N10" s="3754"/>
      <c r="O10" s="3755" t="str">
        <f t="shared" si="3"/>
        <v>——</v>
      </c>
      <c r="P10" s="3083" t="str">
        <f t="shared" si="4"/>
        <v>——</v>
      </c>
      <c r="Q10" s="3773"/>
      <c r="R10" s="3757">
        <f ca="1">SUMIF('数据-汇总表'!C$19:C$33,A10,'数据-汇总表'!R$19:R$27)</f>
        <v>0</v>
      </c>
      <c r="S10" s="3086">
        <f>IF('数据-汇总表'!$I$17="按面积比例",SUMIF('数据-汇总表'!C$19:C$33,A10,'数据-汇总表'!K$19:K$33),SUMIF('数据-汇总表'!C$19:C$33,A10,'数据-汇总表'!N$19:N$33))</f>
        <v>0</v>
      </c>
      <c r="T10" s="3758">
        <f t="shared" si="5"/>
        <v>0</v>
      </c>
      <c r="U10" s="3759"/>
      <c r="V10" s="3760"/>
      <c r="W10" s="3760"/>
      <c r="X10" s="3083"/>
      <c r="Y10" s="3761"/>
      <c r="Z10" s="3762"/>
      <c r="AA10" s="3753"/>
      <c r="AB10" s="3753"/>
      <c r="AC10" s="3083"/>
      <c r="AD10" s="3763"/>
      <c r="AE10" s="3665">
        <f t="shared" ca="1" si="6"/>
        <v>0</v>
      </c>
      <c r="AF10" s="3764"/>
      <c r="AG10" s="2999">
        <f t="shared" si="7"/>
        <v>0</v>
      </c>
      <c r="AH10" s="3759"/>
      <c r="AI10" s="3765"/>
      <c r="AJ10" s="3764"/>
      <c r="AK10" s="3764"/>
      <c r="AL10" s="3764"/>
      <c r="AM10" s="3766"/>
      <c r="AN10" s="3767"/>
      <c r="AO10" s="3086" t="e">
        <f t="shared" ca="1" si="8"/>
        <v>#REF!</v>
      </c>
      <c r="AP10" s="3768">
        <f t="shared" si="9"/>
        <v>0</v>
      </c>
      <c r="AQ10" s="3086">
        <f t="shared" si="10"/>
        <v>0</v>
      </c>
      <c r="AR10" s="3086">
        <f t="shared" si="11"/>
        <v>0</v>
      </c>
      <c r="AS10" s="3717"/>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pans="1:67" s="3718" customFormat="1" ht="14.25">
      <c r="A11" s="3746">
        <f>'数据-汇总表'!C24</f>
        <v>0</v>
      </c>
      <c r="B11" s="3747" t="str">
        <f t="shared" si="1"/>
        <v/>
      </c>
      <c r="C11" s="3748"/>
      <c r="D11" s="3749">
        <f>SUMIF(项目基本情况!C$12:I$12,C11,项目基本情况!C$14:I$14)</f>
        <v>0</v>
      </c>
      <c r="E11" s="3750" t="str">
        <f>IF(B11="","",SUMIF(项目基本情况!C$12:I$12,C11,项目基本情况!C$13:I$13))</f>
        <v/>
      </c>
      <c r="F11" s="3751">
        <f>SUMIF(项目基本情况!C$12:I$12,C11,项目基本情况!C$15:I$15)</f>
        <v>0</v>
      </c>
      <c r="G11" s="3751">
        <f t="shared" si="2"/>
        <v>0</v>
      </c>
      <c r="H11" s="3753"/>
      <c r="I11" s="3753"/>
      <c r="J11" s="3753"/>
      <c r="K11" s="3749">
        <f>SUMIF('数据-汇总表'!C$19:C$33,A11,'数据-汇总表'!E$19:E$33)</f>
        <v>0</v>
      </c>
      <c r="L11" s="3774"/>
      <c r="M11" s="3755">
        <f t="shared" si="0"/>
        <v>0</v>
      </c>
      <c r="N11" s="3754"/>
      <c r="O11" s="3755" t="str">
        <f t="shared" si="3"/>
        <v>——</v>
      </c>
      <c r="P11" s="3083" t="str">
        <f t="shared" si="4"/>
        <v>——</v>
      </c>
      <c r="Q11" s="3773"/>
      <c r="R11" s="3757">
        <f ca="1">SUMIF('数据-汇总表'!C$19:C$33,A11,'数据-汇总表'!R$19:R$27)</f>
        <v>0</v>
      </c>
      <c r="S11" s="3086">
        <f>IF('数据-汇总表'!$I$17="按面积比例",SUMIF('数据-汇总表'!C$19:C$33,A11,'数据-汇总表'!K$19:K$33),SUMIF('数据-汇总表'!C$19:C$33,A11,'数据-汇总表'!N$19:N$33))</f>
        <v>0</v>
      </c>
      <c r="T11" s="3758">
        <f t="shared" si="5"/>
        <v>0</v>
      </c>
      <c r="U11" s="3759"/>
      <c r="V11" s="3753"/>
      <c r="W11" s="3753"/>
      <c r="X11" s="3083"/>
      <c r="Y11" s="3761"/>
      <c r="Z11" s="3775"/>
      <c r="AA11" s="3753"/>
      <c r="AB11" s="3753"/>
      <c r="AC11" s="3083"/>
      <c r="AD11" s="3763"/>
      <c r="AE11" s="3665">
        <f t="shared" ca="1" si="6"/>
        <v>0</v>
      </c>
      <c r="AF11" s="3764"/>
      <c r="AG11" s="2999">
        <f t="shared" si="7"/>
        <v>0</v>
      </c>
      <c r="AH11" s="3759"/>
      <c r="AI11" s="3765"/>
      <c r="AJ11" s="3764"/>
      <c r="AK11" s="3753"/>
      <c r="AL11" s="3753"/>
      <c r="AM11" s="3776"/>
      <c r="AN11" s="3767"/>
      <c r="AO11" s="3086" t="e">
        <f t="shared" ca="1" si="8"/>
        <v>#REF!</v>
      </c>
      <c r="AP11" s="3768">
        <f t="shared" si="9"/>
        <v>0</v>
      </c>
      <c r="AQ11" s="3086">
        <f t="shared" si="10"/>
        <v>0</v>
      </c>
      <c r="AR11" s="3086">
        <f t="shared" si="11"/>
        <v>0</v>
      </c>
      <c r="AS11" s="3717"/>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pans="1:67" s="3718" customFormat="1" ht="14.25">
      <c r="A12" s="3746">
        <f>'数据-汇总表'!C25</f>
        <v>0</v>
      </c>
      <c r="B12" s="3747" t="str">
        <f t="shared" si="1"/>
        <v/>
      </c>
      <c r="C12" s="3748"/>
      <c r="D12" s="3749">
        <f>SUMIF(项目基本情况!C$12:I$12,C12,项目基本情况!C$14:I$14)</f>
        <v>0</v>
      </c>
      <c r="E12" s="3750" t="str">
        <f>IF(B12="","",SUMIF(项目基本情况!C$12:I$12,C12,项目基本情况!C$13:I$13))</f>
        <v/>
      </c>
      <c r="F12" s="3751">
        <f>SUMIF(项目基本情况!C$12:I$12,C12,项目基本情况!C$15:I$15)</f>
        <v>0</v>
      </c>
      <c r="G12" s="3751">
        <f>IF(ISERROR(ROUND(POWER(1+H12,D12-F12)*(POWER(1+H12,F12)-1)/(POWER(1+H12,D12)-1),3)),0,ROUND(POWER(1+H12,D12-F12)*(POWER(1+H12,F12)-1)/(POWER(1+H12,D12)-1),3))</f>
        <v>0</v>
      </c>
      <c r="H12" s="3753"/>
      <c r="I12" s="3753"/>
      <c r="J12" s="3753"/>
      <c r="K12" s="3749">
        <f>SUMIF('数据-汇总表'!C$19:C$33,A12,'数据-汇总表'!E$19:E$33)</f>
        <v>0</v>
      </c>
      <c r="L12" s="3774"/>
      <c r="M12" s="3755">
        <f>ROUND(K12*L12/10000,0)</f>
        <v>0</v>
      </c>
      <c r="N12" s="3754"/>
      <c r="O12" s="3755" t="str">
        <f t="shared" si="3"/>
        <v>——</v>
      </c>
      <c r="P12" s="3083" t="str">
        <f t="shared" si="4"/>
        <v>——</v>
      </c>
      <c r="Q12" s="3773"/>
      <c r="R12" s="3757">
        <f ca="1">SUMIF('数据-汇总表'!C$19:C$33,A12,'数据-汇总表'!R$19:R$27)</f>
        <v>0</v>
      </c>
      <c r="S12" s="3086">
        <f>IF('数据-汇总表'!$I$17="按面积比例",SUMIF('数据-汇总表'!C$19:C$33,A12,'数据-汇总表'!K$19:K$33),SUMIF('数据-汇总表'!C$19:C$33,A12,'数据-汇总表'!N$19:N$33))</f>
        <v>0</v>
      </c>
      <c r="T12" s="3758">
        <f t="shared" si="5"/>
        <v>0</v>
      </c>
      <c r="U12" s="3759"/>
      <c r="V12" s="3753"/>
      <c r="W12" s="3753"/>
      <c r="X12" s="3083"/>
      <c r="Y12" s="3761"/>
      <c r="Z12" s="3775"/>
      <c r="AA12" s="3753"/>
      <c r="AB12" s="3753"/>
      <c r="AC12" s="3083"/>
      <c r="AD12" s="3763"/>
      <c r="AE12" s="3665">
        <f t="shared" ca="1" si="6"/>
        <v>0</v>
      </c>
      <c r="AF12" s="3764"/>
      <c r="AG12" s="2999">
        <f t="shared" si="7"/>
        <v>0</v>
      </c>
      <c r="AH12" s="3759"/>
      <c r="AI12" s="3765"/>
      <c r="AJ12" s="3764"/>
      <c r="AK12" s="3753"/>
      <c r="AL12" s="3753"/>
      <c r="AM12" s="3776"/>
      <c r="AN12" s="3767"/>
      <c r="AO12" s="3086" t="e">
        <f t="shared" ca="1" si="8"/>
        <v>#REF!</v>
      </c>
      <c r="AP12" s="3768">
        <f t="shared" si="9"/>
        <v>0</v>
      </c>
      <c r="AQ12" s="3086">
        <f t="shared" si="10"/>
        <v>0</v>
      </c>
      <c r="AR12" s="3086">
        <f t="shared" si="11"/>
        <v>0</v>
      </c>
      <c r="AS12" s="3717"/>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pans="1:67" s="3718" customFormat="1" ht="14.25">
      <c r="A13" s="3746">
        <f>'数据-汇总表'!C26</f>
        <v>0</v>
      </c>
      <c r="B13" s="3747" t="str">
        <f t="shared" si="1"/>
        <v/>
      </c>
      <c r="C13" s="3748"/>
      <c r="D13" s="3749">
        <f>SUMIF(项目基本情况!C$12:I$12,C13,项目基本情况!C$14:I$14)</f>
        <v>0</v>
      </c>
      <c r="E13" s="3750" t="str">
        <f>IF(B13="","",SUMIF(项目基本情况!C$12:I$12,C13,项目基本情况!C$13:I$13))</f>
        <v/>
      </c>
      <c r="F13" s="3751">
        <f>SUMIF(项目基本情况!C$12:I$12,C13,项目基本情况!C$15:I$15)</f>
        <v>0</v>
      </c>
      <c r="G13" s="3751">
        <f>IF(ISERROR(ROUND(POWER(1+H13,D13-F13)*(POWER(1+H13,F13)-1)/(POWER(1+H13,D13)-1),3)),0,ROUND(POWER(1+H13,D13-F13)*(POWER(1+H13,F13)-1)/(POWER(1+H13,D13)-1),3))</f>
        <v>0</v>
      </c>
      <c r="H13" s="3753"/>
      <c r="I13" s="3753"/>
      <c r="J13" s="3753"/>
      <c r="K13" s="3749">
        <f>SUMIF('数据-汇总表'!C$19:C$33,A13,'数据-汇总表'!E$19:E$33)</f>
        <v>0</v>
      </c>
      <c r="L13" s="3774"/>
      <c r="M13" s="3755">
        <f>ROUND(K13*L13/10000,0)</f>
        <v>0</v>
      </c>
      <c r="N13" s="3774"/>
      <c r="O13" s="3755" t="str">
        <f t="shared" si="3"/>
        <v>——</v>
      </c>
      <c r="P13" s="3083" t="str">
        <f t="shared" si="4"/>
        <v>——</v>
      </c>
      <c r="Q13" s="3773"/>
      <c r="R13" s="3757">
        <f ca="1">SUMIF('数据-汇总表'!C$19:C$33,A13,'数据-汇总表'!R$19:R$27)</f>
        <v>0</v>
      </c>
      <c r="S13" s="3086">
        <f>IF('数据-汇总表'!$I$17="按面积比例",SUMIF('数据-汇总表'!C$19:C$33,A13,'数据-汇总表'!K$19:K$33),SUMIF('数据-汇总表'!C$19:C$33,A13,'数据-汇总表'!N$19:N$33))</f>
        <v>0</v>
      </c>
      <c r="T13" s="3758">
        <f t="shared" si="5"/>
        <v>0</v>
      </c>
      <c r="U13" s="3777"/>
      <c r="V13" s="3760"/>
      <c r="W13" s="3760"/>
      <c r="X13" s="3083"/>
      <c r="Y13" s="3761"/>
      <c r="Z13" s="3762"/>
      <c r="AA13" s="3753"/>
      <c r="AB13" s="3753"/>
      <c r="AC13" s="3083"/>
      <c r="AD13" s="3763"/>
      <c r="AE13" s="3665">
        <f t="shared" ca="1" si="6"/>
        <v>0</v>
      </c>
      <c r="AF13" s="3764"/>
      <c r="AG13" s="2999">
        <f t="shared" si="7"/>
        <v>0</v>
      </c>
      <c r="AH13" s="3759"/>
      <c r="AI13" s="3765"/>
      <c r="AJ13" s="3764"/>
      <c r="AK13" s="3764"/>
      <c r="AL13" s="3764"/>
      <c r="AM13" s="3766"/>
      <c r="AN13" s="3767"/>
      <c r="AO13" s="3086" t="e">
        <f t="shared" ca="1" si="8"/>
        <v>#REF!</v>
      </c>
      <c r="AP13" s="3768">
        <f t="shared" si="9"/>
        <v>0</v>
      </c>
      <c r="AQ13" s="3086">
        <f t="shared" si="10"/>
        <v>0</v>
      </c>
      <c r="AR13" s="3086">
        <f t="shared" si="11"/>
        <v>0</v>
      </c>
      <c r="AS13" s="3717"/>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pans="1:67" s="3718" customFormat="1" ht="14.25">
      <c r="A14" s="3778" t="s">
        <v>1204</v>
      </c>
      <c r="B14" s="3747" t="s">
        <v>1205</v>
      </c>
      <c r="C14" s="3779" t="s">
        <v>1204</v>
      </c>
      <c r="D14" s="3749"/>
      <c r="E14" s="3750"/>
      <c r="F14" s="3751"/>
      <c r="G14" s="3751"/>
      <c r="H14" s="3780"/>
      <c r="I14" s="3780"/>
      <c r="J14" s="3780"/>
      <c r="K14" s="3749">
        <f>SUMIF('数据-汇总表'!C$19:C$33,A14,'数据-汇总表'!E$19:E$33)</f>
        <v>0</v>
      </c>
      <c r="L14" s="3774"/>
      <c r="M14" s="3755">
        <f t="shared" si="0"/>
        <v>0</v>
      </c>
      <c r="N14" s="3774"/>
      <c r="O14" s="3755" t="str">
        <f t="shared" si="3"/>
        <v>——</v>
      </c>
      <c r="P14" s="3083" t="str">
        <f t="shared" si="4"/>
        <v>——</v>
      </c>
      <c r="Q14" s="3083"/>
      <c r="R14" s="3757"/>
      <c r="S14" s="3086"/>
      <c r="T14" s="3758"/>
      <c r="U14" s="3671"/>
      <c r="V14" s="3631"/>
      <c r="W14" s="3631"/>
      <c r="X14" s="3781"/>
      <c r="Y14" s="3632"/>
      <c r="Z14" s="3694"/>
      <c r="AA14" s="3086"/>
      <c r="AB14" s="3086"/>
      <c r="AC14" s="3083"/>
      <c r="AD14" s="3781"/>
      <c r="AE14" s="3665"/>
      <c r="AF14" s="3086"/>
      <c r="AG14" s="2999"/>
      <c r="AH14" s="3665"/>
      <c r="AI14" s="3084"/>
      <c r="AJ14" s="3086"/>
      <c r="AK14" s="3086"/>
      <c r="AL14" s="3086"/>
      <c r="AM14" s="3626"/>
      <c r="AN14" s="3710"/>
      <c r="AO14" s="3716"/>
      <c r="AP14" s="3716"/>
      <c r="AQ14" s="3716"/>
      <c r="AR14" s="3716"/>
      <c r="AS14" s="3717"/>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pans="1:67" s="3718" customFormat="1" ht="27">
      <c r="A15" s="3778" t="s">
        <v>1206</v>
      </c>
      <c r="B15" s="3747" t="s">
        <v>1205</v>
      </c>
      <c r="C15" s="3779" t="s">
        <v>1207</v>
      </c>
      <c r="D15" s="3749"/>
      <c r="E15" s="3750"/>
      <c r="F15" s="3751"/>
      <c r="G15" s="3751"/>
      <c r="H15" s="3780"/>
      <c r="I15" s="3780"/>
      <c r="J15" s="3780"/>
      <c r="K15" s="3749">
        <f>SUMIF('数据-汇总表'!C$19:C$33,A15,'数据-汇总表'!E$19:E$33)</f>
        <v>0</v>
      </c>
      <c r="L15" s="3755"/>
      <c r="M15" s="3755"/>
      <c r="N15" s="3755"/>
      <c r="O15" s="3755"/>
      <c r="P15" s="3083"/>
      <c r="Q15" s="3083"/>
      <c r="R15" s="3757"/>
      <c r="S15" s="3086"/>
      <c r="T15" s="3758"/>
      <c r="U15" s="3671"/>
      <c r="V15" s="3631"/>
      <c r="W15" s="3631"/>
      <c r="X15" s="3781"/>
      <c r="Y15" s="3632"/>
      <c r="Z15" s="3694"/>
      <c r="AA15" s="3086"/>
      <c r="AB15" s="3086"/>
      <c r="AC15" s="3083"/>
      <c r="AD15" s="3781"/>
      <c r="AE15" s="3665"/>
      <c r="AF15" s="3086"/>
      <c r="AG15" s="2999"/>
      <c r="AH15" s="3665"/>
      <c r="AI15" s="3084"/>
      <c r="AJ15" s="3086"/>
      <c r="AK15" s="3086"/>
      <c r="AL15" s="3086"/>
      <c r="AM15" s="3626"/>
      <c r="AN15" s="3710"/>
      <c r="AO15" s="3716"/>
      <c r="AP15" s="3716"/>
      <c r="AQ15" s="3716"/>
      <c r="AR15" s="3716"/>
      <c r="AS15" s="3717"/>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pans="1:67" s="3718" customFormat="1" ht="15.75" thickBot="1">
      <c r="A16" s="3782" t="s">
        <v>1208</v>
      </c>
      <c r="B16" s="3783"/>
      <c r="C16" s="3784"/>
      <c r="D16" s="3785"/>
      <c r="E16" s="3783"/>
      <c r="F16" s="3783"/>
      <c r="G16" s="3786" t="e">
        <f>ROUND(SUMPRODUCT(G6:G13,K6:K13)/SUMPRODUCT((G6:G13&gt;0)*(K6:K13)),3)</f>
        <v>#DIV/0!</v>
      </c>
      <c r="H16" s="3783" t="e">
        <f>ROUND(SUMPRODUCT(H6:H13,K6:K13)/SUMPRODUCT((H6:H13&gt;0)*(K6:K13)),3)</f>
        <v>#DIV/0!</v>
      </c>
      <c r="I16" s="3787"/>
      <c r="J16" s="3787"/>
      <c r="K16" s="3788">
        <f>SUM(K6:K15)</f>
        <v>79.92</v>
      </c>
      <c r="L16" s="3789">
        <f>ROUND(M16*10000/SUM(K6:K14),0)</f>
        <v>1251</v>
      </c>
      <c r="M16" s="3789">
        <f>SUM(M6:M14)</f>
        <v>10</v>
      </c>
      <c r="N16" s="3789">
        <f>ROUND(SUMPRODUCT(M6:M14,N6:N14)/M16,3)</f>
        <v>0.8</v>
      </c>
      <c r="O16" s="3789">
        <f>SUM(O6:O14)</f>
        <v>0</v>
      </c>
      <c r="P16" s="3789">
        <f>SUM(P6:P14)</f>
        <v>0</v>
      </c>
      <c r="Q16" s="3790">
        <f>ROUND(SUMPRODUCT(Q6:Q13,K6:K13)/SUMPRODUCT((Q6:Q13&gt;0)*(K6:K13)),2)</f>
        <v>0.1</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3710"/>
      <c r="AO16" s="3716"/>
      <c r="AP16" s="3716"/>
      <c r="AQ16" s="3716"/>
      <c r="AR16" s="3716"/>
      <c r="AS16" s="3717"/>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spans="1:67" ht="13.5" thickBot="1">
      <c r="A17" s="3799"/>
      <c r="B17" s="3800"/>
      <c r="C17" s="3710"/>
      <c r="D17" s="3710"/>
      <c r="E17" s="3710"/>
      <c r="F17" s="3710"/>
      <c r="G17" s="3710"/>
      <c r="H17" s="3710"/>
      <c r="I17" s="3710"/>
      <c r="J17" s="3710"/>
      <c r="K17" s="3801"/>
      <c r="L17" s="3801"/>
      <c r="M17" s="3710"/>
      <c r="N17" s="3710"/>
      <c r="O17" s="3710"/>
      <c r="P17" s="3710"/>
      <c r="Q17" s="3710"/>
      <c r="R17" s="3710"/>
      <c r="S17" s="3710"/>
      <c r="T17" s="3710"/>
      <c r="U17" s="3710"/>
      <c r="V17" s="3710"/>
      <c r="W17" s="3710"/>
      <c r="X17" s="3710"/>
      <c r="Y17" s="3710"/>
      <c r="Z17" s="3710"/>
      <c r="AA17" s="3710"/>
      <c r="AB17" s="3710"/>
      <c r="AC17" s="3710"/>
      <c r="AD17" s="3710"/>
      <c r="AE17" s="3710"/>
      <c r="AF17" s="3710"/>
      <c r="AG17" s="3710"/>
      <c r="AH17" s="3710"/>
      <c r="AI17" s="3710"/>
      <c r="AJ17" s="3710"/>
      <c r="AK17" s="3710"/>
      <c r="AL17" s="3710"/>
      <c r="AM17" s="3710"/>
      <c r="AN17" s="3710"/>
      <c r="AO17" s="3710"/>
      <c r="AP17" s="3710"/>
      <c r="AQ17" s="3710"/>
      <c r="AR17" s="3710"/>
    </row>
    <row r="18" spans="1:67" ht="15" thickBot="1">
      <c r="A18" s="3721" t="s">
        <v>1209</v>
      </c>
      <c r="B18" s="3802"/>
      <c r="C18" s="3716"/>
      <c r="D18" s="3716"/>
      <c r="E18" s="3716"/>
      <c r="F18" s="3716"/>
      <c r="G18" s="3716"/>
      <c r="H18" s="3716"/>
      <c r="I18" s="3716"/>
      <c r="J18" s="3716"/>
      <c r="K18" s="3801"/>
      <c r="L18" s="3801"/>
      <c r="M18" s="3710"/>
      <c r="N18" s="3710"/>
      <c r="O18" s="3710"/>
      <c r="P18" s="3710"/>
      <c r="Q18" s="3710"/>
      <c r="R18" s="3710"/>
      <c r="S18" s="3710"/>
      <c r="T18" s="3710"/>
      <c r="U18" s="3710"/>
      <c r="V18" s="3710"/>
      <c r="W18" s="3710"/>
      <c r="X18" s="3710"/>
      <c r="Y18" s="3710"/>
      <c r="Z18" s="3710"/>
      <c r="AA18" s="3710"/>
      <c r="AB18" s="3710"/>
      <c r="AC18" s="3710"/>
      <c r="AD18" s="3710"/>
      <c r="AE18" s="3710"/>
      <c r="AF18" s="3710"/>
      <c r="AG18" s="3710"/>
      <c r="AH18" s="3710"/>
      <c r="AI18" s="3710"/>
      <c r="AJ18" s="3710"/>
      <c r="AK18" s="3710"/>
      <c r="AL18" s="3710"/>
      <c r="AM18" s="3710"/>
      <c r="AN18" s="3710"/>
      <c r="AO18" s="3710"/>
      <c r="AP18" s="3710"/>
      <c r="AQ18" s="3710"/>
      <c r="AR18" s="3710"/>
    </row>
    <row r="19" spans="1:67" ht="14.25">
      <c r="A19" s="3803" t="s">
        <v>1210</v>
      </c>
      <c r="B19" s="3804"/>
      <c r="C19" s="3805" t="s">
        <v>2298</v>
      </c>
      <c r="D19" s="3716"/>
      <c r="E19" s="3716"/>
      <c r="F19" s="3716"/>
      <c r="G19" s="3716"/>
      <c r="H19" s="3716"/>
      <c r="I19" s="3716"/>
      <c r="J19" s="3716"/>
      <c r="K19" s="3801"/>
      <c r="L19" s="3801"/>
      <c r="M19" s="3710"/>
      <c r="N19" s="3710"/>
      <c r="O19" s="3710"/>
      <c r="P19" s="3710"/>
      <c r="Q19" s="3710"/>
      <c r="R19" s="3710"/>
      <c r="S19" s="3710"/>
      <c r="T19" s="3710"/>
      <c r="U19" s="3710"/>
      <c r="V19" s="3710"/>
      <c r="W19" s="3710"/>
      <c r="X19" s="3710"/>
      <c r="Y19" s="3710"/>
      <c r="Z19" s="3710"/>
      <c r="AA19" s="3710"/>
      <c r="AB19" s="3710"/>
      <c r="AC19" s="3710"/>
      <c r="AD19" s="3710"/>
      <c r="AE19" s="3710"/>
      <c r="AF19" s="3710"/>
      <c r="AG19" s="3710"/>
      <c r="AH19" s="3710"/>
      <c r="AI19" s="3710"/>
      <c r="AJ19" s="3710"/>
      <c r="AK19" s="3710"/>
      <c r="AL19" s="3710"/>
      <c r="AM19" s="3710"/>
      <c r="AN19" s="3710"/>
      <c r="AO19" s="3710"/>
      <c r="AP19" s="3710"/>
      <c r="AQ19" s="3710"/>
      <c r="AR19" s="3710"/>
    </row>
    <row r="20" spans="1:67" ht="14.25">
      <c r="A20" s="3806" t="s">
        <v>1211</v>
      </c>
      <c r="B20" s="3807">
        <v>1</v>
      </c>
      <c r="C20" s="3808" t="s">
        <v>2296</v>
      </c>
      <c r="D20" s="3716"/>
      <c r="E20" s="3716"/>
      <c r="F20" s="3716"/>
      <c r="G20" s="3716"/>
      <c r="H20" s="3716"/>
      <c r="I20" s="3716"/>
      <c r="J20" s="3716"/>
      <c r="K20" s="3801"/>
      <c r="L20" s="3801"/>
      <c r="M20" s="3710"/>
      <c r="N20" s="3710"/>
      <c r="O20" s="3710"/>
      <c r="P20" s="3710"/>
      <c r="Q20" s="3710"/>
      <c r="R20" s="3710"/>
      <c r="S20" s="3710"/>
      <c r="T20" s="3710"/>
      <c r="U20" s="3710"/>
      <c r="V20" s="3710"/>
      <c r="W20" s="3710"/>
      <c r="X20" s="3710"/>
      <c r="Y20" s="3710"/>
      <c r="Z20" s="3710"/>
      <c r="AA20" s="3710"/>
      <c r="AB20" s="3710"/>
      <c r="AC20" s="3710"/>
      <c r="AD20" s="3710"/>
      <c r="AE20" s="3710"/>
      <c r="AF20" s="3710"/>
      <c r="AG20" s="3710"/>
      <c r="AH20" s="3710"/>
      <c r="AI20" s="3710"/>
      <c r="AJ20" s="3710"/>
      <c r="AK20" s="3710"/>
      <c r="AL20" s="3710"/>
      <c r="AM20" s="3710"/>
      <c r="AN20" s="3710"/>
      <c r="AO20" s="3710"/>
      <c r="AP20" s="3710"/>
      <c r="AQ20" s="3710"/>
      <c r="AR20" s="3710"/>
    </row>
    <row r="21" spans="1:67" ht="14.25">
      <c r="A21" s="3809" t="s">
        <v>1212</v>
      </c>
      <c r="B21" s="3807">
        <v>1</v>
      </c>
      <c r="C21" s="3716"/>
      <c r="D21" s="3716"/>
      <c r="E21" s="3716"/>
      <c r="F21" s="3716"/>
      <c r="G21" s="3716"/>
      <c r="H21" s="3716"/>
      <c r="I21" s="3716"/>
      <c r="J21" s="3716"/>
      <c r="K21" s="3801"/>
      <c r="L21" s="3801"/>
      <c r="M21" s="3710"/>
      <c r="N21" s="3710"/>
      <c r="O21" s="3710"/>
      <c r="P21" s="3710"/>
      <c r="Q21" s="3710"/>
      <c r="R21" s="3710"/>
      <c r="S21" s="3710"/>
      <c r="T21" s="3710"/>
      <c r="U21" s="3710"/>
      <c r="V21" s="3710"/>
      <c r="W21" s="3710"/>
      <c r="X21" s="3710"/>
      <c r="Y21" s="3710"/>
      <c r="Z21" s="3710"/>
      <c r="AA21" s="3710"/>
      <c r="AB21" s="3710"/>
      <c r="AC21" s="3710"/>
      <c r="AD21" s="3710"/>
      <c r="AE21" s="3710"/>
      <c r="AF21" s="3710"/>
      <c r="AG21" s="3710"/>
      <c r="AH21" s="3710"/>
      <c r="AI21" s="3710"/>
      <c r="AJ21" s="3710"/>
      <c r="AK21" s="3710"/>
      <c r="AL21" s="3710"/>
      <c r="AM21" s="3710"/>
      <c r="AN21" s="3710"/>
      <c r="AO21" s="3710"/>
      <c r="AP21" s="3710"/>
      <c r="AQ21" s="3710"/>
      <c r="AR21" s="3710"/>
    </row>
    <row r="22" spans="1:67" ht="14.25">
      <c r="A22" s="3806" t="s">
        <v>1213</v>
      </c>
      <c r="B22" s="3810">
        <f>B19+B20</f>
        <v>1</v>
      </c>
      <c r="C22" s="3716"/>
      <c r="D22" s="3716"/>
      <c r="E22" s="3716"/>
      <c r="F22" s="3716"/>
      <c r="G22" s="3716"/>
      <c r="H22" s="3716"/>
      <c r="I22" s="3716"/>
      <c r="J22" s="3716"/>
      <c r="K22" s="3801"/>
      <c r="L22" s="3801"/>
      <c r="M22" s="3710"/>
      <c r="N22" s="3710"/>
      <c r="O22" s="3710"/>
      <c r="P22" s="3710"/>
      <c r="Q22" s="3710"/>
      <c r="R22" s="3710"/>
      <c r="S22" s="3710"/>
      <c r="T22" s="3710"/>
      <c r="U22" s="3710"/>
      <c r="V22" s="3710"/>
      <c r="W22" s="3710"/>
      <c r="X22" s="3710"/>
      <c r="Y22" s="3710"/>
      <c r="Z22" s="3710"/>
      <c r="AA22" s="3710"/>
      <c r="AB22" s="3710"/>
      <c r="AC22" s="3710"/>
      <c r="AD22" s="3710"/>
      <c r="AE22" s="3710"/>
      <c r="AF22" s="3710"/>
      <c r="AG22" s="3710"/>
      <c r="AH22" s="3710"/>
      <c r="AI22" s="3710"/>
      <c r="AJ22" s="3710"/>
      <c r="AK22" s="3710"/>
      <c r="AL22" s="3710"/>
      <c r="AM22" s="3710"/>
      <c r="AN22" s="3710"/>
      <c r="AO22" s="3710"/>
      <c r="AP22" s="3710"/>
      <c r="AQ22" s="3710"/>
      <c r="AR22" s="3710"/>
    </row>
    <row r="23" spans="1:67" ht="14.25">
      <c r="A23" s="3809" t="s">
        <v>1214</v>
      </c>
      <c r="B23" s="3810">
        <f>B19+B21</f>
        <v>1</v>
      </c>
      <c r="C23" s="3716"/>
      <c r="D23" s="3716"/>
      <c r="E23" s="3716"/>
      <c r="F23" s="3716"/>
      <c r="G23" s="3716"/>
      <c r="H23" s="3716"/>
      <c r="I23" s="3716"/>
      <c r="J23" s="3716"/>
      <c r="K23" s="3801"/>
      <c r="L23" s="3801"/>
      <c r="M23" s="3710"/>
      <c r="N23" s="3710"/>
      <c r="O23" s="3710"/>
      <c r="P23" s="3710"/>
      <c r="Q23" s="3710"/>
      <c r="R23" s="3710"/>
      <c r="S23" s="3710"/>
      <c r="T23" s="3710"/>
      <c r="U23" s="3710"/>
      <c r="V23" s="3710"/>
      <c r="W23" s="3710"/>
      <c r="X23" s="3710"/>
      <c r="Y23" s="3710"/>
      <c r="Z23" s="3710"/>
      <c r="AA23" s="3710"/>
      <c r="AB23" s="3710"/>
      <c r="AC23" s="3710"/>
      <c r="AD23" s="3710"/>
      <c r="AE23" s="3710"/>
      <c r="AF23" s="3710"/>
      <c r="AG23" s="3710"/>
      <c r="AH23" s="3710"/>
      <c r="AI23" s="3710"/>
      <c r="AJ23" s="3710"/>
      <c r="AK23" s="3710"/>
      <c r="AL23" s="3710"/>
      <c r="AM23" s="3710"/>
      <c r="AN23" s="3710"/>
      <c r="AO23" s="3710"/>
      <c r="AP23" s="3710"/>
      <c r="AQ23" s="3710"/>
      <c r="AR23" s="3710"/>
    </row>
    <row r="24" spans="1:67" ht="15" thickBot="1">
      <c r="A24" s="3811" t="s">
        <v>1215</v>
      </c>
      <c r="B24" s="3812">
        <f>B20-B21</f>
        <v>0</v>
      </c>
      <c r="C24" s="3716"/>
      <c r="D24" s="3716"/>
      <c r="E24" s="3716"/>
      <c r="F24" s="3716"/>
      <c r="G24" s="3716"/>
      <c r="H24" s="3716"/>
      <c r="I24" s="3716"/>
      <c r="J24" s="3716"/>
      <c r="K24" s="3801"/>
      <c r="L24" s="3801"/>
      <c r="M24" s="3710"/>
      <c r="N24" s="3710"/>
      <c r="O24" s="3710"/>
      <c r="P24" s="3710"/>
      <c r="Q24" s="3710"/>
      <c r="R24" s="3710"/>
      <c r="S24" s="3710"/>
      <c r="T24" s="3710"/>
      <c r="U24" s="3710"/>
      <c r="V24" s="3710"/>
      <c r="W24" s="3710"/>
      <c r="X24" s="3710"/>
      <c r="Y24" s="3710"/>
      <c r="Z24" s="3710"/>
      <c r="AA24" s="3710"/>
      <c r="AB24" s="3710"/>
      <c r="AC24" s="3710"/>
      <c r="AD24" s="3710"/>
      <c r="AE24" s="3710"/>
      <c r="AF24" s="3710"/>
      <c r="AG24" s="3710"/>
      <c r="AH24" s="3710"/>
      <c r="AI24" s="3710"/>
      <c r="AJ24" s="3710"/>
      <c r="AK24" s="3710"/>
      <c r="AL24" s="3710"/>
      <c r="AM24" s="3710"/>
      <c r="AN24" s="3710"/>
      <c r="AO24" s="3710"/>
      <c r="AP24" s="3710"/>
      <c r="AQ24" s="3710"/>
      <c r="AR24" s="3710"/>
    </row>
    <row r="25" spans="1:67" ht="15" thickBot="1">
      <c r="A25" s="3719"/>
      <c r="B25" s="3720"/>
      <c r="C25" s="3716"/>
      <c r="D25" s="3716"/>
      <c r="E25" s="3716"/>
      <c r="F25" s="3716"/>
      <c r="G25" s="3716"/>
      <c r="H25" s="3716"/>
      <c r="I25" s="3716"/>
      <c r="J25" s="3716"/>
      <c r="K25" s="3801"/>
      <c r="L25" s="3801"/>
      <c r="M25" s="3710"/>
      <c r="N25" s="3710"/>
      <c r="O25" s="3710"/>
      <c r="P25" s="3710"/>
      <c r="Q25" s="3710"/>
      <c r="R25" s="3710"/>
      <c r="S25" s="3710"/>
      <c r="T25" s="3710"/>
      <c r="U25" s="3710"/>
      <c r="V25" s="3710"/>
      <c r="W25" s="3710"/>
      <c r="X25" s="3710"/>
      <c r="Y25" s="3710"/>
      <c r="Z25" s="3710"/>
      <c r="AA25" s="3710"/>
      <c r="AB25" s="3710"/>
      <c r="AC25" s="3710"/>
      <c r="AD25" s="3710"/>
      <c r="AE25" s="3710"/>
      <c r="AF25" s="3710"/>
      <c r="AG25" s="3710"/>
      <c r="AH25" s="3710"/>
      <c r="AI25" s="3710"/>
      <c r="AJ25" s="3710"/>
      <c r="AK25" s="3710"/>
      <c r="AL25" s="3710"/>
      <c r="AM25" s="3710"/>
      <c r="AN25" s="3710"/>
      <c r="AO25" s="3710"/>
      <c r="AP25" s="3710"/>
      <c r="AQ25" s="3710"/>
      <c r="AR25" s="3710"/>
    </row>
    <row r="26" spans="1:67" ht="15" thickBot="1">
      <c r="A26" s="3712" t="s">
        <v>1216</v>
      </c>
      <c r="B26" s="3813" t="s">
        <v>1217</v>
      </c>
      <c r="C26" s="3814" t="s">
        <v>1218</v>
      </c>
      <c r="D26" s="3716"/>
      <c r="E26" s="3716"/>
      <c r="F26" s="3716"/>
      <c r="G26" s="3716"/>
      <c r="H26" s="3716"/>
      <c r="I26" s="3716"/>
      <c r="J26" s="3716"/>
      <c r="K26" s="3801"/>
      <c r="L26" s="3801"/>
      <c r="M26" s="3710"/>
      <c r="N26" s="3710"/>
      <c r="O26" s="3710"/>
      <c r="P26" s="3710"/>
      <c r="Q26" s="3710"/>
      <c r="R26" s="3710"/>
      <c r="S26" s="3710"/>
      <c r="T26" s="3710"/>
      <c r="U26" s="3710"/>
      <c r="V26" s="3710"/>
      <c r="W26" s="3710"/>
      <c r="X26" s="3710"/>
      <c r="Y26" s="3710"/>
      <c r="Z26" s="3710"/>
      <c r="AA26" s="3710"/>
      <c r="AB26" s="3710"/>
      <c r="AC26" s="3710"/>
      <c r="AD26" s="3710"/>
      <c r="AE26" s="3710"/>
      <c r="AF26" s="3710"/>
      <c r="AG26" s="3710"/>
      <c r="AH26" s="3710"/>
      <c r="AI26" s="3710"/>
      <c r="AJ26" s="3710"/>
      <c r="AK26" s="3710"/>
      <c r="AL26" s="3710"/>
      <c r="AM26" s="3710"/>
      <c r="AN26" s="3710"/>
      <c r="AO26" s="3710"/>
      <c r="AP26" s="3710"/>
      <c r="AQ26" s="3710"/>
      <c r="AR26" s="3710"/>
    </row>
    <row r="27" spans="1:67" s="3819" customFormat="1" ht="27.75">
      <c r="A27" s="3815" t="s">
        <v>1219</v>
      </c>
      <c r="B27" s="3816">
        <v>160</v>
      </c>
      <c r="C27" s="3817" t="s">
        <v>2300</v>
      </c>
      <c r="D27" s="3623"/>
      <c r="E27" s="3623"/>
      <c r="F27" s="3623"/>
      <c r="G27" s="3716"/>
      <c r="H27" s="3716"/>
      <c r="I27" s="3716"/>
      <c r="J27" s="3716"/>
      <c r="K27" s="3801"/>
      <c r="L27" s="3801"/>
      <c r="M27" s="3710"/>
      <c r="N27" s="3710"/>
      <c r="O27" s="3710"/>
      <c r="P27" s="3710"/>
      <c r="Q27" s="3710"/>
      <c r="R27" s="3710"/>
      <c r="S27" s="3710"/>
      <c r="T27" s="3710"/>
      <c r="U27" s="3710"/>
      <c r="V27" s="3710"/>
      <c r="W27" s="3710"/>
      <c r="X27" s="3710"/>
      <c r="Y27" s="3710"/>
      <c r="Z27" s="3710"/>
      <c r="AA27" s="3710"/>
      <c r="AB27" s="3710"/>
      <c r="AC27" s="3710"/>
      <c r="AD27" s="3710"/>
      <c r="AE27" s="3710"/>
      <c r="AF27" s="3710"/>
      <c r="AG27" s="3710"/>
      <c r="AH27" s="3710"/>
      <c r="AI27" s="3710"/>
      <c r="AJ27" s="3710"/>
      <c r="AK27" s="3710"/>
      <c r="AL27" s="3710"/>
      <c r="AM27" s="3710"/>
      <c r="AN27" s="3710"/>
      <c r="AO27" s="3710"/>
      <c r="AP27" s="3710"/>
      <c r="AQ27" s="3710"/>
      <c r="AR27" s="3710"/>
      <c r="AS27" s="3818"/>
      <c r="AT27" s="3818"/>
      <c r="AU27" s="3818"/>
      <c r="AV27" s="3818"/>
      <c r="AW27" s="3818"/>
      <c r="AX27" s="3818"/>
      <c r="AY27" s="3818"/>
      <c r="AZ27" s="3818"/>
      <c r="BA27" s="3818"/>
      <c r="BB27" s="3818"/>
      <c r="BC27" s="3818"/>
      <c r="BD27" s="3818"/>
      <c r="BE27" s="3818"/>
      <c r="BF27" s="3818"/>
      <c r="BG27" s="3818"/>
      <c r="BH27" s="3818"/>
      <c r="BI27" s="3818"/>
      <c r="BJ27" s="3818"/>
      <c r="BK27" s="3818"/>
      <c r="BL27" s="3818"/>
      <c r="BM27" s="3818"/>
      <c r="BN27" s="3818"/>
      <c r="BO27" s="3818"/>
    </row>
    <row r="28" spans="1:67" s="3819" customFormat="1" ht="27.75">
      <c r="A28" s="3820" t="s">
        <v>1220</v>
      </c>
      <c r="B28" s="3821"/>
      <c r="C28" s="3822"/>
      <c r="D28" s="3623"/>
      <c r="E28" s="3623"/>
      <c r="F28" s="3623"/>
      <c r="G28" s="3716"/>
      <c r="H28" s="3716"/>
      <c r="I28" s="3716"/>
      <c r="J28" s="3716"/>
      <c r="K28" s="3801"/>
      <c r="L28" s="3801"/>
      <c r="M28" s="3710"/>
      <c r="N28" s="3710"/>
      <c r="O28" s="3710"/>
      <c r="P28" s="3710"/>
      <c r="Q28" s="3710"/>
      <c r="R28" s="3710"/>
      <c r="S28" s="3710"/>
      <c r="T28" s="3710"/>
      <c r="U28" s="3710"/>
      <c r="V28" s="3710"/>
      <c r="W28" s="3710"/>
      <c r="X28" s="3710"/>
      <c r="Y28" s="3710"/>
      <c r="Z28" s="3710"/>
      <c r="AA28" s="3710"/>
      <c r="AB28" s="3710"/>
      <c r="AC28" s="3710"/>
      <c r="AD28" s="3710"/>
      <c r="AE28" s="3710"/>
      <c r="AF28" s="3710"/>
      <c r="AG28" s="3710"/>
      <c r="AH28" s="3710"/>
      <c r="AI28" s="3710"/>
      <c r="AJ28" s="3710"/>
      <c r="AK28" s="3710"/>
      <c r="AL28" s="3710"/>
      <c r="AM28" s="3710"/>
      <c r="AN28" s="3710"/>
      <c r="AO28" s="3710"/>
      <c r="AP28" s="3710"/>
      <c r="AQ28" s="3710"/>
      <c r="AR28" s="3710"/>
      <c r="AS28" s="3818"/>
      <c r="AT28" s="3818"/>
      <c r="AU28" s="3818"/>
      <c r="AV28" s="3818"/>
      <c r="AW28" s="3818"/>
      <c r="AX28" s="3818"/>
      <c r="AY28" s="3818"/>
      <c r="AZ28" s="3818"/>
      <c r="BA28" s="3818"/>
      <c r="BB28" s="3818"/>
      <c r="BC28" s="3818"/>
      <c r="BD28" s="3818"/>
      <c r="BE28" s="3818"/>
      <c r="BF28" s="3818"/>
      <c r="BG28" s="3818"/>
      <c r="BH28" s="3818"/>
      <c r="BI28" s="3818"/>
      <c r="BJ28" s="3818"/>
      <c r="BK28" s="3818"/>
      <c r="BL28" s="3818"/>
      <c r="BM28" s="3818"/>
      <c r="BN28" s="3818"/>
      <c r="BO28" s="3818"/>
    </row>
    <row r="29" spans="1:67" s="3819" customFormat="1" ht="28.5" thickBot="1">
      <c r="A29" s="3823" t="s">
        <v>1221</v>
      </c>
      <c r="B29" s="3824"/>
      <c r="C29" s="3825" t="s">
        <v>2287</v>
      </c>
      <c r="D29" s="3623"/>
      <c r="E29" s="3623"/>
      <c r="F29" s="3623"/>
      <c r="G29" s="3716"/>
      <c r="H29" s="3716"/>
      <c r="I29" s="3716"/>
      <c r="J29" s="3716"/>
      <c r="K29" s="3801"/>
      <c r="L29" s="3801"/>
      <c r="M29" s="3710"/>
      <c r="N29" s="3710"/>
      <c r="O29" s="3710"/>
      <c r="P29" s="3710"/>
      <c r="Q29" s="3710"/>
      <c r="R29" s="3710"/>
      <c r="S29" s="3710"/>
      <c r="T29" s="3710"/>
      <c r="U29" s="3710"/>
      <c r="V29" s="3710"/>
      <c r="W29" s="3710"/>
      <c r="X29" s="3710"/>
      <c r="Y29" s="3710"/>
      <c r="Z29" s="3710"/>
      <c r="AA29" s="3710"/>
      <c r="AB29" s="3710"/>
      <c r="AC29" s="3710"/>
      <c r="AD29" s="3710"/>
      <c r="AE29" s="3710"/>
      <c r="AF29" s="3710"/>
      <c r="AG29" s="3710"/>
      <c r="AH29" s="3710"/>
      <c r="AI29" s="3710"/>
      <c r="AJ29" s="3710"/>
      <c r="AK29" s="3710"/>
      <c r="AL29" s="3710"/>
      <c r="AM29" s="3710"/>
      <c r="AN29" s="3710"/>
      <c r="AO29" s="3710"/>
      <c r="AP29" s="3710"/>
      <c r="AQ29" s="3710"/>
      <c r="AR29" s="3710"/>
      <c r="AS29" s="3818"/>
      <c r="AT29" s="3818"/>
      <c r="AU29" s="3818"/>
      <c r="AV29" s="3818"/>
      <c r="AW29" s="3818"/>
      <c r="AX29" s="3818"/>
      <c r="AY29" s="3818"/>
      <c r="AZ29" s="3818"/>
      <c r="BA29" s="3818"/>
      <c r="BB29" s="3818"/>
      <c r="BC29" s="3818"/>
      <c r="BD29" s="3818"/>
      <c r="BE29" s="3818"/>
      <c r="BF29" s="3818"/>
      <c r="BG29" s="3818"/>
      <c r="BH29" s="3818"/>
      <c r="BI29" s="3818"/>
      <c r="BJ29" s="3818"/>
      <c r="BK29" s="3818"/>
      <c r="BL29" s="3818"/>
      <c r="BM29" s="3818"/>
      <c r="BN29" s="3818"/>
      <c r="BO29" s="3818"/>
    </row>
    <row r="30" spans="1:67" s="3819" customFormat="1" ht="27">
      <c r="A30" s="3826" t="s">
        <v>1222</v>
      </c>
      <c r="B30" s="3827"/>
      <c r="C30" s="3822"/>
      <c r="D30" s="3623"/>
      <c r="E30" s="3623"/>
      <c r="F30" s="3623"/>
      <c r="G30" s="3716"/>
      <c r="H30" s="3716"/>
      <c r="I30" s="3716"/>
      <c r="J30" s="3716"/>
      <c r="K30" s="3801"/>
      <c r="L30" s="3801"/>
      <c r="M30" s="3710"/>
      <c r="N30" s="3710"/>
      <c r="O30" s="3710"/>
      <c r="P30" s="3710"/>
      <c r="Q30" s="3710"/>
      <c r="R30" s="3710"/>
      <c r="S30" s="3710"/>
      <c r="T30" s="3710"/>
      <c r="U30" s="3710"/>
      <c r="V30" s="3710"/>
      <c r="W30" s="3710"/>
      <c r="X30" s="3710"/>
      <c r="Y30" s="3710"/>
      <c r="Z30" s="3710"/>
      <c r="AA30" s="3710"/>
      <c r="AB30" s="3710"/>
      <c r="AC30" s="3710"/>
      <c r="AD30" s="3710"/>
      <c r="AE30" s="3710"/>
      <c r="AF30" s="3710"/>
      <c r="AG30" s="3710"/>
      <c r="AH30" s="3710"/>
      <c r="AI30" s="3710"/>
      <c r="AJ30" s="3710"/>
      <c r="AK30" s="3710"/>
      <c r="AL30" s="3710"/>
      <c r="AM30" s="3710"/>
      <c r="AN30" s="3710"/>
      <c r="AO30" s="3710"/>
      <c r="AP30" s="3710"/>
      <c r="AQ30" s="3710"/>
      <c r="AR30" s="3710"/>
      <c r="AS30" s="3818"/>
      <c r="AT30" s="3818"/>
      <c r="AU30" s="3818"/>
      <c r="AV30" s="3818"/>
      <c r="AW30" s="3818"/>
      <c r="AX30" s="3818"/>
      <c r="AY30" s="3818"/>
      <c r="AZ30" s="3818"/>
      <c r="BA30" s="3818"/>
      <c r="BB30" s="3818"/>
      <c r="BC30" s="3818"/>
      <c r="BD30" s="3818"/>
      <c r="BE30" s="3818"/>
      <c r="BF30" s="3818"/>
      <c r="BG30" s="3818"/>
      <c r="BH30" s="3818"/>
      <c r="BI30" s="3818"/>
      <c r="BJ30" s="3818"/>
      <c r="BK30" s="3818"/>
      <c r="BL30" s="3818"/>
      <c r="BM30" s="3818"/>
      <c r="BN30" s="3818"/>
      <c r="BO30" s="3818"/>
    </row>
    <row r="31" spans="1:67" s="3819" customFormat="1" ht="27">
      <c r="A31" s="3820" t="s">
        <v>1223</v>
      </c>
      <c r="B31" s="3810">
        <f>B30-B32</f>
        <v>0</v>
      </c>
      <c r="C31" s="3828"/>
      <c r="D31" s="3623"/>
      <c r="E31" s="3623"/>
      <c r="F31" s="3623"/>
      <c r="G31" s="3716"/>
      <c r="H31" s="3716"/>
      <c r="I31" s="3716"/>
      <c r="J31" s="3716"/>
      <c r="K31" s="3801"/>
      <c r="L31" s="3801"/>
      <c r="M31" s="3710"/>
      <c r="N31" s="3710"/>
      <c r="O31" s="3710"/>
      <c r="P31" s="3710"/>
      <c r="Q31" s="3710"/>
      <c r="R31" s="3710"/>
      <c r="S31" s="3710"/>
      <c r="T31" s="3710"/>
      <c r="U31" s="3710"/>
      <c r="V31" s="3710"/>
      <c r="W31" s="3710"/>
      <c r="X31" s="3710"/>
      <c r="Y31" s="3710"/>
      <c r="Z31" s="3710"/>
      <c r="AA31" s="3710"/>
      <c r="AB31" s="3710"/>
      <c r="AC31" s="3710"/>
      <c r="AD31" s="3710"/>
      <c r="AE31" s="3710"/>
      <c r="AF31" s="3710"/>
      <c r="AG31" s="3710"/>
      <c r="AH31" s="3710"/>
      <c r="AI31" s="3710"/>
      <c r="AJ31" s="3710"/>
      <c r="AK31" s="3710"/>
      <c r="AL31" s="3710"/>
      <c r="AM31" s="3710"/>
      <c r="AN31" s="3710"/>
      <c r="AO31" s="3710"/>
      <c r="AP31" s="3710"/>
      <c r="AQ31" s="3710"/>
      <c r="AR31" s="3710"/>
      <c r="AS31" s="3818"/>
      <c r="AT31" s="3818"/>
      <c r="AU31" s="3818"/>
      <c r="AV31" s="3818"/>
      <c r="AW31" s="3818"/>
      <c r="AX31" s="3818"/>
      <c r="AY31" s="3818"/>
      <c r="AZ31" s="3818"/>
      <c r="BA31" s="3818"/>
      <c r="BB31" s="3818"/>
      <c r="BC31" s="3818"/>
      <c r="BD31" s="3818"/>
      <c r="BE31" s="3818"/>
      <c r="BF31" s="3818"/>
      <c r="BG31" s="3818"/>
      <c r="BH31" s="3818"/>
      <c r="BI31" s="3818"/>
      <c r="BJ31" s="3818"/>
      <c r="BK31" s="3818"/>
      <c r="BL31" s="3818"/>
      <c r="BM31" s="3818"/>
      <c r="BN31" s="3818"/>
      <c r="BO31" s="3818"/>
    </row>
    <row r="32" spans="1:67" s="3819" customFormat="1" ht="27.75" thickBot="1">
      <c r="A32" s="3829" t="s">
        <v>1224</v>
      </c>
      <c r="B32" s="3830"/>
      <c r="C32" s="3822"/>
      <c r="D32" s="3716"/>
      <c r="E32" s="3716"/>
      <c r="F32" s="3716"/>
      <c r="G32" s="3716"/>
      <c r="H32" s="3716"/>
      <c r="I32" s="3716"/>
      <c r="J32" s="3716"/>
      <c r="K32" s="3801"/>
      <c r="L32" s="3801"/>
      <c r="M32" s="3710"/>
      <c r="N32" s="3710"/>
      <c r="O32" s="3710"/>
      <c r="P32" s="3710"/>
      <c r="Q32" s="3710"/>
      <c r="R32" s="3710"/>
      <c r="S32" s="3710"/>
      <c r="T32" s="3710"/>
      <c r="U32" s="3710"/>
      <c r="V32" s="3710"/>
      <c r="W32" s="3710"/>
      <c r="X32" s="3710"/>
      <c r="Y32" s="3710"/>
      <c r="Z32" s="3710"/>
      <c r="AA32" s="3710"/>
      <c r="AB32" s="3710"/>
      <c r="AC32" s="3710"/>
      <c r="AD32" s="3710"/>
      <c r="AE32" s="3710"/>
      <c r="AF32" s="3710"/>
      <c r="AG32" s="3710"/>
      <c r="AH32" s="3710"/>
      <c r="AI32" s="3710"/>
      <c r="AJ32" s="3710"/>
      <c r="AK32" s="3710"/>
      <c r="AL32" s="3710"/>
      <c r="AM32" s="3710"/>
      <c r="AN32" s="3710"/>
      <c r="AO32" s="3710"/>
      <c r="AP32" s="3710"/>
      <c r="AQ32" s="3710"/>
      <c r="AR32" s="3710"/>
      <c r="AS32" s="3818"/>
      <c r="AT32" s="3818"/>
      <c r="AU32" s="3818"/>
      <c r="AV32" s="3818"/>
      <c r="AW32" s="3818"/>
      <c r="AX32" s="3818"/>
      <c r="AY32" s="3818"/>
      <c r="AZ32" s="3818"/>
      <c r="BA32" s="3818"/>
      <c r="BB32" s="3818"/>
      <c r="BC32" s="3818"/>
      <c r="BD32" s="3818"/>
      <c r="BE32" s="3818"/>
      <c r="BF32" s="3818"/>
      <c r="BG32" s="3818"/>
      <c r="BH32" s="3818"/>
      <c r="BI32" s="3818"/>
      <c r="BJ32" s="3818"/>
      <c r="BK32" s="3818"/>
      <c r="BL32" s="3818"/>
      <c r="BM32" s="3818"/>
      <c r="BN32" s="3818"/>
      <c r="BO32" s="3818"/>
    </row>
    <row r="33" spans="1:67" s="3819" customFormat="1" ht="14.25">
      <c r="A33" s="3815" t="s">
        <v>1225</v>
      </c>
      <c r="B33" s="3856">
        <v>0.03</v>
      </c>
      <c r="C33" s="3831" t="s">
        <v>2288</v>
      </c>
      <c r="D33" s="3716"/>
      <c r="E33" s="3716"/>
      <c r="F33" s="3716"/>
      <c r="G33" s="3716"/>
      <c r="H33" s="3716"/>
      <c r="I33" s="3716"/>
      <c r="J33" s="3716"/>
      <c r="K33" s="3801"/>
      <c r="L33" s="3801"/>
      <c r="M33" s="3710"/>
      <c r="N33" s="3710"/>
      <c r="O33" s="3710"/>
      <c r="P33" s="3710"/>
      <c r="Q33" s="3710"/>
      <c r="R33" s="3710"/>
      <c r="S33" s="3710"/>
      <c r="T33" s="3710"/>
      <c r="U33" s="3710"/>
      <c r="V33" s="3710"/>
      <c r="W33" s="3710"/>
      <c r="X33" s="3710"/>
      <c r="Y33" s="3710"/>
      <c r="Z33" s="3710"/>
      <c r="AA33" s="3710"/>
      <c r="AB33" s="3710"/>
      <c r="AC33" s="3710"/>
      <c r="AD33" s="3710"/>
      <c r="AE33" s="3710"/>
      <c r="AF33" s="3710"/>
      <c r="AG33" s="3710"/>
      <c r="AH33" s="3710"/>
      <c r="AI33" s="3710"/>
      <c r="AJ33" s="3710"/>
      <c r="AK33" s="3710"/>
      <c r="AL33" s="3710"/>
      <c r="AM33" s="3710"/>
      <c r="AN33" s="3710"/>
      <c r="AO33" s="3710"/>
      <c r="AP33" s="3710"/>
      <c r="AQ33" s="3710"/>
      <c r="AR33" s="3710"/>
      <c r="AS33" s="3818"/>
      <c r="AT33" s="3818"/>
      <c r="AU33" s="3818"/>
      <c r="AV33" s="3818"/>
      <c r="AW33" s="3818"/>
      <c r="AX33" s="3818"/>
      <c r="AY33" s="3818"/>
      <c r="AZ33" s="3818"/>
      <c r="BA33" s="3818"/>
      <c r="BB33" s="3818"/>
      <c r="BC33" s="3818"/>
      <c r="BD33" s="3818"/>
      <c r="BE33" s="3818"/>
      <c r="BF33" s="3818"/>
      <c r="BG33" s="3818"/>
      <c r="BH33" s="3818"/>
      <c r="BI33" s="3818"/>
      <c r="BJ33" s="3818"/>
      <c r="BK33" s="3818"/>
      <c r="BL33" s="3818"/>
      <c r="BM33" s="3818"/>
      <c r="BN33" s="3818"/>
      <c r="BO33" s="3818"/>
    </row>
    <row r="34" spans="1:67" s="3819" customFormat="1" ht="14.25">
      <c r="A34" s="3820" t="s">
        <v>1226</v>
      </c>
      <c r="B34" s="3856">
        <v>0.01</v>
      </c>
      <c r="C34" s="3831" t="s">
        <v>2289</v>
      </c>
      <c r="D34" s="3833" t="s">
        <v>2297</v>
      </c>
      <c r="E34" s="3800"/>
      <c r="F34" s="3716"/>
      <c r="G34" s="3716"/>
      <c r="H34" s="3716"/>
      <c r="I34" s="3716"/>
      <c r="J34" s="3716"/>
      <c r="K34" s="3801"/>
      <c r="L34" s="3801"/>
      <c r="M34" s="3710"/>
      <c r="N34" s="3710"/>
      <c r="O34" s="3710"/>
      <c r="P34" s="3710"/>
      <c r="Q34" s="3710"/>
      <c r="R34" s="3710"/>
      <c r="S34" s="3710"/>
      <c r="T34" s="3710"/>
      <c r="U34" s="3710"/>
      <c r="V34" s="3710"/>
      <c r="W34" s="3710"/>
      <c r="X34" s="3710"/>
      <c r="Y34" s="3710"/>
      <c r="Z34" s="3710"/>
      <c r="AA34" s="3710"/>
      <c r="AB34" s="3710"/>
      <c r="AC34" s="3710"/>
      <c r="AD34" s="3710"/>
      <c r="AE34" s="3710"/>
      <c r="AF34" s="3710"/>
      <c r="AG34" s="3710"/>
      <c r="AH34" s="3710"/>
      <c r="AI34" s="3710"/>
      <c r="AJ34" s="3710"/>
      <c r="AK34" s="3710"/>
      <c r="AL34" s="3710"/>
      <c r="AM34" s="3710"/>
      <c r="AN34" s="3710"/>
      <c r="AO34" s="3710"/>
      <c r="AP34" s="3710"/>
      <c r="AQ34" s="3710"/>
      <c r="AR34" s="3710"/>
      <c r="AS34" s="3818"/>
      <c r="AT34" s="3818"/>
      <c r="AU34" s="3818"/>
      <c r="AV34" s="3818"/>
      <c r="AW34" s="3818"/>
      <c r="AX34" s="3818"/>
      <c r="AY34" s="3818"/>
      <c r="AZ34" s="3818"/>
      <c r="BA34" s="3818"/>
      <c r="BB34" s="3818"/>
      <c r="BC34" s="3818"/>
      <c r="BD34" s="3818"/>
      <c r="BE34" s="3818"/>
      <c r="BF34" s="3818"/>
      <c r="BG34" s="3818"/>
      <c r="BH34" s="3818"/>
      <c r="BI34" s="3818"/>
      <c r="BJ34" s="3818"/>
      <c r="BK34" s="3818"/>
      <c r="BL34" s="3818"/>
      <c r="BM34" s="3818"/>
      <c r="BN34" s="3818"/>
      <c r="BO34" s="3818"/>
    </row>
    <row r="35" spans="1:67" s="3819" customFormat="1" ht="14.25">
      <c r="A35" s="3820" t="s">
        <v>1227</v>
      </c>
      <c r="B35" s="3821">
        <v>30</v>
      </c>
      <c r="C35" s="3831" t="s">
        <v>2290</v>
      </c>
      <c r="D35" s="3623"/>
      <c r="E35" s="3623"/>
      <c r="F35" s="3623"/>
      <c r="G35" s="3716"/>
      <c r="H35" s="3716"/>
      <c r="I35" s="3716"/>
      <c r="J35" s="3716"/>
      <c r="K35" s="3801"/>
      <c r="L35" s="3801"/>
      <c r="M35" s="3710"/>
      <c r="N35" s="3710"/>
      <c r="O35" s="3710"/>
      <c r="P35" s="3710"/>
      <c r="Q35" s="3710"/>
      <c r="R35" s="3710"/>
      <c r="S35" s="3710"/>
      <c r="T35" s="3710"/>
      <c r="U35" s="3710"/>
      <c r="V35" s="3710"/>
      <c r="W35" s="3710"/>
      <c r="X35" s="3710"/>
      <c r="Y35" s="3710"/>
      <c r="Z35" s="3710"/>
      <c r="AA35" s="3710"/>
      <c r="AB35" s="3710"/>
      <c r="AC35" s="3710"/>
      <c r="AD35" s="3710"/>
      <c r="AE35" s="3710"/>
      <c r="AF35" s="3710"/>
      <c r="AG35" s="3710"/>
      <c r="AH35" s="3710"/>
      <c r="AI35" s="3710"/>
      <c r="AJ35" s="3710"/>
      <c r="AK35" s="3710"/>
      <c r="AL35" s="3710"/>
      <c r="AM35" s="3710"/>
      <c r="AN35" s="3710"/>
      <c r="AO35" s="3710"/>
      <c r="AP35" s="3710"/>
      <c r="AQ35" s="3710"/>
      <c r="AR35" s="3710"/>
      <c r="AS35" s="3818"/>
      <c r="AT35" s="3818"/>
      <c r="AU35" s="3818"/>
      <c r="AV35" s="3818"/>
      <c r="AW35" s="3818"/>
      <c r="AX35" s="3818"/>
      <c r="AY35" s="3818"/>
      <c r="AZ35" s="3818"/>
      <c r="BA35" s="3818"/>
      <c r="BB35" s="3818"/>
      <c r="BC35" s="3818"/>
      <c r="BD35" s="3818"/>
      <c r="BE35" s="3818"/>
      <c r="BF35" s="3818"/>
      <c r="BG35" s="3818"/>
      <c r="BH35" s="3818"/>
      <c r="BI35" s="3818"/>
      <c r="BJ35" s="3818"/>
      <c r="BK35" s="3818"/>
      <c r="BL35" s="3818"/>
      <c r="BM35" s="3818"/>
      <c r="BN35" s="3818"/>
      <c r="BO35" s="3818"/>
    </row>
    <row r="36" spans="1:67" ht="15" thickBot="1">
      <c r="A36" s="3823" t="s">
        <v>1228</v>
      </c>
      <c r="B36" s="3856">
        <v>1.4999999999999999E-2</v>
      </c>
      <c r="C36" s="3831" t="s">
        <v>2291</v>
      </c>
      <c r="D36" s="3716"/>
      <c r="E36" s="3716"/>
      <c r="F36" s="3716"/>
      <c r="G36" s="3716"/>
      <c r="H36" s="3716"/>
      <c r="I36" s="3716"/>
      <c r="J36" s="3716"/>
      <c r="K36" s="3801"/>
      <c r="L36" s="3801"/>
      <c r="M36" s="3710"/>
      <c r="N36" s="3710"/>
      <c r="O36" s="3710"/>
      <c r="P36" s="3710"/>
      <c r="Q36" s="3710"/>
      <c r="R36" s="3710"/>
      <c r="S36" s="3710"/>
      <c r="T36" s="3710"/>
      <c r="U36" s="3710"/>
      <c r="V36" s="3710"/>
      <c r="W36" s="3710"/>
      <c r="X36" s="3710"/>
      <c r="Y36" s="3710"/>
      <c r="Z36" s="3710"/>
      <c r="AA36" s="3710"/>
      <c r="AB36" s="3710"/>
      <c r="AC36" s="3710"/>
      <c r="AD36" s="3710"/>
      <c r="AE36" s="3710"/>
      <c r="AF36" s="3710"/>
      <c r="AG36" s="3710"/>
      <c r="AH36" s="3710"/>
      <c r="AI36" s="3710"/>
      <c r="AJ36" s="3710"/>
      <c r="AK36" s="3710"/>
      <c r="AL36" s="3710"/>
      <c r="AM36" s="3710"/>
      <c r="AN36" s="3710"/>
      <c r="AO36" s="3710"/>
      <c r="AP36" s="3710"/>
      <c r="AQ36" s="3710"/>
      <c r="AR36" s="3710"/>
    </row>
    <row r="37" spans="1:67" ht="14.25">
      <c r="A37" s="3826" t="s">
        <v>1229</v>
      </c>
      <c r="B37" s="3856">
        <v>0.01</v>
      </c>
      <c r="C37" s="3831" t="s">
        <v>2292</v>
      </c>
      <c r="D37" s="3716"/>
      <c r="E37" s="3716"/>
      <c r="F37" s="3716"/>
      <c r="G37" s="3716"/>
      <c r="H37" s="3716"/>
      <c r="I37" s="3716"/>
      <c r="J37" s="3716"/>
      <c r="K37" s="3801"/>
      <c r="L37" s="3801"/>
      <c r="M37" s="3710"/>
      <c r="N37" s="3710"/>
      <c r="O37" s="3710"/>
      <c r="P37" s="3710"/>
      <c r="Q37" s="3710"/>
      <c r="R37" s="3710"/>
      <c r="S37" s="3710"/>
      <c r="T37" s="3710"/>
      <c r="U37" s="3710"/>
      <c r="V37" s="3710"/>
      <c r="W37" s="3710"/>
      <c r="X37" s="3710"/>
      <c r="Y37" s="3710"/>
      <c r="Z37" s="3710"/>
      <c r="AA37" s="3710"/>
      <c r="AB37" s="3710"/>
      <c r="AC37" s="3710"/>
      <c r="AD37" s="3710"/>
      <c r="AE37" s="3710"/>
      <c r="AF37" s="3710"/>
      <c r="AG37" s="3710"/>
      <c r="AH37" s="3710"/>
      <c r="AI37" s="3710"/>
      <c r="AJ37" s="3710"/>
      <c r="AK37" s="3710"/>
      <c r="AL37" s="3710"/>
      <c r="AM37" s="3710"/>
      <c r="AN37" s="3710"/>
      <c r="AO37" s="3710"/>
      <c r="AP37" s="3710"/>
      <c r="AQ37" s="3710"/>
      <c r="AR37" s="3710"/>
    </row>
    <row r="38" spans="1:67" ht="14.25">
      <c r="A38" s="3820" t="s">
        <v>1230</v>
      </c>
      <c r="B38" s="3856">
        <v>0.01</v>
      </c>
      <c r="C38" s="3831" t="s">
        <v>2292</v>
      </c>
      <c r="D38" s="3716"/>
      <c r="E38" s="3716"/>
      <c r="F38" s="3716"/>
      <c r="G38" s="3716"/>
      <c r="H38" s="3716"/>
      <c r="I38" s="3716"/>
      <c r="J38" s="3716"/>
      <c r="K38" s="3801"/>
      <c r="L38" s="3801"/>
      <c r="M38" s="3710"/>
      <c r="N38" s="3710"/>
      <c r="O38" s="3710"/>
      <c r="P38" s="3710"/>
      <c r="Q38" s="3710"/>
      <c r="R38" s="3710"/>
      <c r="S38" s="3710"/>
      <c r="T38" s="3710"/>
      <c r="U38" s="3710"/>
      <c r="V38" s="3710"/>
      <c r="W38" s="3710"/>
      <c r="X38" s="3710"/>
      <c r="Y38" s="3710"/>
      <c r="Z38" s="3710"/>
      <c r="AA38" s="3710"/>
      <c r="AB38" s="3710"/>
      <c r="AC38" s="3710"/>
      <c r="AD38" s="3710"/>
      <c r="AE38" s="3710"/>
      <c r="AF38" s="3710"/>
      <c r="AG38" s="3710"/>
      <c r="AH38" s="3710"/>
      <c r="AI38" s="3710"/>
      <c r="AJ38" s="3710"/>
      <c r="AK38" s="3710"/>
      <c r="AL38" s="3710"/>
      <c r="AM38" s="3710"/>
      <c r="AN38" s="3710"/>
      <c r="AO38" s="3710"/>
      <c r="AP38" s="3710"/>
      <c r="AQ38" s="3710"/>
      <c r="AR38" s="3710"/>
    </row>
    <row r="39" spans="1:67" ht="14.25">
      <c r="A39" s="3829" t="s">
        <v>1231</v>
      </c>
      <c r="B39" s="3857">
        <f ca="1">存贷款利率!I1</f>
        <v>2.52E-2</v>
      </c>
      <c r="C39" s="3834"/>
      <c r="D39" s="3716"/>
      <c r="E39" s="3716"/>
      <c r="F39" s="3716"/>
      <c r="G39" s="3716"/>
      <c r="H39" s="3716"/>
      <c r="I39" s="3716"/>
      <c r="J39" s="3716"/>
      <c r="K39" s="3801"/>
      <c r="L39" s="3801"/>
      <c r="M39" s="3710"/>
      <c r="N39" s="3710"/>
      <c r="O39" s="3710"/>
      <c r="P39" s="3710"/>
      <c r="Q39" s="3710"/>
      <c r="R39" s="3710"/>
      <c r="S39" s="3710"/>
      <c r="T39" s="3710"/>
      <c r="U39" s="3710"/>
      <c r="V39" s="3710"/>
      <c r="W39" s="3710"/>
      <c r="X39" s="3710"/>
      <c r="Y39" s="3710"/>
      <c r="Z39" s="3710"/>
      <c r="AA39" s="3710"/>
      <c r="AB39" s="3710"/>
      <c r="AC39" s="3710"/>
      <c r="AD39" s="3710"/>
      <c r="AE39" s="3710"/>
      <c r="AF39" s="3710"/>
      <c r="AG39" s="3710"/>
      <c r="AH39" s="3710"/>
      <c r="AI39" s="3710"/>
      <c r="AJ39" s="3710"/>
      <c r="AK39" s="3710"/>
      <c r="AL39" s="3710"/>
      <c r="AM39" s="3710"/>
      <c r="AN39" s="3710"/>
      <c r="AO39" s="3710"/>
      <c r="AP39" s="3710"/>
      <c r="AQ39" s="3710"/>
      <c r="AR39" s="3710"/>
    </row>
    <row r="40" spans="1:67" ht="15" thickBot="1">
      <c r="A40" s="3835" t="s">
        <v>2307</v>
      </c>
      <c r="B40" s="3857">
        <f ca="1">IF(A40="利息：取LPR",存贷款利率!G1,存贷款利率!G1+C40)</f>
        <v>6.1200000000000004E-2</v>
      </c>
      <c r="C40" s="3836">
        <v>5.0000000000000001E-3</v>
      </c>
      <c r="D40" s="3710"/>
      <c r="E40" s="3716"/>
      <c r="F40" s="3716"/>
      <c r="G40" s="3716"/>
      <c r="H40" s="3716"/>
      <c r="I40" s="3716"/>
      <c r="J40" s="3716"/>
      <c r="K40" s="3801"/>
      <c r="L40" s="3801"/>
      <c r="M40" s="3710"/>
      <c r="N40" s="3710"/>
      <c r="O40" s="3710"/>
      <c r="P40" s="3710"/>
      <c r="Q40" s="3710"/>
      <c r="R40" s="3710"/>
      <c r="S40" s="3710"/>
      <c r="T40" s="3710"/>
      <c r="U40" s="3710"/>
      <c r="V40" s="3710"/>
      <c r="W40" s="3710"/>
      <c r="X40" s="3710"/>
      <c r="Y40" s="3710"/>
      <c r="Z40" s="3710"/>
      <c r="AA40" s="3710"/>
      <c r="AB40" s="3710"/>
      <c r="AC40" s="3710"/>
      <c r="AD40" s="3710"/>
      <c r="AE40" s="3710"/>
      <c r="AF40" s="3710"/>
      <c r="AG40" s="3710"/>
      <c r="AH40" s="3710"/>
      <c r="AI40" s="3710"/>
      <c r="AJ40" s="3710"/>
      <c r="AK40" s="3710"/>
      <c r="AL40" s="3710"/>
      <c r="AM40" s="3710"/>
      <c r="AN40" s="3710"/>
      <c r="AO40" s="3710"/>
      <c r="AP40" s="3710"/>
      <c r="AQ40" s="3710"/>
      <c r="AR40" s="3710"/>
    </row>
    <row r="41" spans="1:67" ht="14.25">
      <c r="A41" s="3815" t="s">
        <v>1232</v>
      </c>
      <c r="B41" s="3858">
        <f>B42+B43</f>
        <v>5.5000000000000007E-2</v>
      </c>
      <c r="C41" s="3828"/>
      <c r="D41" s="3710"/>
      <c r="E41" s="3716"/>
      <c r="F41" s="3716"/>
      <c r="G41" s="3716"/>
      <c r="H41" s="3716"/>
      <c r="I41" s="3716"/>
      <c r="J41" s="3716"/>
      <c r="K41" s="3801"/>
      <c r="L41" s="3801"/>
      <c r="M41" s="3710"/>
      <c r="N41" s="3710"/>
      <c r="O41" s="3710"/>
      <c r="P41" s="3710"/>
      <c r="Q41" s="3710"/>
      <c r="R41" s="3710"/>
      <c r="S41" s="3710"/>
      <c r="T41" s="3710"/>
      <c r="U41" s="3710"/>
      <c r="V41" s="3710"/>
      <c r="W41" s="3710"/>
      <c r="X41" s="3710"/>
      <c r="Y41" s="3710"/>
      <c r="Z41" s="3710"/>
      <c r="AA41" s="3710"/>
      <c r="AB41" s="3710"/>
      <c r="AC41" s="3710"/>
      <c r="AD41" s="3710"/>
      <c r="AE41" s="3710"/>
      <c r="AF41" s="3710"/>
      <c r="AG41" s="3710"/>
      <c r="AH41" s="3710"/>
      <c r="AI41" s="3710"/>
      <c r="AJ41" s="3710"/>
      <c r="AK41" s="3710"/>
      <c r="AL41" s="3710"/>
      <c r="AM41" s="3710"/>
      <c r="AN41" s="3710"/>
      <c r="AO41" s="3710"/>
      <c r="AP41" s="3710"/>
      <c r="AQ41" s="3710"/>
      <c r="AR41" s="3710"/>
    </row>
    <row r="42" spans="1:67" ht="14.25">
      <c r="A42" s="3837" t="s">
        <v>1233</v>
      </c>
      <c r="B42" s="3859">
        <v>0.05</v>
      </c>
      <c r="C42" s="3839">
        <f>IF(B2&lt;DATE(2016,5,1),0,B42)</f>
        <v>0</v>
      </c>
      <c r="D42" s="3716"/>
      <c r="E42" s="3716"/>
      <c r="F42" s="3716"/>
      <c r="G42" s="3716"/>
      <c r="H42" s="3716"/>
      <c r="I42" s="3716"/>
      <c r="J42" s="3716"/>
      <c r="K42" s="3801"/>
      <c r="L42" s="3801"/>
      <c r="M42" s="3710"/>
      <c r="N42" s="3710"/>
      <c r="O42" s="3710"/>
      <c r="P42" s="3710"/>
      <c r="Q42" s="3710"/>
      <c r="R42" s="3710"/>
      <c r="S42" s="3710"/>
      <c r="T42" s="3710"/>
      <c r="U42" s="3710"/>
      <c r="V42" s="3710"/>
      <c r="W42" s="3710"/>
      <c r="X42" s="3710"/>
      <c r="Y42" s="3710"/>
      <c r="Z42" s="3710"/>
      <c r="AA42" s="3710"/>
      <c r="AB42" s="3710"/>
      <c r="AC42" s="3710"/>
      <c r="AD42" s="3710"/>
      <c r="AE42" s="3710"/>
      <c r="AF42" s="3710"/>
      <c r="AG42" s="3710"/>
      <c r="AH42" s="3710"/>
      <c r="AI42" s="3710"/>
      <c r="AJ42" s="3710"/>
      <c r="AK42" s="3710"/>
      <c r="AL42" s="3710"/>
      <c r="AM42" s="3710"/>
      <c r="AN42" s="3710"/>
      <c r="AO42" s="3710"/>
      <c r="AP42" s="3710"/>
      <c r="AQ42" s="3710"/>
      <c r="AR42" s="3710"/>
    </row>
    <row r="43" spans="1:67" ht="14.25">
      <c r="A43" s="3837" t="s">
        <v>1234</v>
      </c>
      <c r="B43" s="3860">
        <f>B42*(B44+B45+B46)+B47</f>
        <v>5.000000000000001E-3</v>
      </c>
      <c r="C43" s="3828"/>
      <c r="D43" s="3716"/>
      <c r="E43" s="3716"/>
      <c r="F43" s="3716"/>
      <c r="G43" s="3716"/>
      <c r="H43" s="3716"/>
      <c r="I43" s="3716"/>
      <c r="J43" s="3716"/>
      <c r="K43" s="3801"/>
      <c r="L43" s="3801"/>
      <c r="M43" s="3710"/>
      <c r="N43" s="3710"/>
      <c r="O43" s="3710"/>
      <c r="P43" s="3710"/>
      <c r="Q43" s="3710"/>
      <c r="R43" s="3710"/>
      <c r="S43" s="3710"/>
      <c r="T43" s="3710"/>
      <c r="U43" s="3710"/>
      <c r="V43" s="3710"/>
      <c r="W43" s="3710"/>
      <c r="X43" s="3710"/>
      <c r="Y43" s="3710"/>
      <c r="Z43" s="3710"/>
      <c r="AA43" s="3710"/>
      <c r="AB43" s="3710"/>
      <c r="AC43" s="3710"/>
      <c r="AD43" s="3710"/>
      <c r="AE43" s="3710"/>
      <c r="AF43" s="3710"/>
      <c r="AG43" s="3710"/>
      <c r="AH43" s="3710"/>
      <c r="AI43" s="3710"/>
      <c r="AJ43" s="3710"/>
      <c r="AK43" s="3710"/>
      <c r="AL43" s="3710"/>
      <c r="AM43" s="3710"/>
      <c r="AN43" s="3710"/>
      <c r="AO43" s="3710"/>
      <c r="AP43" s="3710"/>
      <c r="AQ43" s="3710"/>
      <c r="AR43" s="3710"/>
    </row>
    <row r="44" spans="1:67" ht="14.25">
      <c r="A44" s="3840" t="s">
        <v>1235</v>
      </c>
      <c r="B44" s="3861">
        <v>7.0000000000000007E-2</v>
      </c>
      <c r="C44" s="3831" t="s">
        <v>2301</v>
      </c>
      <c r="D44" s="3716"/>
      <c r="E44" s="3716"/>
      <c r="F44" s="3716"/>
      <c r="G44" s="3716"/>
      <c r="H44" s="3716"/>
      <c r="I44" s="3716"/>
      <c r="J44" s="3716"/>
      <c r="K44" s="3801"/>
      <c r="L44" s="3801"/>
      <c r="M44" s="3710"/>
      <c r="N44" s="3710"/>
      <c r="O44" s="3710"/>
      <c r="P44" s="3710"/>
      <c r="Q44" s="3710"/>
      <c r="R44" s="3710"/>
      <c r="S44" s="3710"/>
      <c r="T44" s="3710"/>
      <c r="U44" s="3710"/>
      <c r="V44" s="3710"/>
      <c r="W44" s="3710"/>
      <c r="X44" s="3710"/>
      <c r="Y44" s="3710"/>
      <c r="Z44" s="3710"/>
      <c r="AA44" s="3710"/>
      <c r="AB44" s="3710"/>
      <c r="AC44" s="3710"/>
      <c r="AD44" s="3710"/>
      <c r="AE44" s="3710"/>
      <c r="AF44" s="3710"/>
      <c r="AG44" s="3710"/>
      <c r="AH44" s="3710"/>
      <c r="AI44" s="3710"/>
      <c r="AJ44" s="3710"/>
      <c r="AK44" s="3710"/>
      <c r="AL44" s="3710"/>
      <c r="AM44" s="3710"/>
      <c r="AN44" s="3710"/>
      <c r="AO44" s="3710"/>
      <c r="AP44" s="3710"/>
      <c r="AQ44" s="3710"/>
      <c r="AR44" s="3710"/>
    </row>
    <row r="45" spans="1:67" ht="14.25">
      <c r="A45" s="3840" t="s">
        <v>1236</v>
      </c>
      <c r="B45" s="3859">
        <v>0.03</v>
      </c>
      <c r="C45" s="3825" t="s">
        <v>2293</v>
      </c>
      <c r="D45" s="3716"/>
      <c r="E45" s="3716"/>
      <c r="F45" s="3716"/>
      <c r="G45" s="3716"/>
      <c r="H45" s="3716"/>
      <c r="I45" s="3716"/>
      <c r="J45" s="3716"/>
      <c r="K45" s="3801"/>
      <c r="L45" s="3801"/>
      <c r="M45" s="3710"/>
      <c r="N45" s="3710"/>
      <c r="O45" s="3710"/>
      <c r="P45" s="3710"/>
      <c r="Q45" s="3710"/>
      <c r="R45" s="3710"/>
      <c r="S45" s="3710"/>
      <c r="T45" s="3710"/>
      <c r="U45" s="3710"/>
      <c r="V45" s="3710"/>
      <c r="W45" s="3710"/>
      <c r="X45" s="3710"/>
      <c r="Y45" s="3710"/>
      <c r="Z45" s="3710"/>
      <c r="AA45" s="3710"/>
      <c r="AB45" s="3710"/>
      <c r="AC45" s="3710"/>
      <c r="AD45" s="3710"/>
      <c r="AE45" s="3710"/>
      <c r="AF45" s="3710"/>
      <c r="AG45" s="3710"/>
      <c r="AH45" s="3710"/>
      <c r="AI45" s="3710"/>
      <c r="AJ45" s="3710"/>
      <c r="AK45" s="3710"/>
      <c r="AL45" s="3710"/>
      <c r="AM45" s="3710"/>
      <c r="AN45" s="3710"/>
      <c r="AO45" s="3710"/>
      <c r="AP45" s="3710"/>
      <c r="AQ45" s="3710"/>
      <c r="AR45" s="3710"/>
    </row>
    <row r="46" spans="1:67" ht="14.25">
      <c r="A46" s="3840" t="s">
        <v>1237</v>
      </c>
      <c r="B46" s="3838">
        <v>0</v>
      </c>
      <c r="C46" s="3825" t="s">
        <v>2294</v>
      </c>
      <c r="D46" s="3716" t="s">
        <v>3633</v>
      </c>
      <c r="E46" s="3716"/>
      <c r="F46" s="3716"/>
      <c r="G46" s="3716"/>
      <c r="H46" s="3716"/>
      <c r="I46" s="3716"/>
      <c r="J46" s="3716"/>
      <c r="K46" s="3801"/>
      <c r="L46" s="3801"/>
      <c r="M46" s="3710"/>
      <c r="N46" s="3710"/>
      <c r="O46" s="3710"/>
      <c r="P46" s="3710"/>
      <c r="Q46" s="3710"/>
      <c r="R46" s="3710"/>
      <c r="S46" s="3710"/>
      <c r="T46" s="3710"/>
      <c r="U46" s="3710"/>
      <c r="V46" s="3710"/>
      <c r="W46" s="3710"/>
      <c r="X46" s="3710"/>
      <c r="Y46" s="3710"/>
      <c r="Z46" s="3710"/>
      <c r="AA46" s="3710"/>
      <c r="AB46" s="3710"/>
      <c r="AC46" s="3710"/>
      <c r="AD46" s="3710"/>
      <c r="AE46" s="3710"/>
      <c r="AF46" s="3710"/>
      <c r="AG46" s="3710"/>
      <c r="AH46" s="3710"/>
      <c r="AI46" s="3710"/>
      <c r="AJ46" s="3710"/>
      <c r="AK46" s="3710"/>
      <c r="AL46" s="3710"/>
      <c r="AM46" s="3710"/>
      <c r="AN46" s="3710"/>
      <c r="AO46" s="3710"/>
      <c r="AP46" s="3710"/>
      <c r="AQ46" s="3710"/>
      <c r="AR46" s="3710"/>
    </row>
    <row r="47" spans="1:67" ht="15" thickBot="1">
      <c r="A47" s="3841" t="s">
        <v>1238</v>
      </c>
      <c r="B47" s="3640"/>
      <c r="C47" s="3842" t="s">
        <v>2302</v>
      </c>
      <c r="D47" s="3716"/>
      <c r="E47" s="3716"/>
      <c r="F47" s="3716"/>
      <c r="G47" s="3716"/>
      <c r="H47" s="3716"/>
      <c r="I47" s="3716"/>
      <c r="J47" s="3716"/>
      <c r="K47" s="3801"/>
      <c r="L47" s="3801"/>
      <c r="M47" s="3710"/>
      <c r="N47" s="3710"/>
      <c r="O47" s="3710"/>
      <c r="P47" s="3710"/>
      <c r="Q47" s="3710"/>
      <c r="R47" s="3710"/>
      <c r="S47" s="3710"/>
      <c r="T47" s="3710"/>
      <c r="U47" s="3710"/>
      <c r="V47" s="3710"/>
      <c r="W47" s="3710"/>
      <c r="X47" s="3710"/>
      <c r="Y47" s="3710"/>
      <c r="Z47" s="3710"/>
      <c r="AA47" s="3710"/>
      <c r="AB47" s="3710"/>
      <c r="AC47" s="3710"/>
      <c r="AD47" s="3710"/>
      <c r="AE47" s="3710"/>
      <c r="AF47" s="3710"/>
      <c r="AG47" s="3710"/>
      <c r="AH47" s="3710"/>
      <c r="AI47" s="3710"/>
      <c r="AJ47" s="3710"/>
      <c r="AK47" s="3710"/>
      <c r="AL47" s="3710"/>
      <c r="AM47" s="3710"/>
      <c r="AN47" s="3710"/>
      <c r="AO47" s="3710"/>
      <c r="AP47" s="3710"/>
      <c r="AQ47" s="3710"/>
      <c r="AR47" s="3710"/>
    </row>
    <row r="48" spans="1:67" ht="14.25">
      <c r="A48" s="3843" t="s">
        <v>1239</v>
      </c>
      <c r="B48" s="3862">
        <v>0.03</v>
      </c>
      <c r="C48" s="3825" t="s">
        <v>2293</v>
      </c>
      <c r="D48" s="3716"/>
      <c r="E48" s="3716"/>
      <c r="F48" s="3716"/>
      <c r="G48" s="3716"/>
      <c r="H48" s="3716"/>
      <c r="I48" s="3716"/>
      <c r="J48" s="3716"/>
      <c r="K48" s="3801"/>
      <c r="L48" s="3801"/>
      <c r="M48" s="3710"/>
      <c r="N48" s="3710"/>
      <c r="O48" s="3710"/>
      <c r="P48" s="3710"/>
      <c r="Q48" s="3710"/>
      <c r="R48" s="3710"/>
      <c r="S48" s="3710"/>
      <c r="T48" s="3710"/>
      <c r="U48" s="3710"/>
      <c r="V48" s="3710"/>
      <c r="W48" s="3710"/>
      <c r="X48" s="3710"/>
      <c r="Y48" s="3710"/>
      <c r="Z48" s="3710"/>
      <c r="AA48" s="3710"/>
      <c r="AB48" s="3710"/>
      <c r="AC48" s="3710"/>
      <c r="AD48" s="3710"/>
      <c r="AE48" s="3710"/>
      <c r="AF48" s="3710"/>
      <c r="AG48" s="3710"/>
      <c r="AH48" s="3710"/>
      <c r="AI48" s="3710"/>
      <c r="AJ48" s="3710"/>
      <c r="AK48" s="3710"/>
      <c r="AL48" s="3710"/>
      <c r="AM48" s="3710"/>
      <c r="AN48" s="3710"/>
      <c r="AO48" s="3710"/>
      <c r="AP48" s="3710"/>
      <c r="AQ48" s="3710"/>
      <c r="AR48" s="3710"/>
    </row>
    <row r="49" spans="1:44" ht="15" thickBot="1">
      <c r="A49" s="3829" t="s">
        <v>1240</v>
      </c>
      <c r="B49" s="3859">
        <v>5.0000000000000001E-4</v>
      </c>
      <c r="C49" s="3825" t="s">
        <v>2295</v>
      </c>
      <c r="D49" s="3716"/>
      <c r="E49" s="3716"/>
      <c r="F49" s="3716"/>
      <c r="G49" s="3716"/>
      <c r="H49" s="3716"/>
      <c r="I49" s="3716"/>
      <c r="J49" s="3716"/>
      <c r="K49" s="3801"/>
      <c r="L49" s="3801"/>
      <c r="M49" s="3710"/>
      <c r="N49" s="3710"/>
      <c r="O49" s="3710"/>
      <c r="P49" s="3710"/>
      <c r="Q49" s="3710"/>
      <c r="R49" s="3710"/>
      <c r="S49" s="3710"/>
      <c r="T49" s="3710"/>
      <c r="U49" s="3710"/>
      <c r="V49" s="3710"/>
      <c r="W49" s="3710"/>
      <c r="X49" s="3710"/>
      <c r="Y49" s="3710"/>
      <c r="Z49" s="3710"/>
      <c r="AA49" s="3710"/>
      <c r="AB49" s="3710"/>
      <c r="AC49" s="3710"/>
      <c r="AD49" s="3710"/>
      <c r="AE49" s="3710"/>
      <c r="AF49" s="3710"/>
      <c r="AG49" s="3710"/>
      <c r="AH49" s="3710"/>
      <c r="AI49" s="3710"/>
      <c r="AJ49" s="3710"/>
      <c r="AK49" s="3710"/>
      <c r="AL49" s="3710"/>
      <c r="AM49" s="3710"/>
      <c r="AN49" s="3710"/>
      <c r="AO49" s="3710"/>
      <c r="AP49" s="3710"/>
      <c r="AQ49" s="3710"/>
      <c r="AR49" s="3710"/>
    </row>
    <row r="50" spans="1:44" ht="14.25">
      <c r="A50" s="3844" t="s">
        <v>1241</v>
      </c>
      <c r="B50" s="3863">
        <v>1.2E-2</v>
      </c>
      <c r="C50" s="3623"/>
      <c r="D50" s="3716"/>
      <c r="E50" s="3716"/>
      <c r="F50" s="3716"/>
      <c r="G50" s="3716"/>
      <c r="H50" s="3716"/>
      <c r="I50" s="3716"/>
      <c r="J50" s="3716"/>
      <c r="K50" s="3801"/>
      <c r="L50" s="3801"/>
      <c r="M50" s="3710"/>
      <c r="N50" s="3710"/>
      <c r="O50" s="3710"/>
      <c r="P50" s="3710"/>
      <c r="Q50" s="3710"/>
      <c r="R50" s="3710"/>
      <c r="S50" s="3710"/>
      <c r="T50" s="3710"/>
      <c r="U50" s="3710"/>
      <c r="V50" s="3710"/>
      <c r="W50" s="3710"/>
      <c r="X50" s="3710"/>
      <c r="Y50" s="3710"/>
      <c r="Z50" s="3710"/>
      <c r="AA50" s="3710"/>
      <c r="AB50" s="3710"/>
      <c r="AC50" s="3710"/>
      <c r="AD50" s="3710"/>
      <c r="AE50" s="3710"/>
      <c r="AF50" s="3710"/>
      <c r="AG50" s="3710"/>
      <c r="AH50" s="3710"/>
      <c r="AI50" s="3710"/>
      <c r="AJ50" s="3710"/>
      <c r="AK50" s="3710"/>
      <c r="AL50" s="3710"/>
      <c r="AM50" s="3710"/>
      <c r="AN50" s="3710"/>
      <c r="AO50" s="3710"/>
      <c r="AP50" s="3710"/>
      <c r="AQ50" s="3710"/>
      <c r="AR50" s="3710"/>
    </row>
    <row r="51" spans="1:44" ht="15" thickBot="1">
      <c r="A51" s="3823" t="s">
        <v>1242</v>
      </c>
      <c r="B51" s="3864">
        <v>0.12</v>
      </c>
      <c r="C51" s="3623"/>
      <c r="D51" s="3716"/>
      <c r="E51" s="3716"/>
      <c r="F51" s="3716"/>
      <c r="G51" s="3716"/>
      <c r="H51" s="3716"/>
      <c r="I51" s="3716"/>
      <c r="J51" s="3716"/>
      <c r="K51" s="3801"/>
      <c r="L51" s="3801"/>
      <c r="M51" s="3710"/>
      <c r="N51" s="3710"/>
      <c r="O51" s="3710"/>
      <c r="P51" s="3710"/>
      <c r="Q51" s="3710"/>
      <c r="R51" s="3710"/>
      <c r="S51" s="3710"/>
      <c r="T51" s="3710"/>
      <c r="U51" s="3710"/>
      <c r="V51" s="3710"/>
      <c r="W51" s="3710"/>
      <c r="X51" s="3710"/>
      <c r="Y51" s="3710"/>
      <c r="Z51" s="3710"/>
      <c r="AA51" s="3710"/>
      <c r="AB51" s="3710"/>
      <c r="AC51" s="3710"/>
      <c r="AD51" s="3710"/>
      <c r="AE51" s="3710"/>
      <c r="AF51" s="3710"/>
      <c r="AG51" s="3710"/>
      <c r="AH51" s="3710"/>
      <c r="AI51" s="3710"/>
      <c r="AJ51" s="3710"/>
      <c r="AK51" s="3710"/>
      <c r="AL51" s="3710"/>
      <c r="AM51" s="3710"/>
      <c r="AN51" s="3710"/>
      <c r="AO51" s="3710"/>
      <c r="AP51" s="3710"/>
      <c r="AQ51" s="3710"/>
      <c r="AR51" s="3710"/>
    </row>
    <row r="52" spans="1:44" ht="14.25">
      <c r="A52" s="3844" t="s">
        <v>1243</v>
      </c>
      <c r="B52" s="3863">
        <f>SUMIF(A54:A63,B53,B54:B63)</f>
        <v>0</v>
      </c>
      <c r="C52" s="3623"/>
      <c r="D52" s="3716"/>
      <c r="E52" s="3716"/>
      <c r="F52" s="3716"/>
      <c r="G52" s="3716"/>
      <c r="H52" s="3716"/>
      <c r="I52" s="3716"/>
      <c r="J52" s="3716"/>
      <c r="K52" s="3801"/>
      <c r="L52" s="3801"/>
      <c r="M52" s="3710"/>
      <c r="N52" s="3710"/>
      <c r="O52" s="3710"/>
      <c r="P52" s="3710"/>
      <c r="Q52" s="3710"/>
      <c r="R52" s="3710"/>
      <c r="S52" s="3710"/>
      <c r="T52" s="3710"/>
      <c r="U52" s="3710"/>
      <c r="V52" s="3710"/>
      <c r="W52" s="3710"/>
      <c r="X52" s="3710"/>
      <c r="Y52" s="3710"/>
      <c r="Z52" s="3710"/>
      <c r="AA52" s="3710"/>
      <c r="AB52" s="3710"/>
      <c r="AC52" s="3710"/>
      <c r="AD52" s="3710"/>
      <c r="AE52" s="3710"/>
      <c r="AF52" s="3710"/>
      <c r="AG52" s="3710"/>
      <c r="AH52" s="3710"/>
      <c r="AI52" s="3710"/>
      <c r="AJ52" s="3710"/>
      <c r="AK52" s="3710"/>
      <c r="AL52" s="3710"/>
      <c r="AM52" s="3710"/>
      <c r="AN52" s="3710"/>
      <c r="AO52" s="3710"/>
      <c r="AP52" s="3710"/>
      <c r="AQ52" s="3710"/>
      <c r="AR52" s="3710"/>
    </row>
    <row r="53" spans="1:44" ht="27">
      <c r="A53" s="3820" t="s">
        <v>1244</v>
      </c>
      <c r="B53" s="3845"/>
      <c r="C53" s="3623" t="s">
        <v>1245</v>
      </c>
      <c r="D53" s="3846" t="s">
        <v>2299</v>
      </c>
      <c r="E53" s="3716"/>
      <c r="F53" s="3716"/>
      <c r="G53" s="3716"/>
      <c r="H53" s="3716"/>
      <c r="I53" s="3716"/>
      <c r="J53" s="3716"/>
      <c r="K53" s="3801"/>
      <c r="L53" s="3801"/>
      <c r="M53" s="3710"/>
      <c r="N53" s="3710"/>
      <c r="O53" s="3710"/>
      <c r="P53" s="3710"/>
      <c r="Q53" s="3710"/>
      <c r="R53" s="3710"/>
      <c r="S53" s="3710"/>
      <c r="T53" s="3710"/>
      <c r="U53" s="3710"/>
      <c r="V53" s="3710"/>
      <c r="W53" s="3710"/>
      <c r="X53" s="3710"/>
      <c r="Y53" s="3710"/>
      <c r="Z53" s="3710"/>
      <c r="AA53" s="3710"/>
      <c r="AB53" s="3710"/>
      <c r="AC53" s="3710"/>
      <c r="AD53" s="3710"/>
      <c r="AE53" s="3710"/>
      <c r="AF53" s="3710"/>
      <c r="AG53" s="3710"/>
      <c r="AH53" s="3710"/>
      <c r="AI53" s="3710"/>
      <c r="AJ53" s="3710"/>
      <c r="AK53" s="3710"/>
      <c r="AL53" s="3710"/>
      <c r="AM53" s="3710"/>
      <c r="AN53" s="3710"/>
      <c r="AO53" s="3710"/>
      <c r="AP53" s="3710"/>
      <c r="AQ53" s="3710"/>
      <c r="AR53" s="3710"/>
    </row>
    <row r="54" spans="1:44" ht="14.25">
      <c r="A54" s="3847" t="s">
        <v>1246</v>
      </c>
      <c r="B54" s="3766"/>
      <c r="C54" s="3623">
        <v>30</v>
      </c>
      <c r="D54" s="3716"/>
      <c r="E54" s="3716"/>
      <c r="F54" s="3716"/>
      <c r="G54" s="3716"/>
      <c r="H54" s="3716"/>
      <c r="I54" s="3716"/>
      <c r="J54" s="3716"/>
      <c r="K54" s="3801"/>
      <c r="L54" s="3801"/>
      <c r="M54" s="3710"/>
      <c r="N54" s="3710"/>
      <c r="O54" s="3710"/>
      <c r="P54" s="3710"/>
      <c r="Q54" s="3710"/>
      <c r="R54" s="3710"/>
      <c r="S54" s="3710"/>
      <c r="T54" s="3710"/>
      <c r="U54" s="3710"/>
      <c r="V54" s="3710"/>
      <c r="W54" s="3710"/>
      <c r="X54" s="3710"/>
      <c r="Y54" s="3710"/>
      <c r="Z54" s="3710"/>
      <c r="AA54" s="3710"/>
      <c r="AB54" s="3710"/>
      <c r="AC54" s="3710"/>
      <c r="AD54" s="3710"/>
      <c r="AE54" s="3710"/>
      <c r="AF54" s="3710"/>
      <c r="AG54" s="3710"/>
      <c r="AH54" s="3710"/>
      <c r="AI54" s="3710"/>
      <c r="AJ54" s="3710"/>
      <c r="AK54" s="3710"/>
      <c r="AL54" s="3710"/>
      <c r="AM54" s="3710"/>
      <c r="AN54" s="3710"/>
      <c r="AO54" s="3710"/>
      <c r="AP54" s="3710"/>
      <c r="AQ54" s="3710"/>
      <c r="AR54" s="3710"/>
    </row>
    <row r="55" spans="1:44" ht="14.25">
      <c r="A55" s="3847" t="s">
        <v>1247</v>
      </c>
      <c r="B55" s="3766"/>
      <c r="C55" s="3623">
        <v>24</v>
      </c>
      <c r="D55" s="3716"/>
      <c r="E55" s="3716"/>
      <c r="F55" s="3716"/>
      <c r="G55" s="3716"/>
      <c r="H55" s="3716"/>
      <c r="I55" s="3848"/>
      <c r="J55" s="3716"/>
      <c r="K55" s="3801"/>
      <c r="L55" s="3801"/>
      <c r="M55" s="3710"/>
      <c r="N55" s="3710"/>
      <c r="O55" s="3710"/>
      <c r="P55" s="3710"/>
      <c r="Q55" s="3710"/>
      <c r="R55" s="3710"/>
      <c r="S55" s="3710"/>
      <c r="T55" s="3710"/>
      <c r="U55" s="3710"/>
      <c r="V55" s="3710"/>
      <c r="W55" s="3710"/>
      <c r="X55" s="3710"/>
      <c r="Y55" s="3710"/>
      <c r="Z55" s="3710"/>
      <c r="AA55" s="3710"/>
      <c r="AB55" s="3710"/>
      <c r="AC55" s="3710"/>
      <c r="AD55" s="3710"/>
      <c r="AE55" s="3710"/>
      <c r="AF55" s="3710"/>
      <c r="AG55" s="3710"/>
      <c r="AH55" s="3710"/>
      <c r="AI55" s="3710"/>
      <c r="AJ55" s="3710"/>
      <c r="AK55" s="3710"/>
      <c r="AL55" s="3710"/>
      <c r="AM55" s="3710"/>
      <c r="AN55" s="3710"/>
      <c r="AO55" s="3710"/>
      <c r="AP55" s="3710"/>
      <c r="AQ55" s="3710"/>
      <c r="AR55" s="3710"/>
    </row>
    <row r="56" spans="1:44" ht="14.25">
      <c r="A56" s="3847" t="s">
        <v>1248</v>
      </c>
      <c r="B56" s="3766"/>
      <c r="C56" s="3623">
        <v>18</v>
      </c>
      <c r="D56" s="3716"/>
      <c r="E56" s="3716"/>
      <c r="F56" s="3716"/>
      <c r="G56" s="3716"/>
      <c r="H56" s="3716"/>
      <c r="I56" s="3716"/>
      <c r="J56" s="3716"/>
      <c r="K56" s="3801"/>
      <c r="L56" s="3801"/>
      <c r="M56" s="3710"/>
      <c r="N56" s="3710"/>
      <c r="O56" s="3710"/>
      <c r="P56" s="3710"/>
      <c r="Q56" s="3710"/>
      <c r="R56" s="3710"/>
      <c r="S56" s="3710"/>
      <c r="T56" s="3710"/>
      <c r="U56" s="3710"/>
      <c r="V56" s="3710"/>
      <c r="W56" s="3710"/>
      <c r="X56" s="3710"/>
      <c r="Y56" s="3710"/>
      <c r="Z56" s="3710"/>
      <c r="AA56" s="3710"/>
      <c r="AB56" s="3710"/>
      <c r="AC56" s="3710"/>
      <c r="AD56" s="3710"/>
      <c r="AE56" s="3710"/>
      <c r="AF56" s="3710"/>
      <c r="AG56" s="3710"/>
      <c r="AH56" s="3710"/>
      <c r="AI56" s="3710"/>
      <c r="AJ56" s="3710"/>
      <c r="AK56" s="3710"/>
      <c r="AL56" s="3710"/>
      <c r="AM56" s="3710"/>
      <c r="AN56" s="3710"/>
      <c r="AO56" s="3710"/>
      <c r="AP56" s="3710"/>
      <c r="AQ56" s="3710"/>
      <c r="AR56" s="3710"/>
    </row>
    <row r="57" spans="1:44" ht="14.25">
      <c r="A57" s="3847" t="s">
        <v>1249</v>
      </c>
      <c r="B57" s="3766"/>
      <c r="C57" s="3623">
        <v>12</v>
      </c>
      <c r="D57" s="3716"/>
      <c r="E57" s="3716"/>
      <c r="F57" s="3716"/>
      <c r="G57" s="3716"/>
      <c r="H57" s="3716"/>
      <c r="I57" s="3716"/>
      <c r="J57" s="3716"/>
      <c r="K57" s="3801"/>
      <c r="L57" s="3801"/>
      <c r="M57" s="3710"/>
      <c r="N57" s="3710"/>
      <c r="O57" s="3710"/>
      <c r="P57" s="3710"/>
      <c r="Q57" s="3710"/>
      <c r="R57" s="3710"/>
      <c r="S57" s="3710"/>
      <c r="T57" s="3710"/>
      <c r="U57" s="3710"/>
      <c r="V57" s="3710"/>
      <c r="W57" s="3710"/>
      <c r="X57" s="3710"/>
      <c r="Y57" s="3710"/>
      <c r="Z57" s="3710"/>
      <c r="AA57" s="3710"/>
      <c r="AB57" s="3710"/>
      <c r="AC57" s="3710"/>
      <c r="AD57" s="3710"/>
      <c r="AE57" s="3710"/>
      <c r="AF57" s="3710"/>
      <c r="AG57" s="3710"/>
      <c r="AH57" s="3710"/>
      <c r="AI57" s="3710"/>
      <c r="AJ57" s="3710"/>
      <c r="AK57" s="3710"/>
      <c r="AL57" s="3710"/>
      <c r="AM57" s="3710"/>
      <c r="AN57" s="3710"/>
      <c r="AO57" s="3710"/>
      <c r="AP57" s="3710"/>
      <c r="AQ57" s="3710"/>
      <c r="AR57" s="3710"/>
    </row>
    <row r="58" spans="1:44" ht="14.25">
      <c r="A58" s="3847" t="s">
        <v>1250</v>
      </c>
      <c r="B58" s="3766"/>
      <c r="C58" s="3623">
        <v>3</v>
      </c>
      <c r="D58" s="3716"/>
      <c r="E58" s="3716"/>
      <c r="F58" s="3716"/>
      <c r="G58" s="3716"/>
      <c r="H58" s="3716"/>
      <c r="I58" s="3716"/>
      <c r="J58" s="3716"/>
      <c r="K58" s="3801"/>
      <c r="L58" s="3801"/>
      <c r="M58" s="3710"/>
      <c r="N58" s="3710"/>
      <c r="O58" s="3710"/>
      <c r="P58" s="3710"/>
      <c r="Q58" s="3710"/>
      <c r="R58" s="3710"/>
      <c r="S58" s="3710"/>
      <c r="T58" s="3710"/>
      <c r="U58" s="3710"/>
      <c r="V58" s="3710"/>
      <c r="W58" s="3710"/>
      <c r="X58" s="3710"/>
      <c r="Y58" s="3710"/>
      <c r="Z58" s="3710"/>
      <c r="AA58" s="3710"/>
      <c r="AB58" s="3710"/>
      <c r="AC58" s="3710"/>
      <c r="AD58" s="3710"/>
      <c r="AE58" s="3710"/>
      <c r="AF58" s="3710"/>
      <c r="AG58" s="3710"/>
      <c r="AH58" s="3710"/>
      <c r="AI58" s="3710"/>
      <c r="AJ58" s="3710"/>
      <c r="AK58" s="3710"/>
      <c r="AL58" s="3710"/>
      <c r="AM58" s="3710"/>
      <c r="AN58" s="3710"/>
      <c r="AO58" s="3710"/>
      <c r="AP58" s="3710"/>
      <c r="AQ58" s="3710"/>
      <c r="AR58" s="3710"/>
    </row>
    <row r="59" spans="1:44" ht="14.25">
      <c r="A59" s="3847" t="s">
        <v>1251</v>
      </c>
      <c r="B59" s="3766"/>
      <c r="C59" s="3623">
        <v>1.5</v>
      </c>
      <c r="D59" s="3716"/>
      <c r="E59" s="3716"/>
      <c r="F59" s="3716"/>
      <c r="G59" s="3716"/>
      <c r="H59" s="3716"/>
      <c r="I59" s="3716"/>
      <c r="J59" s="3716"/>
      <c r="K59" s="3801"/>
      <c r="L59" s="3801"/>
      <c r="M59" s="3710"/>
      <c r="N59" s="3710"/>
      <c r="O59" s="3710"/>
      <c r="P59" s="3710"/>
      <c r="Q59" s="3710"/>
      <c r="R59" s="3710"/>
      <c r="S59" s="3710"/>
      <c r="T59" s="3710"/>
      <c r="U59" s="3710"/>
      <c r="V59" s="3710"/>
      <c r="W59" s="3710"/>
      <c r="X59" s="3710"/>
      <c r="Y59" s="3710"/>
      <c r="Z59" s="3710"/>
      <c r="AA59" s="3710"/>
      <c r="AB59" s="3710"/>
      <c r="AC59" s="3710"/>
      <c r="AD59" s="3710"/>
      <c r="AE59" s="3710"/>
      <c r="AF59" s="3710"/>
      <c r="AG59" s="3710"/>
      <c r="AH59" s="3710"/>
      <c r="AI59" s="3710"/>
      <c r="AJ59" s="3710"/>
      <c r="AK59" s="3710"/>
      <c r="AL59" s="3710"/>
      <c r="AM59" s="3710"/>
      <c r="AN59" s="3710"/>
      <c r="AO59" s="3710"/>
      <c r="AP59" s="3710"/>
      <c r="AQ59" s="3710"/>
      <c r="AR59" s="3710"/>
    </row>
    <row r="60" spans="1:44" ht="14.25">
      <c r="A60" s="3847" t="s">
        <v>1252</v>
      </c>
      <c r="B60" s="3766"/>
      <c r="C60" s="3716"/>
      <c r="D60" s="3716"/>
      <c r="E60" s="3716"/>
      <c r="F60" s="3716"/>
      <c r="G60" s="3716"/>
      <c r="H60" s="3716"/>
      <c r="I60" s="3716"/>
      <c r="J60" s="3716"/>
      <c r="K60" s="3801"/>
      <c r="L60" s="3801"/>
      <c r="M60" s="3710"/>
      <c r="N60" s="3710"/>
      <c r="O60" s="3710"/>
      <c r="P60" s="3710"/>
      <c r="Q60" s="3710"/>
      <c r="R60" s="3710"/>
      <c r="S60" s="3710"/>
      <c r="T60" s="3710"/>
      <c r="U60" s="3710"/>
      <c r="V60" s="3710"/>
      <c r="W60" s="3710"/>
      <c r="X60" s="3710"/>
      <c r="Y60" s="3710"/>
      <c r="Z60" s="3710"/>
      <c r="AA60" s="3710"/>
      <c r="AB60" s="3710"/>
      <c r="AC60" s="3710"/>
      <c r="AD60" s="3710"/>
      <c r="AE60" s="3710"/>
      <c r="AF60" s="3710"/>
      <c r="AG60" s="3710"/>
      <c r="AH60" s="3710"/>
      <c r="AI60" s="3710"/>
      <c r="AJ60" s="3710"/>
      <c r="AK60" s="3710"/>
      <c r="AL60" s="3710"/>
      <c r="AM60" s="3710"/>
      <c r="AN60" s="3710"/>
      <c r="AO60" s="3710"/>
      <c r="AP60" s="3710"/>
      <c r="AQ60" s="3710"/>
      <c r="AR60" s="3710"/>
    </row>
    <row r="61" spans="1:44" ht="14.25">
      <c r="A61" s="3847" t="s">
        <v>1253</v>
      </c>
      <c r="B61" s="3766"/>
      <c r="C61" s="3716"/>
      <c r="D61" s="3716"/>
      <c r="E61" s="3716"/>
      <c r="F61" s="3716"/>
      <c r="G61" s="3716"/>
      <c r="H61" s="3716"/>
      <c r="I61" s="3716"/>
      <c r="J61" s="3716"/>
      <c r="K61" s="3801"/>
      <c r="L61" s="3801"/>
      <c r="M61" s="3710"/>
      <c r="N61" s="3710"/>
      <c r="O61" s="3710"/>
      <c r="P61" s="3710"/>
      <c r="Q61" s="3710"/>
      <c r="R61" s="3710"/>
      <c r="S61" s="3710"/>
      <c r="T61" s="3710"/>
      <c r="U61" s="3710"/>
      <c r="V61" s="3710"/>
      <c r="W61" s="3710"/>
      <c r="X61" s="3710"/>
      <c r="Y61" s="3710"/>
      <c r="Z61" s="3710"/>
      <c r="AA61" s="3710"/>
      <c r="AB61" s="3710"/>
      <c r="AC61" s="3710"/>
      <c r="AD61" s="3710"/>
      <c r="AE61" s="3710"/>
      <c r="AF61" s="3710"/>
      <c r="AG61" s="3710"/>
      <c r="AH61" s="3710"/>
      <c r="AI61" s="3710"/>
      <c r="AJ61" s="3710"/>
      <c r="AK61" s="3710"/>
      <c r="AL61" s="3710"/>
      <c r="AM61" s="3710"/>
      <c r="AN61" s="3710"/>
      <c r="AO61" s="3710"/>
      <c r="AP61" s="3710"/>
      <c r="AQ61" s="3710"/>
      <c r="AR61" s="3710"/>
    </row>
    <row r="62" spans="1:44" ht="14.25">
      <c r="A62" s="3847" t="s">
        <v>1254</v>
      </c>
      <c r="B62" s="3766"/>
      <c r="C62" s="3716"/>
      <c r="D62" s="3716"/>
      <c r="E62" s="3716"/>
      <c r="F62" s="3716"/>
      <c r="G62" s="3716"/>
      <c r="H62" s="3716"/>
      <c r="I62" s="3716"/>
      <c r="J62" s="3716"/>
      <c r="K62" s="3801"/>
      <c r="L62" s="3801"/>
      <c r="M62" s="3710"/>
      <c r="N62" s="3710"/>
      <c r="O62" s="3710"/>
      <c r="P62" s="3710"/>
      <c r="Q62" s="3710"/>
      <c r="R62" s="3710"/>
      <c r="S62" s="3710"/>
      <c r="T62" s="3710"/>
      <c r="U62" s="3710"/>
      <c r="V62" s="3710"/>
      <c r="W62" s="3710"/>
      <c r="X62" s="3710"/>
      <c r="Y62" s="3710"/>
      <c r="Z62" s="3710"/>
      <c r="AA62" s="3710"/>
      <c r="AB62" s="3710"/>
      <c r="AC62" s="3710"/>
      <c r="AD62" s="3710"/>
      <c r="AE62" s="3710"/>
      <c r="AF62" s="3710"/>
      <c r="AG62" s="3710"/>
      <c r="AH62" s="3710"/>
      <c r="AI62" s="3710"/>
      <c r="AJ62" s="3710"/>
      <c r="AK62" s="3710"/>
      <c r="AL62" s="3710"/>
      <c r="AM62" s="3710"/>
      <c r="AN62" s="3710"/>
      <c r="AO62" s="3710"/>
      <c r="AP62" s="3710"/>
      <c r="AQ62" s="3710"/>
      <c r="AR62" s="3710"/>
    </row>
    <row r="63" spans="1:44" ht="15" thickBot="1">
      <c r="A63" s="3849" t="s">
        <v>1255</v>
      </c>
      <c r="B63" s="3850"/>
      <c r="C63" s="3716"/>
      <c r="D63" s="3716"/>
      <c r="E63" s="3716"/>
      <c r="F63" s="3716"/>
      <c r="G63" s="3716"/>
      <c r="H63" s="3716"/>
      <c r="I63" s="3716"/>
      <c r="J63" s="3716"/>
      <c r="K63" s="3801"/>
      <c r="L63" s="3801"/>
      <c r="M63" s="3710"/>
      <c r="N63" s="3710"/>
      <c r="O63" s="3710"/>
      <c r="P63" s="3710"/>
      <c r="Q63" s="3710"/>
      <c r="R63" s="3710"/>
      <c r="S63" s="3710"/>
      <c r="T63" s="3710"/>
      <c r="U63" s="3710"/>
      <c r="V63" s="3710"/>
      <c r="W63" s="3710"/>
      <c r="X63" s="3710"/>
      <c r="Y63" s="3710"/>
      <c r="Z63" s="3710"/>
      <c r="AA63" s="3710"/>
      <c r="AB63" s="3710"/>
      <c r="AC63" s="3710"/>
      <c r="AD63" s="3710"/>
      <c r="AE63" s="3710"/>
      <c r="AF63" s="3710"/>
      <c r="AG63" s="3710"/>
      <c r="AH63" s="3710"/>
      <c r="AI63" s="3710"/>
      <c r="AJ63" s="3710"/>
      <c r="AK63" s="3710"/>
      <c r="AL63" s="3710"/>
      <c r="AM63" s="3710"/>
      <c r="AN63" s="3710"/>
      <c r="AO63" s="3710"/>
      <c r="AP63" s="3710"/>
      <c r="AQ63" s="3710"/>
      <c r="AR63" s="3710"/>
    </row>
    <row r="64" spans="1:44" s="3851" customFormat="1">
      <c r="A64" s="3496"/>
      <c r="B64" s="3710"/>
      <c r="C64" s="3710"/>
      <c r="D64" s="3710"/>
      <c r="E64" s="3710"/>
      <c r="F64" s="3710"/>
      <c r="G64" s="3710"/>
      <c r="H64" s="3710"/>
      <c r="I64" s="3710"/>
      <c r="J64" s="3710"/>
      <c r="K64" s="3801"/>
      <c r="L64" s="3801"/>
      <c r="M64" s="3710"/>
      <c r="N64" s="3710"/>
      <c r="O64" s="3710"/>
      <c r="P64" s="3710"/>
      <c r="Q64" s="3710"/>
      <c r="R64" s="3710"/>
      <c r="S64" s="3710"/>
      <c r="T64" s="3710"/>
      <c r="U64" s="3710"/>
      <c r="V64" s="3710"/>
      <c r="W64" s="3710"/>
      <c r="X64" s="3710"/>
      <c r="Y64" s="3710"/>
      <c r="Z64" s="3710"/>
      <c r="AA64" s="3710"/>
      <c r="AB64" s="3710"/>
      <c r="AC64" s="3710"/>
      <c r="AD64" s="3710"/>
      <c r="AE64" s="3710"/>
      <c r="AF64" s="3710"/>
      <c r="AG64" s="3710"/>
      <c r="AH64" s="3710"/>
      <c r="AI64" s="3710"/>
      <c r="AJ64" s="3710"/>
      <c r="AK64" s="3710"/>
      <c r="AL64" s="3710"/>
      <c r="AM64" s="3710"/>
      <c r="AN64" s="3710"/>
      <c r="AO64" s="3710"/>
      <c r="AP64" s="3710"/>
      <c r="AQ64" s="3710"/>
      <c r="AR64" s="3710"/>
    </row>
    <row r="65" spans="1:44" s="3851" customFormat="1">
      <c r="A65" s="3496"/>
      <c r="B65" s="3710"/>
      <c r="C65" s="3710"/>
      <c r="D65" s="3710"/>
      <c r="E65" s="3710"/>
      <c r="F65" s="3710"/>
      <c r="G65" s="3710"/>
      <c r="H65" s="3710"/>
      <c r="I65" s="3710"/>
      <c r="J65" s="3710"/>
      <c r="K65" s="3801"/>
      <c r="L65" s="3801"/>
      <c r="M65" s="3710"/>
      <c r="N65" s="3710"/>
      <c r="O65" s="3710"/>
      <c r="P65" s="3710"/>
      <c r="Q65" s="3710"/>
      <c r="R65" s="3710"/>
      <c r="S65" s="3710"/>
      <c r="T65" s="3710"/>
      <c r="U65" s="3710"/>
      <c r="V65" s="3710"/>
      <c r="W65" s="3710"/>
      <c r="X65" s="3710"/>
      <c r="Y65" s="3710"/>
      <c r="Z65" s="3710"/>
      <c r="AA65" s="3710"/>
      <c r="AB65" s="3710"/>
      <c r="AC65" s="3710"/>
      <c r="AD65" s="3710"/>
      <c r="AE65" s="3710"/>
      <c r="AF65" s="3710"/>
      <c r="AG65" s="3710"/>
      <c r="AH65" s="3710"/>
      <c r="AI65" s="3710"/>
      <c r="AJ65" s="3710"/>
      <c r="AK65" s="3710"/>
      <c r="AL65" s="3710"/>
      <c r="AM65" s="3710"/>
      <c r="AN65" s="3710"/>
      <c r="AO65" s="3710"/>
      <c r="AP65" s="3710"/>
      <c r="AQ65" s="3710"/>
      <c r="AR65" s="3710"/>
    </row>
    <row r="66" spans="1:44" s="3851" customFormat="1">
      <c r="A66" s="3496"/>
      <c r="B66" s="3710"/>
      <c r="C66" s="3710"/>
      <c r="D66" s="3710"/>
      <c r="E66" s="3710"/>
      <c r="F66" s="3710"/>
      <c r="G66" s="3710"/>
      <c r="H66" s="3710"/>
      <c r="I66" s="3710"/>
      <c r="J66" s="3710"/>
      <c r="K66" s="3801"/>
      <c r="L66" s="3801"/>
      <c r="M66" s="3710"/>
      <c r="N66" s="3710"/>
      <c r="O66" s="3710"/>
      <c r="P66" s="3710"/>
      <c r="Q66" s="3710"/>
      <c r="R66" s="3710"/>
      <c r="S66" s="3710"/>
      <c r="T66" s="3710"/>
      <c r="U66" s="3710"/>
      <c r="V66" s="3710"/>
      <c r="W66" s="3710"/>
      <c r="X66" s="3710"/>
      <c r="Y66" s="3710"/>
      <c r="Z66" s="3710"/>
      <c r="AA66" s="3710"/>
      <c r="AB66" s="3710"/>
      <c r="AC66" s="3710"/>
      <c r="AD66" s="3710"/>
      <c r="AE66" s="3710"/>
      <c r="AF66" s="3710"/>
      <c r="AG66" s="3710"/>
      <c r="AH66" s="3710"/>
      <c r="AI66" s="3710"/>
      <c r="AJ66" s="3710"/>
      <c r="AK66" s="3710"/>
      <c r="AL66" s="3710"/>
      <c r="AM66" s="3710"/>
      <c r="AN66" s="3710"/>
      <c r="AO66" s="3710"/>
      <c r="AP66" s="3710"/>
      <c r="AQ66" s="3710"/>
      <c r="AR66" s="3710"/>
    </row>
    <row r="67" spans="1:44" s="3851" customFormat="1">
      <c r="A67" s="3496"/>
      <c r="B67" s="3710"/>
      <c r="C67" s="3710"/>
      <c r="D67" s="3710"/>
      <c r="E67" s="3710"/>
      <c r="F67" s="3710"/>
      <c r="G67" s="3710"/>
      <c r="H67" s="3710"/>
      <c r="I67" s="3710"/>
      <c r="J67" s="3710"/>
      <c r="K67" s="3801"/>
      <c r="L67" s="3801"/>
      <c r="M67" s="3710"/>
      <c r="N67" s="3710"/>
      <c r="O67" s="3710"/>
      <c r="P67" s="3710"/>
      <c r="Q67" s="3710"/>
      <c r="R67" s="3710"/>
      <c r="S67" s="3710"/>
      <c r="T67" s="3710"/>
      <c r="U67" s="3710"/>
      <c r="V67" s="3710"/>
      <c r="W67" s="3710"/>
      <c r="X67" s="3710"/>
      <c r="Y67" s="3710"/>
      <c r="Z67" s="3710"/>
      <c r="AA67" s="3710"/>
      <c r="AB67" s="3710"/>
      <c r="AC67" s="3710"/>
      <c r="AD67" s="3710"/>
      <c r="AE67" s="3710"/>
      <c r="AF67" s="3710"/>
      <c r="AG67" s="3710"/>
      <c r="AH67" s="3710"/>
      <c r="AI67" s="3710"/>
      <c r="AJ67" s="3710"/>
      <c r="AK67" s="3710"/>
      <c r="AL67" s="3710"/>
      <c r="AM67" s="3710"/>
      <c r="AN67" s="3710"/>
      <c r="AO67" s="3710"/>
      <c r="AP67" s="3710"/>
      <c r="AQ67" s="3710"/>
      <c r="AR67" s="3710"/>
    </row>
    <row r="68" spans="1:44" s="3851" customFormat="1">
      <c r="A68" s="3496"/>
      <c r="B68" s="3710"/>
      <c r="C68" s="3710"/>
      <c r="D68" s="3710"/>
      <c r="E68" s="3710"/>
      <c r="F68" s="3710"/>
      <c r="G68" s="3710"/>
      <c r="H68" s="3710"/>
      <c r="I68" s="3710"/>
      <c r="J68" s="3710"/>
      <c r="K68" s="3801"/>
      <c r="L68" s="3801"/>
      <c r="M68" s="3710"/>
      <c r="N68" s="3710"/>
      <c r="O68" s="3710"/>
      <c r="P68" s="3710"/>
      <c r="Q68" s="3710"/>
      <c r="R68" s="3710"/>
      <c r="S68" s="3710"/>
      <c r="T68" s="3710"/>
      <c r="U68" s="3710"/>
      <c r="V68" s="3710"/>
      <c r="W68" s="3710"/>
      <c r="X68" s="3710"/>
      <c r="Y68" s="3710"/>
      <c r="Z68" s="3710"/>
      <c r="AA68" s="3710"/>
      <c r="AB68" s="3710"/>
      <c r="AC68" s="3710"/>
      <c r="AD68" s="3710"/>
      <c r="AE68" s="3710"/>
      <c r="AF68" s="3710"/>
      <c r="AG68" s="3710"/>
      <c r="AH68" s="3710"/>
      <c r="AI68" s="3710"/>
      <c r="AJ68" s="3710"/>
      <c r="AK68" s="3710"/>
      <c r="AL68" s="3710"/>
      <c r="AM68" s="3710"/>
      <c r="AN68" s="3710"/>
      <c r="AO68" s="3710"/>
      <c r="AP68" s="3710"/>
      <c r="AQ68" s="3710"/>
      <c r="AR68" s="3710"/>
    </row>
    <row r="69" spans="1:44" s="3851" customFormat="1">
      <c r="A69" s="3852"/>
      <c r="K69" s="3853"/>
      <c r="L69" s="3853"/>
    </row>
    <row r="70" spans="1:44" s="3851" customFormat="1">
      <c r="A70" s="3852"/>
      <c r="K70" s="3853"/>
      <c r="L70" s="3853"/>
    </row>
    <row r="71" spans="1:44" s="3851" customFormat="1">
      <c r="A71" s="3852"/>
      <c r="K71" s="3853"/>
      <c r="L71" s="3853"/>
    </row>
    <row r="72" spans="1:44" s="3851" customFormat="1">
      <c r="A72" s="3852"/>
      <c r="K72" s="3853"/>
      <c r="L72" s="3853"/>
    </row>
    <row r="73" spans="1:44" s="3851" customFormat="1">
      <c r="A73" s="3852"/>
      <c r="K73" s="3853"/>
      <c r="L73" s="3853"/>
    </row>
    <row r="74" spans="1:44" s="3851" customFormat="1">
      <c r="A74" s="3852"/>
      <c r="K74" s="3853"/>
      <c r="L74" s="3853"/>
    </row>
    <row r="75" spans="1:44" s="3851" customFormat="1">
      <c r="A75" s="3852"/>
      <c r="K75" s="3853"/>
      <c r="L75" s="3853"/>
    </row>
    <row r="76" spans="1:44" s="3851" customFormat="1">
      <c r="A76" s="3852"/>
      <c r="K76" s="3853"/>
      <c r="L76" s="3853"/>
    </row>
    <row r="77" spans="1:44" s="3851" customFormat="1">
      <c r="A77" s="3852"/>
      <c r="K77" s="3853"/>
      <c r="L77" s="3853"/>
    </row>
    <row r="78" spans="1:44" s="3851" customFormat="1">
      <c r="A78" s="3852"/>
      <c r="K78" s="3853"/>
      <c r="L78" s="3853"/>
    </row>
    <row r="79" spans="1:44" s="3851" customFormat="1">
      <c r="A79" s="3852"/>
      <c r="K79" s="3853"/>
      <c r="L79" s="3853"/>
    </row>
    <row r="80" spans="1:44" s="3851" customFormat="1">
      <c r="A80" s="3852"/>
      <c r="K80" s="3853"/>
      <c r="L80" s="3853"/>
    </row>
    <row r="81" spans="1:12" s="3851" customFormat="1">
      <c r="A81" s="3852"/>
      <c r="K81" s="3853"/>
      <c r="L81" s="3853"/>
    </row>
    <row r="82" spans="1:12" s="3851" customFormat="1">
      <c r="A82" s="3852"/>
      <c r="K82" s="3853"/>
      <c r="L82" s="3853"/>
    </row>
    <row r="83" spans="1:12" s="3851" customFormat="1">
      <c r="A83" s="3852"/>
      <c r="K83" s="3853"/>
      <c r="L83" s="3853"/>
    </row>
    <row r="84" spans="1:12" s="3851" customFormat="1">
      <c r="A84" s="3852"/>
      <c r="K84" s="3853"/>
      <c r="L84" s="3853"/>
    </row>
    <row r="85" spans="1:12" s="3851" customFormat="1">
      <c r="A85" s="3852"/>
      <c r="K85" s="3853"/>
      <c r="L85" s="3853"/>
    </row>
    <row r="86" spans="1:12" s="3851" customFormat="1">
      <c r="A86" s="3852"/>
      <c r="K86" s="3853"/>
      <c r="L86" s="3853"/>
    </row>
    <row r="87" spans="1:12" s="3851" customFormat="1">
      <c r="A87" s="3852"/>
      <c r="K87" s="3853"/>
      <c r="L87" s="3853"/>
    </row>
    <row r="88" spans="1:12" s="3851" customFormat="1">
      <c r="A88" s="3852"/>
      <c r="K88" s="3853"/>
      <c r="L88" s="3853"/>
    </row>
    <row r="89" spans="1:12" s="3851" customFormat="1">
      <c r="A89" s="3852"/>
      <c r="K89" s="3853"/>
      <c r="L89" s="3853"/>
    </row>
    <row r="90" spans="1:12" s="3851" customFormat="1">
      <c r="A90" s="3852"/>
      <c r="K90" s="3853"/>
      <c r="L90" s="3853"/>
    </row>
    <row r="91" spans="1:12" s="3851" customFormat="1">
      <c r="A91" s="3852"/>
      <c r="K91" s="3853"/>
      <c r="L91" s="3853"/>
    </row>
    <row r="92" spans="1:12" s="3851" customFormat="1">
      <c r="A92" s="3852"/>
      <c r="K92" s="3853"/>
      <c r="L92" s="3853"/>
    </row>
    <row r="93" spans="1:12" s="3851" customFormat="1">
      <c r="A93" s="3852"/>
      <c r="K93" s="3853"/>
      <c r="L93" s="3853"/>
    </row>
    <row r="94" spans="1:12" s="3851" customFormat="1">
      <c r="A94" s="3852"/>
      <c r="K94" s="3853"/>
      <c r="L94" s="3853"/>
    </row>
    <row r="95" spans="1:12" s="3851" customFormat="1">
      <c r="A95" s="3852"/>
      <c r="K95" s="3853"/>
      <c r="L95" s="3853"/>
    </row>
    <row r="96" spans="1:12" s="3851" customFormat="1">
      <c r="A96" s="3852"/>
      <c r="K96" s="3853"/>
      <c r="L96" s="3853"/>
    </row>
    <row r="97" spans="1:12" s="3851" customFormat="1">
      <c r="A97" s="3852"/>
      <c r="K97" s="3853"/>
      <c r="L97" s="3853"/>
    </row>
    <row r="98" spans="1:12" s="3851" customFormat="1">
      <c r="A98" s="3852"/>
      <c r="K98" s="3853"/>
      <c r="L98" s="3853"/>
    </row>
    <row r="99" spans="1:12" s="3851" customFormat="1">
      <c r="A99" s="3852"/>
      <c r="K99" s="3853"/>
      <c r="L99" s="3853"/>
    </row>
    <row r="100" spans="1:12" s="3851" customFormat="1">
      <c r="A100" s="3852"/>
      <c r="K100" s="3853"/>
      <c r="L100" s="3853"/>
    </row>
    <row r="101" spans="1:12" s="3851" customFormat="1">
      <c r="A101" s="3852"/>
      <c r="K101" s="3853"/>
      <c r="L101" s="3853"/>
    </row>
    <row r="102" spans="1:12" s="3851" customFormat="1">
      <c r="A102" s="3852"/>
      <c r="K102" s="3853"/>
      <c r="L102" s="3853"/>
    </row>
    <row r="103" spans="1:12" s="3851" customFormat="1">
      <c r="A103" s="3852"/>
      <c r="K103" s="3853"/>
      <c r="L103" s="3853"/>
    </row>
    <row r="104" spans="1:12" s="3851" customFormat="1">
      <c r="A104" s="3852"/>
      <c r="K104" s="3853"/>
      <c r="L104" s="3853"/>
    </row>
    <row r="105" spans="1:12" s="3851" customFormat="1">
      <c r="A105" s="3852"/>
      <c r="K105" s="3853"/>
      <c r="L105" s="3853"/>
    </row>
    <row r="106" spans="1:12" s="3851" customFormat="1">
      <c r="A106" s="3852"/>
      <c r="K106" s="3853"/>
      <c r="L106" s="3853"/>
    </row>
    <row r="107" spans="1:12" s="3851" customFormat="1">
      <c r="A107" s="3852"/>
      <c r="K107" s="3853"/>
      <c r="L107" s="3853"/>
    </row>
    <row r="108" spans="1:12" s="3851" customFormat="1">
      <c r="A108" s="3852"/>
      <c r="K108" s="3853"/>
      <c r="L108" s="3853"/>
    </row>
    <row r="109" spans="1:12" s="3851" customFormat="1">
      <c r="A109" s="3852"/>
      <c r="K109" s="3853"/>
      <c r="L109" s="3853"/>
    </row>
    <row r="110" spans="1:12" s="3851" customFormat="1">
      <c r="A110" s="3852"/>
      <c r="K110" s="3853"/>
      <c r="L110" s="3853"/>
    </row>
    <row r="111" spans="1:12" s="3851" customFormat="1">
      <c r="A111" s="3852"/>
      <c r="K111" s="3853"/>
      <c r="L111" s="3853"/>
    </row>
    <row r="112" spans="1:12" s="3851" customFormat="1">
      <c r="A112" s="3852"/>
      <c r="K112" s="3853"/>
      <c r="L112" s="3853"/>
    </row>
    <row r="113" spans="1:12" s="3851" customFormat="1">
      <c r="A113" s="3852"/>
      <c r="K113" s="3853"/>
      <c r="L113" s="3853"/>
    </row>
    <row r="114" spans="1:12" s="3851" customFormat="1">
      <c r="A114" s="3852"/>
      <c r="K114" s="3853"/>
      <c r="L114" s="3853"/>
    </row>
    <row r="115" spans="1:12" s="3851" customFormat="1">
      <c r="A115" s="3852"/>
      <c r="K115" s="3853"/>
      <c r="L115" s="3853"/>
    </row>
    <row r="116" spans="1:12" s="3851" customFormat="1">
      <c r="A116" s="3852"/>
      <c r="K116" s="3853"/>
      <c r="L116" s="3853"/>
    </row>
    <row r="117" spans="1:12" s="3851" customFormat="1">
      <c r="A117" s="3852"/>
      <c r="K117" s="3853"/>
      <c r="L117" s="3853"/>
    </row>
    <row r="118" spans="1:12" s="3851" customFormat="1">
      <c r="A118" s="3852"/>
      <c r="K118" s="3853"/>
      <c r="L118" s="3853"/>
    </row>
    <row r="119" spans="1:12" s="3851" customFormat="1">
      <c r="A119" s="3852"/>
      <c r="K119" s="3853"/>
      <c r="L119" s="3853"/>
    </row>
    <row r="120" spans="1:12" s="3851" customFormat="1">
      <c r="A120" s="3852"/>
      <c r="K120" s="3853"/>
      <c r="L120" s="3853"/>
    </row>
    <row r="121" spans="1:12" s="3851" customFormat="1">
      <c r="A121" s="3852"/>
      <c r="K121" s="3853"/>
      <c r="L121" s="3853"/>
    </row>
    <row r="122" spans="1:12" s="3851" customFormat="1">
      <c r="A122" s="3852"/>
      <c r="K122" s="3853"/>
      <c r="L122" s="3853"/>
    </row>
    <row r="123" spans="1:12" s="3851" customFormat="1">
      <c r="A123" s="3852"/>
      <c r="K123" s="3853"/>
      <c r="L123" s="3853"/>
    </row>
    <row r="124" spans="1:12" s="3851" customFormat="1">
      <c r="A124" s="3852"/>
      <c r="K124" s="3853"/>
      <c r="L124" s="3853"/>
    </row>
    <row r="125" spans="1:12" s="3851" customFormat="1">
      <c r="A125" s="3852"/>
      <c r="K125" s="3853"/>
      <c r="L125" s="3853"/>
    </row>
    <row r="126" spans="1:12" s="3851" customFormat="1">
      <c r="A126" s="3852"/>
      <c r="K126" s="3853"/>
      <c r="L126" s="3853"/>
    </row>
    <row r="127" spans="1:12" s="3851" customFormat="1">
      <c r="A127" s="3852"/>
      <c r="K127" s="3853"/>
      <c r="L127" s="3853"/>
    </row>
    <row r="128" spans="1:12" s="3851" customFormat="1">
      <c r="A128" s="3852"/>
      <c r="K128" s="3853"/>
      <c r="L128" s="3853"/>
    </row>
    <row r="129" spans="1:12" s="3851" customFormat="1">
      <c r="A129" s="3852"/>
      <c r="K129" s="3853"/>
      <c r="L129" s="3853"/>
    </row>
    <row r="130" spans="1:12" s="3851" customFormat="1">
      <c r="A130" s="3852"/>
      <c r="K130" s="3853"/>
      <c r="L130" s="3853"/>
    </row>
    <row r="131" spans="1:12" s="3851" customFormat="1">
      <c r="A131" s="3852"/>
      <c r="K131" s="3853"/>
      <c r="L131" s="3853"/>
    </row>
    <row r="132" spans="1:12" s="3851" customFormat="1">
      <c r="A132" s="3852"/>
      <c r="K132" s="3853"/>
      <c r="L132" s="3853"/>
    </row>
    <row r="133" spans="1:12" s="3851" customFormat="1">
      <c r="A133" s="3852"/>
      <c r="K133" s="3853"/>
      <c r="L133" s="3853"/>
    </row>
    <row r="134" spans="1:12" s="3711" customFormat="1">
      <c r="A134" s="3478"/>
      <c r="K134" s="3854"/>
      <c r="L134" s="3854"/>
    </row>
    <row r="135" spans="1:12" s="3711" customFormat="1">
      <c r="A135" s="3478"/>
      <c r="K135" s="3854"/>
      <c r="L135" s="3854"/>
    </row>
    <row r="136" spans="1:12" s="3711" customFormat="1">
      <c r="A136" s="3478"/>
      <c r="K136" s="3854"/>
      <c r="L136" s="3854"/>
    </row>
    <row r="137" spans="1:12" s="3711" customFormat="1">
      <c r="A137" s="3478"/>
      <c r="K137" s="3854"/>
      <c r="L137" s="3854"/>
    </row>
    <row r="138" spans="1:12" s="3711" customFormat="1">
      <c r="A138" s="3478"/>
      <c r="K138" s="3854"/>
      <c r="L138" s="3854"/>
    </row>
    <row r="139" spans="1:12" s="3711" customFormat="1">
      <c r="A139" s="3478"/>
      <c r="K139" s="3854"/>
      <c r="L139" s="3854"/>
    </row>
    <row r="140" spans="1:12" s="3711" customFormat="1">
      <c r="A140" s="3478"/>
      <c r="K140" s="3854"/>
      <c r="L140" s="3854"/>
    </row>
    <row r="141" spans="1:12" s="3711" customFormat="1">
      <c r="A141" s="3478"/>
      <c r="K141" s="3854"/>
      <c r="L141" s="3854"/>
    </row>
    <row r="142" spans="1:12" s="3711" customFormat="1">
      <c r="A142" s="3478"/>
      <c r="K142" s="3854"/>
      <c r="L142" s="3854"/>
    </row>
    <row r="143" spans="1:12" s="3711" customFormat="1">
      <c r="A143" s="3478"/>
      <c r="K143" s="3854"/>
      <c r="L143" s="3854"/>
    </row>
    <row r="144" spans="1:12" s="3711" customFormat="1">
      <c r="A144" s="3478"/>
      <c r="K144" s="3854"/>
      <c r="L144" s="3854"/>
    </row>
    <row r="145" spans="1:12" s="3711" customFormat="1">
      <c r="A145" s="3478"/>
      <c r="K145" s="3854"/>
      <c r="L145" s="3854"/>
    </row>
    <row r="146" spans="1:12" s="3711" customFormat="1">
      <c r="A146" s="3478"/>
      <c r="K146" s="3854"/>
      <c r="L146" s="3854"/>
    </row>
    <row r="147" spans="1:12" s="3711" customFormat="1">
      <c r="A147" s="3478"/>
      <c r="K147" s="3854"/>
      <c r="L147" s="3854"/>
    </row>
    <row r="148" spans="1:12" s="3711" customFormat="1">
      <c r="A148" s="3478"/>
      <c r="K148" s="3854"/>
      <c r="L148" s="3854"/>
    </row>
    <row r="149" spans="1:12" s="3711" customFormat="1">
      <c r="A149" s="3478"/>
      <c r="K149" s="3854"/>
      <c r="L149" s="3854"/>
    </row>
    <row r="150" spans="1:12" s="3711" customFormat="1">
      <c r="A150" s="3478"/>
      <c r="K150" s="3854"/>
      <c r="L150" s="3854"/>
    </row>
    <row r="151" spans="1:12" s="3711" customFormat="1">
      <c r="A151" s="3478"/>
      <c r="K151" s="3854"/>
      <c r="L151" s="3854"/>
    </row>
    <row r="152" spans="1:12" s="3711" customFormat="1">
      <c r="A152" s="3478"/>
      <c r="K152" s="3854"/>
      <c r="L152" s="3854"/>
    </row>
    <row r="153" spans="1:12" s="3711" customFormat="1">
      <c r="A153" s="3478"/>
      <c r="K153" s="3854"/>
      <c r="L153" s="3854"/>
    </row>
    <row r="154" spans="1:12" s="3711" customFormat="1">
      <c r="A154" s="3478"/>
      <c r="K154" s="3854"/>
      <c r="L154" s="3854"/>
    </row>
    <row r="155" spans="1:12" s="3711" customFormat="1">
      <c r="A155" s="3478"/>
      <c r="K155" s="3854"/>
      <c r="L155" s="3854"/>
    </row>
    <row r="156" spans="1:12" s="3711" customFormat="1">
      <c r="A156" s="3478"/>
      <c r="K156" s="3854"/>
      <c r="L156" s="3854"/>
    </row>
    <row r="157" spans="1:12" s="3711" customFormat="1">
      <c r="A157" s="3478"/>
      <c r="K157" s="3854"/>
      <c r="L157" s="3854"/>
    </row>
    <row r="158" spans="1:12" s="3711" customFormat="1">
      <c r="A158" s="3478"/>
      <c r="K158" s="3854"/>
      <c r="L158" s="3854"/>
    </row>
    <row r="159" spans="1:12" s="3711" customFormat="1">
      <c r="A159" s="3478"/>
      <c r="K159" s="3854"/>
      <c r="L159" s="3854"/>
    </row>
    <row r="160" spans="1:12" s="3711" customFormat="1">
      <c r="A160" s="3478"/>
      <c r="K160" s="3854"/>
      <c r="L160" s="3854"/>
    </row>
    <row r="161" spans="1:12" s="3711" customFormat="1">
      <c r="A161" s="3478"/>
      <c r="K161" s="3854"/>
      <c r="L161" s="3854"/>
    </row>
    <row r="162" spans="1:12" s="3711" customFormat="1">
      <c r="A162" s="3478"/>
      <c r="K162" s="3854"/>
      <c r="L162" s="3854"/>
    </row>
    <row r="163" spans="1:12" s="3711" customFormat="1">
      <c r="A163" s="3478"/>
      <c r="K163" s="3854"/>
      <c r="L163" s="3854"/>
    </row>
    <row r="164" spans="1:12" s="3711" customFormat="1">
      <c r="A164" s="3478"/>
      <c r="K164" s="3854"/>
      <c r="L164" s="3854"/>
    </row>
    <row r="165" spans="1:12" s="3711" customFormat="1">
      <c r="A165" s="3478"/>
      <c r="K165" s="3854"/>
      <c r="L165" s="3854"/>
    </row>
    <row r="166" spans="1:12" s="3711" customFormat="1">
      <c r="A166" s="3478"/>
      <c r="K166" s="3854"/>
      <c r="L166" s="3854"/>
    </row>
    <row r="167" spans="1:12" s="3711" customFormat="1">
      <c r="A167" s="3478"/>
      <c r="K167" s="3854"/>
      <c r="L167" s="3854"/>
    </row>
    <row r="168" spans="1:12" s="3711" customFormat="1">
      <c r="A168" s="3478"/>
      <c r="K168" s="3854"/>
      <c r="L168" s="3854"/>
    </row>
    <row r="169" spans="1:12" s="3711" customFormat="1">
      <c r="A169" s="3478"/>
      <c r="K169" s="3854"/>
      <c r="L169" s="3854"/>
    </row>
    <row r="170" spans="1:12" s="3711" customFormat="1">
      <c r="A170" s="3478"/>
      <c r="K170" s="3854"/>
      <c r="L170" s="3854"/>
    </row>
    <row r="171" spans="1:12" s="3711" customFormat="1">
      <c r="A171" s="3478"/>
      <c r="K171" s="3854"/>
      <c r="L171" s="3854"/>
    </row>
    <row r="172" spans="1:12" s="3711" customFormat="1">
      <c r="A172" s="3478"/>
      <c r="K172" s="3854"/>
      <c r="L172" s="3854"/>
    </row>
    <row r="173" spans="1:12" s="3711" customFormat="1">
      <c r="A173" s="3478"/>
      <c r="K173" s="3854"/>
      <c r="L173" s="3854"/>
    </row>
    <row r="174" spans="1:12" s="3711" customFormat="1">
      <c r="A174" s="3478"/>
      <c r="K174" s="3854"/>
      <c r="L174" s="385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3" t="s">
        <v>2279</v>
      </c>
      <c r="B1" s="4184"/>
      <c r="C1" s="4184"/>
      <c r="D1" s="4184"/>
      <c r="E1" s="4184"/>
      <c r="F1" s="4184"/>
      <c r="G1" s="4184"/>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9" zoomScale="90" zoomScaleNormal="60" zoomScaleSheetLayoutView="90" workbookViewId="0">
      <selection activeCell="D58" sqref="D58:O58"/>
    </sheetView>
  </sheetViews>
  <sheetFormatPr defaultColWidth="9" defaultRowHeight="14.25"/>
  <cols>
    <col min="1" max="1" width="10.5" style="3071" customWidth="1"/>
    <col min="2" max="3" width="15.75" style="3071" customWidth="1"/>
    <col min="4" max="4" width="12.25" style="3071" customWidth="1"/>
    <col min="5" max="5" width="17.125" style="3071" customWidth="1"/>
    <col min="6" max="6" width="12.25" style="3071" customWidth="1"/>
    <col min="7" max="7" width="16.5" style="3071" customWidth="1"/>
    <col min="8" max="8" width="12.25" style="3071" customWidth="1"/>
    <col min="9" max="9" width="15.625" style="3071" customWidth="1"/>
    <col min="10" max="15" width="12.25" style="3071" customWidth="1"/>
    <col min="16" max="16" width="4.75" style="3201" customWidth="1"/>
    <col min="17" max="17" width="19.5" style="3071" customWidth="1"/>
    <col min="18" max="22" width="6.125" style="3071" customWidth="1"/>
    <col min="23" max="23" width="5.75" style="3071" customWidth="1"/>
    <col min="24" max="24" width="4.25" style="3071" customWidth="1"/>
    <col min="25" max="25" width="3.5" style="3071" customWidth="1"/>
    <col min="26" max="26" width="19.75" style="3071" customWidth="1"/>
    <col min="27" max="28" width="9.375" style="3071" customWidth="1"/>
    <col min="29" max="16384" width="9" style="3071"/>
  </cols>
  <sheetData>
    <row r="1" spans="1:29" s="3046" customFormat="1" ht="28.5" customHeight="1" thickBot="1">
      <c r="A1" s="3035" t="s">
        <v>1659</v>
      </c>
      <c r="B1" s="3036" t="s">
        <v>1660</v>
      </c>
      <c r="C1" s="3037" t="s">
        <v>1661</v>
      </c>
      <c r="D1" s="3038" t="s">
        <v>3432</v>
      </c>
      <c r="E1" s="3039" t="s">
        <v>3637</v>
      </c>
      <c r="F1" s="3040" t="s">
        <v>3638</v>
      </c>
      <c r="G1" s="3041" t="s">
        <v>1662</v>
      </c>
      <c r="H1" s="3042"/>
      <c r="I1" s="3042"/>
      <c r="J1" s="3042"/>
      <c r="K1" s="3037"/>
      <c r="L1" s="3042"/>
      <c r="M1" s="3037"/>
      <c r="N1" s="3037"/>
      <c r="O1" s="3037"/>
      <c r="P1" s="3043"/>
      <c r="Q1" s="3044"/>
      <c r="R1" s="3044"/>
      <c r="S1" s="3044"/>
      <c r="T1" s="3044"/>
      <c r="U1" s="3044"/>
      <c r="V1" s="3044"/>
      <c r="W1" s="3044"/>
      <c r="X1" s="3044"/>
      <c r="Y1" s="3044"/>
      <c r="Z1" s="3044"/>
      <c r="AA1" s="3044"/>
      <c r="AB1" s="3044"/>
      <c r="AC1" s="3045"/>
    </row>
    <row r="2" spans="1:29" s="3059" customFormat="1" ht="28.5" customHeight="1" thickTop="1">
      <c r="A2" s="3047" t="s">
        <v>685</v>
      </c>
      <c r="B2" s="3364">
        <f ca="1">IF(E1="项目模式",IF(C2="——",ROUND(C49*D3/10000,0),ROUND(C49*D3/10000,0)-D2),IF(E1="单套模式",IF(C2="——",ROUND(C49*D3/10000,4),ROUND(C49*D3/10000,4)-D2)))</f>
        <v>63.552399999999999</v>
      </c>
      <c r="C2" s="3048"/>
      <c r="D2" s="3049">
        <f ca="1">IF(E1="项目模式",SUMIF(INDIRECT("'"&amp;F2&amp;"'"&amp;"!A:A"),"承租人权益价值",INDIRECT("'"&amp;F2&amp;"'"&amp;"!c:c")),SUMIF(INDIRECT("'"&amp;F2&amp;"'"&amp;"!A:A"),"承租人权益价值（单套）",INDIRECT("'"&amp;F2&amp;"'"&amp;"!c:c")))</f>
        <v>0</v>
      </c>
      <c r="E2" s="3050" t="s">
        <v>1663</v>
      </c>
      <c r="F2" s="3051" t="s">
        <v>3639</v>
      </c>
      <c r="G2" s="3052"/>
      <c r="H2" s="3052"/>
      <c r="I2" s="3052"/>
      <c r="J2" s="3052"/>
      <c r="K2" s="3053"/>
      <c r="L2" s="3054"/>
      <c r="M2" s="3055"/>
      <c r="N2" s="3055"/>
      <c r="O2" s="3055"/>
      <c r="P2" s="3056"/>
      <c r="Q2" s="3057"/>
      <c r="R2" s="3057"/>
      <c r="S2" s="3057"/>
      <c r="T2" s="3057"/>
      <c r="U2" s="3057"/>
      <c r="V2" s="3057"/>
      <c r="W2" s="3057"/>
      <c r="X2" s="3057"/>
      <c r="Y2" s="3057"/>
      <c r="Z2" s="3057"/>
      <c r="AA2" s="3057"/>
      <c r="AB2" s="3057"/>
      <c r="AC2" s="3058"/>
    </row>
    <row r="3" spans="1:29" s="3059" customFormat="1" ht="28.5" customHeight="1" thickBot="1">
      <c r="A3" s="3060" t="s">
        <v>686</v>
      </c>
      <c r="B3" s="3061">
        <f ca="1">IF(C2="——",C49,ROUND(B2*10000/D3,0))</f>
        <v>7952</v>
      </c>
      <c r="C3" s="3062" t="s">
        <v>1664</v>
      </c>
      <c r="D3" s="3061">
        <f>IF(D1="",'数据-汇总表'!E3,SUMIF('数据-汇总表'!$C19:$C33,D1,'数据-汇总表'!$E19:$E33))</f>
        <v>79.92</v>
      </c>
      <c r="E3" s="3052"/>
      <c r="F3" s="3063"/>
      <c r="G3" s="3052"/>
      <c r="H3" s="3052"/>
      <c r="I3" s="3052"/>
      <c r="J3" s="3052"/>
      <c r="K3" s="3053"/>
      <c r="L3" s="3054"/>
      <c r="M3" s="3055"/>
      <c r="N3" s="3055"/>
      <c r="O3" s="3055"/>
      <c r="P3" s="3056"/>
      <c r="Q3" s="3057"/>
      <c r="R3" s="3057"/>
      <c r="S3" s="3057"/>
      <c r="T3" s="3057"/>
      <c r="U3" s="3057"/>
      <c r="V3" s="3057"/>
      <c r="W3" s="3057"/>
      <c r="X3" s="3057"/>
      <c r="Y3" s="3057"/>
      <c r="Z3" s="3057"/>
      <c r="AA3" s="3057"/>
      <c r="AB3" s="3057"/>
      <c r="AC3" s="3064"/>
    </row>
    <row r="4" spans="1:29" ht="15">
      <c r="A4" s="3065" t="s">
        <v>1665</v>
      </c>
      <c r="B4" s="3066"/>
      <c r="C4" s="4204" t="s">
        <v>1666</v>
      </c>
      <c r="D4" s="4205"/>
      <c r="E4" s="4206" t="s">
        <v>1667</v>
      </c>
      <c r="F4" s="4207"/>
      <c r="G4" s="4204" t="s">
        <v>1668</v>
      </c>
      <c r="H4" s="4205"/>
      <c r="I4" s="4204" t="s">
        <v>1669</v>
      </c>
      <c r="J4" s="4205"/>
      <c r="K4" s="3067" t="s">
        <v>1670</v>
      </c>
      <c r="L4" s="3068"/>
      <c r="M4" s="3069"/>
      <c r="N4" s="3069"/>
      <c r="O4" s="3069"/>
      <c r="P4" s="4208" t="s">
        <v>1671</v>
      </c>
      <c r="Q4" s="4209"/>
      <c r="R4" s="4214" t="s">
        <v>1667</v>
      </c>
      <c r="S4" s="4215"/>
      <c r="T4" s="4214" t="s">
        <v>1668</v>
      </c>
      <c r="U4" s="4215"/>
      <c r="V4" s="4189" t="s">
        <v>1669</v>
      </c>
      <c r="W4" s="4189"/>
      <c r="X4" s="3070"/>
      <c r="Y4" s="4214" t="s">
        <v>1671</v>
      </c>
      <c r="Z4" s="4215"/>
      <c r="AA4" s="4201" t="s">
        <v>1667</v>
      </c>
      <c r="AB4" s="4201" t="s">
        <v>1668</v>
      </c>
      <c r="AC4" s="4201" t="s">
        <v>1669</v>
      </c>
    </row>
    <row r="5" spans="1:29" ht="15">
      <c r="A5" s="3072"/>
      <c r="B5" s="3073"/>
      <c r="C5" s="4222" t="s">
        <v>3441</v>
      </c>
      <c r="D5" s="4223"/>
      <c r="E5" s="4230" t="s">
        <v>3442</v>
      </c>
      <c r="F5" s="4231"/>
      <c r="G5" s="4222" t="s">
        <v>3636</v>
      </c>
      <c r="H5" s="4223"/>
      <c r="I5" s="4222" t="s">
        <v>3446</v>
      </c>
      <c r="J5" s="4223"/>
      <c r="K5" s="3074"/>
      <c r="L5" s="3068"/>
      <c r="M5" s="3069"/>
      <c r="N5" s="3069"/>
      <c r="O5" s="3069"/>
      <c r="P5" s="4210"/>
      <c r="Q5" s="4211"/>
      <c r="R5" s="4216"/>
      <c r="S5" s="4217"/>
      <c r="T5" s="4216"/>
      <c r="U5" s="4217"/>
      <c r="V5" s="4189"/>
      <c r="W5" s="4189"/>
      <c r="X5" s="3070"/>
      <c r="Y5" s="4216"/>
      <c r="Z5" s="4217"/>
      <c r="AA5" s="4202"/>
      <c r="AB5" s="4202"/>
      <c r="AC5" s="4202"/>
    </row>
    <row r="6" spans="1:29" ht="15.75" thickBot="1">
      <c r="A6" s="3075"/>
      <c r="B6" s="3076"/>
      <c r="C6" s="4227" t="str">
        <f>项目基本情况!F10</f>
        <v>朝阳区农丰里4号楼6门309号</v>
      </c>
      <c r="D6" s="4221"/>
      <c r="E6" s="4228" t="s">
        <v>3443</v>
      </c>
      <c r="F6" s="4229"/>
      <c r="G6" s="4220" t="s">
        <v>3445</v>
      </c>
      <c r="H6" s="4221"/>
      <c r="I6" s="4220" t="s">
        <v>3447</v>
      </c>
      <c r="J6" s="4221"/>
      <c r="K6" s="3074" t="s">
        <v>1677</v>
      </c>
      <c r="L6" s="3068"/>
      <c r="M6" s="3069"/>
      <c r="N6" s="3069"/>
      <c r="O6" s="3069"/>
      <c r="P6" s="4212"/>
      <c r="Q6" s="4213"/>
      <c r="R6" s="4216"/>
      <c r="S6" s="4217"/>
      <c r="T6" s="4218"/>
      <c r="U6" s="4219"/>
      <c r="V6" s="4189"/>
      <c r="W6" s="4189"/>
      <c r="X6" s="3070"/>
      <c r="Y6" s="4218"/>
      <c r="Z6" s="4219"/>
      <c r="AA6" s="4203"/>
      <c r="AB6" s="4203"/>
      <c r="AC6" s="4203"/>
    </row>
    <row r="7" spans="1:29" s="3087" customFormat="1" ht="15.75" thickBot="1">
      <c r="A7" s="3077" t="s">
        <v>1678</v>
      </c>
      <c r="B7" s="3078"/>
      <c r="C7" s="2900">
        <f>'数据-取费表'!B2</f>
        <v>39034</v>
      </c>
      <c r="D7" s="3079">
        <v>100</v>
      </c>
      <c r="E7" s="3363">
        <v>38657</v>
      </c>
      <c r="F7" s="3080">
        <f>SUMIF(58:58,YEAR(E7)&amp;"-"&amp;MONTH(E7),59:59)</f>
        <v>99.9</v>
      </c>
      <c r="G7" s="3363">
        <v>38991</v>
      </c>
      <c r="H7" s="3079">
        <f>SUMIF(58:58,YEAR(G7)&amp;"-"&amp;MONTH(G7),59:59)</f>
        <v>99.99</v>
      </c>
      <c r="I7" s="3363">
        <v>39022</v>
      </c>
      <c r="J7" s="3079">
        <f>SUMIF(58:58,YEAR(I7)&amp;"-"&amp;MONTH(I7),59:59)</f>
        <v>100</v>
      </c>
      <c r="K7" s="3074"/>
      <c r="L7" s="3081"/>
      <c r="M7" s="3082"/>
      <c r="N7" s="3082"/>
      <c r="O7" s="3082"/>
      <c r="P7" s="4224" t="s">
        <v>1679</v>
      </c>
      <c r="Q7" s="4226"/>
      <c r="R7" s="3083" t="s">
        <v>20</v>
      </c>
      <c r="S7" s="3084">
        <f t="shared" ref="S7:S15" si="0">F7</f>
        <v>99.9</v>
      </c>
      <c r="T7" s="3083" t="s">
        <v>20</v>
      </c>
      <c r="U7" s="3084">
        <f t="shared" ref="U7:U15" si="1">H7</f>
        <v>99.99</v>
      </c>
      <c r="V7" s="3083" t="s">
        <v>20</v>
      </c>
      <c r="W7" s="3084">
        <f t="shared" ref="W7:W15" si="2">J7</f>
        <v>100</v>
      </c>
      <c r="X7" s="3085"/>
      <c r="Y7" s="4224" t="s">
        <v>1679</v>
      </c>
      <c r="Z7" s="4225"/>
      <c r="AA7" s="3086">
        <f>D7/F7</f>
        <v>1.0010010010010009</v>
      </c>
      <c r="AB7" s="3086">
        <f>D7/H7</f>
        <v>1.0001000100010002</v>
      </c>
      <c r="AC7" s="3086">
        <f>D7/J7</f>
        <v>1</v>
      </c>
    </row>
    <row r="8" spans="1:29" s="3087" customFormat="1" ht="15.75" thickBot="1">
      <c r="A8" s="3077" t="s">
        <v>1680</v>
      </c>
      <c r="B8" s="3078"/>
      <c r="C8" s="3088" t="s">
        <v>3387</v>
      </c>
      <c r="D8" s="3079">
        <v>100</v>
      </c>
      <c r="E8" s="3089" t="s">
        <v>3387</v>
      </c>
      <c r="F8" s="3080">
        <f>SUMIF(61:61,E8,62:62)-SUMIF(61:61,C8,62:62)+100</f>
        <v>100</v>
      </c>
      <c r="G8" s="3088" t="s">
        <v>3387</v>
      </c>
      <c r="H8" s="3079">
        <f>SUMIF(61:61,G8,62:62)-SUMIF(61:61,C8,62:62)+100</f>
        <v>100</v>
      </c>
      <c r="I8" s="3089" t="s">
        <v>3387</v>
      </c>
      <c r="J8" s="3079">
        <f>SUMIF(61:61,I8,62:62)-SUMIF(61:61,C8,62:62)+100</f>
        <v>100</v>
      </c>
      <c r="K8" s="3074"/>
      <c r="L8" s="3081"/>
      <c r="M8" s="3082"/>
      <c r="N8" s="3082"/>
      <c r="O8" s="3082"/>
      <c r="P8" s="4224" t="s">
        <v>1682</v>
      </c>
      <c r="Q8" s="4225"/>
      <c r="R8" s="3083" t="s">
        <v>20</v>
      </c>
      <c r="S8" s="3084">
        <f t="shared" si="0"/>
        <v>100</v>
      </c>
      <c r="T8" s="3083" t="s">
        <v>20</v>
      </c>
      <c r="U8" s="3084">
        <f t="shared" si="1"/>
        <v>100</v>
      </c>
      <c r="V8" s="3083" t="s">
        <v>20</v>
      </c>
      <c r="W8" s="3084">
        <f t="shared" si="2"/>
        <v>100</v>
      </c>
      <c r="X8" s="3085"/>
      <c r="Y8" s="4224" t="s">
        <v>1682</v>
      </c>
      <c r="Z8" s="4225"/>
      <c r="AA8" s="3086">
        <f t="shared" ref="AA8:AA19" si="3">D8/F8</f>
        <v>1</v>
      </c>
      <c r="AB8" s="3086">
        <f t="shared" ref="AB8:AB19" si="4">D8/H8</f>
        <v>1</v>
      </c>
      <c r="AC8" s="3086">
        <f t="shared" ref="AC8:AC19" si="5">D8/J8</f>
        <v>1</v>
      </c>
    </row>
    <row r="9" spans="1:29" s="3087" customFormat="1" ht="15" thickBot="1">
      <c r="A9" s="3090" t="s">
        <v>1683</v>
      </c>
      <c r="B9" s="3091" t="s">
        <v>1684</v>
      </c>
      <c r="C9" s="3092" t="s">
        <v>3444</v>
      </c>
      <c r="D9" s="3093">
        <v>100</v>
      </c>
      <c r="E9" s="3094" t="s">
        <v>3432</v>
      </c>
      <c r="F9" s="3091">
        <f>SUMIF(63:63,E9,64:64)-SUMIF(63:63,C9,64:64)+100</f>
        <v>100</v>
      </c>
      <c r="G9" s="3095" t="s">
        <v>3432</v>
      </c>
      <c r="H9" s="3093">
        <f>SUMIF(63:63,G9,64:64)-SUMIF(63:63,C9,64:64)+100</f>
        <v>100</v>
      </c>
      <c r="I9" s="3095" t="s">
        <v>3432</v>
      </c>
      <c r="J9" s="3093">
        <f>SUMIF(63:63,I9,64:64)-SUMIF(63:63,C9,64:64)+100</f>
        <v>100</v>
      </c>
      <c r="K9" s="3074"/>
      <c r="L9" s="3081"/>
      <c r="M9" s="3082"/>
      <c r="N9" s="3082"/>
      <c r="O9" s="3082"/>
      <c r="P9" s="4199" t="s">
        <v>1685</v>
      </c>
      <c r="Q9" s="3096" t="str">
        <f t="shared" ref="Q9:Q15" si="6">B9</f>
        <v>用途</v>
      </c>
      <c r="R9" s="3083" t="s">
        <v>14</v>
      </c>
      <c r="S9" s="3084">
        <f t="shared" si="0"/>
        <v>100</v>
      </c>
      <c r="T9" s="3083" t="s">
        <v>14</v>
      </c>
      <c r="U9" s="3084">
        <f t="shared" si="1"/>
        <v>100</v>
      </c>
      <c r="V9" s="3083" t="s">
        <v>14</v>
      </c>
      <c r="W9" s="3084">
        <f t="shared" si="2"/>
        <v>100</v>
      </c>
      <c r="X9" s="3085"/>
      <c r="Y9" s="4200" t="s">
        <v>1686</v>
      </c>
      <c r="Z9" s="3086" t="str">
        <f t="shared" ref="Z9:Z15" si="7">Q9</f>
        <v>用途</v>
      </c>
      <c r="AA9" s="3086">
        <f t="shared" si="3"/>
        <v>1</v>
      </c>
      <c r="AB9" s="3086">
        <f t="shared" si="4"/>
        <v>1</v>
      </c>
      <c r="AC9" s="3086">
        <f t="shared" si="5"/>
        <v>1</v>
      </c>
    </row>
    <row r="10" spans="1:29" s="3104" customFormat="1" ht="27" hidden="1">
      <c r="A10" s="3097"/>
      <c r="B10" s="3098" t="s">
        <v>1687</v>
      </c>
      <c r="C10" s="3099"/>
      <c r="D10" s="3100">
        <v>100</v>
      </c>
      <c r="E10" s="3101"/>
      <c r="F10" s="3098">
        <f>SUMIF(65:65,E10,66:66)-SUMIF(65:65,C10,66:66)+100</f>
        <v>100</v>
      </c>
      <c r="G10" s="3099"/>
      <c r="H10" s="3100">
        <f>SUMIF(65:65,G10,66:66)-SUMIF(65:65,C10,66:66)+100</f>
        <v>100</v>
      </c>
      <c r="I10" s="3099"/>
      <c r="J10" s="3100">
        <f>SUMIF(65:65,I10,66:66)-SUMIF(65:65,C10,66:66)+100</f>
        <v>100</v>
      </c>
      <c r="K10" s="3074"/>
      <c r="L10" s="3102"/>
      <c r="M10" s="3103"/>
      <c r="N10" s="3103"/>
      <c r="O10" s="3103"/>
      <c r="P10" s="4199"/>
      <c r="Q10" s="3096" t="str">
        <f t="shared" si="6"/>
        <v>土地使用年限（年）</v>
      </c>
      <c r="R10" s="3083" t="s">
        <v>14</v>
      </c>
      <c r="S10" s="3084">
        <f t="shared" si="0"/>
        <v>100</v>
      </c>
      <c r="T10" s="3083" t="s">
        <v>14</v>
      </c>
      <c r="U10" s="3084">
        <f t="shared" si="1"/>
        <v>100</v>
      </c>
      <c r="V10" s="3083" t="s">
        <v>14</v>
      </c>
      <c r="W10" s="3084">
        <f t="shared" si="2"/>
        <v>100</v>
      </c>
      <c r="X10" s="3085"/>
      <c r="Y10" s="4200"/>
      <c r="Z10" s="3086" t="str">
        <f t="shared" si="7"/>
        <v>土地使用年限（年）</v>
      </c>
      <c r="AA10" s="3086">
        <f t="shared" si="3"/>
        <v>1</v>
      </c>
      <c r="AB10" s="3086">
        <f t="shared" si="4"/>
        <v>1</v>
      </c>
      <c r="AC10" s="3086">
        <f t="shared" si="5"/>
        <v>1</v>
      </c>
    </row>
    <row r="11" spans="1:29" ht="15" hidden="1">
      <c r="A11" s="3105"/>
      <c r="B11" s="3098" t="s">
        <v>1688</v>
      </c>
      <c r="C11" s="3099">
        <v>1</v>
      </c>
      <c r="D11" s="3100">
        <v>100</v>
      </c>
      <c r="E11" s="3101">
        <v>1</v>
      </c>
      <c r="F11" s="3098">
        <f>LOOKUP(E11,68:68,69:69)-LOOKUP(C11,68:68,69:69)+100</f>
        <v>100</v>
      </c>
      <c r="G11" s="3099">
        <v>1</v>
      </c>
      <c r="H11" s="3100">
        <f>LOOKUP(G11,68:68,69:69)-LOOKUP(C11,68:68,69:69)+100</f>
        <v>100</v>
      </c>
      <c r="I11" s="3099">
        <v>1</v>
      </c>
      <c r="J11" s="3100">
        <f>LOOKUP(I11,68:68,69:69)-LOOKUP(C11,68:68,69:69)+100</f>
        <v>100</v>
      </c>
      <c r="K11" s="3106"/>
      <c r="L11" s="3107"/>
      <c r="M11" s="3069"/>
      <c r="N11" s="3069"/>
      <c r="O11" s="3069"/>
      <c r="P11" s="4199"/>
      <c r="Q11" s="3096" t="str">
        <f t="shared" si="6"/>
        <v>容积率</v>
      </c>
      <c r="R11" s="3083" t="s">
        <v>18</v>
      </c>
      <c r="S11" s="3084">
        <f t="shared" si="0"/>
        <v>100</v>
      </c>
      <c r="T11" s="3083" t="s">
        <v>18</v>
      </c>
      <c r="U11" s="3084">
        <f t="shared" si="1"/>
        <v>100</v>
      </c>
      <c r="V11" s="3083" t="s">
        <v>18</v>
      </c>
      <c r="W11" s="3084">
        <f t="shared" si="2"/>
        <v>100</v>
      </c>
      <c r="X11" s="3085"/>
      <c r="Y11" s="4200"/>
      <c r="Z11" s="3086" t="str">
        <f t="shared" si="7"/>
        <v>容积率</v>
      </c>
      <c r="AA11" s="3086">
        <f t="shared" si="3"/>
        <v>1</v>
      </c>
      <c r="AB11" s="3086">
        <f t="shared" si="4"/>
        <v>1</v>
      </c>
      <c r="AC11" s="3086">
        <f t="shared" si="5"/>
        <v>1</v>
      </c>
    </row>
    <row r="12" spans="1:29" s="3087" customFormat="1" ht="15" hidden="1">
      <c r="A12" s="3108"/>
      <c r="B12" s="3109">
        <v>111</v>
      </c>
      <c r="C12" s="3110"/>
      <c r="D12" s="3111">
        <v>100</v>
      </c>
      <c r="E12" s="3110"/>
      <c r="F12" s="3098">
        <f>SUMIF(70:70,E12,71:71)-SUMIF(70:70,C12,71:71)+100</f>
        <v>100</v>
      </c>
      <c r="G12" s="3110"/>
      <c r="H12" s="3100">
        <f>SUMIF(70:70,G12,71:71)-SUMIF(70:70,C12,71:71)+100</f>
        <v>100</v>
      </c>
      <c r="I12" s="3110"/>
      <c r="J12" s="3100">
        <f>SUMIF(70:70,I12,71:71)-SUMIF(70:70,C12,71:71)+100</f>
        <v>100</v>
      </c>
      <c r="K12" s="3112"/>
      <c r="L12" s="3081"/>
      <c r="M12" s="3082"/>
      <c r="N12" s="3082"/>
      <c r="O12" s="3082"/>
      <c r="P12" s="4199"/>
      <c r="Q12" s="3096">
        <f t="shared" si="6"/>
        <v>111</v>
      </c>
      <c r="R12" s="3083" t="s">
        <v>18</v>
      </c>
      <c r="S12" s="3084">
        <f t="shared" si="0"/>
        <v>100</v>
      </c>
      <c r="T12" s="3083" t="s">
        <v>18</v>
      </c>
      <c r="U12" s="3084">
        <f t="shared" si="1"/>
        <v>100</v>
      </c>
      <c r="V12" s="3083" t="s">
        <v>18</v>
      </c>
      <c r="W12" s="3084">
        <f t="shared" si="2"/>
        <v>100</v>
      </c>
      <c r="X12" s="3085"/>
      <c r="Y12" s="4200"/>
      <c r="Z12" s="3086">
        <f t="shared" si="7"/>
        <v>111</v>
      </c>
      <c r="AA12" s="3086">
        <f>D12/F12</f>
        <v>1</v>
      </c>
      <c r="AB12" s="3086">
        <f>D12/H12</f>
        <v>1</v>
      </c>
      <c r="AC12" s="3086">
        <f>D12/J12</f>
        <v>1</v>
      </c>
    </row>
    <row r="13" spans="1:29" ht="15" hidden="1">
      <c r="A13" s="3105"/>
      <c r="B13" s="3109">
        <v>111</v>
      </c>
      <c r="C13" s="3113"/>
      <c r="D13" s="3114">
        <v>100</v>
      </c>
      <c r="E13" s="3113"/>
      <c r="F13" s="3098">
        <f>SUMIF(72:72,E13,73:73)-SUMIF(72:72,C13,73:73)+100</f>
        <v>100</v>
      </c>
      <c r="G13" s="3113"/>
      <c r="H13" s="3114">
        <f>SUMIF(72:72,G13,73:73)-SUMIF(72:72,C13,73:73)+100</f>
        <v>100</v>
      </c>
      <c r="I13" s="3113"/>
      <c r="J13" s="3114">
        <f>SUMIF(72:72,I13,73:73)-SUMIF(72:72,C13,73:73)+100</f>
        <v>100</v>
      </c>
      <c r="K13" s="3112"/>
      <c r="L13" s="3115"/>
      <c r="M13" s="3069"/>
      <c r="N13" s="3069"/>
      <c r="O13" s="3069"/>
      <c r="P13" s="4199"/>
      <c r="Q13" s="3096">
        <f t="shared" si="6"/>
        <v>111</v>
      </c>
      <c r="R13" s="3083" t="s">
        <v>18</v>
      </c>
      <c r="S13" s="3084">
        <f t="shared" si="0"/>
        <v>100</v>
      </c>
      <c r="T13" s="3083" t="s">
        <v>18</v>
      </c>
      <c r="U13" s="3084">
        <f t="shared" si="1"/>
        <v>100</v>
      </c>
      <c r="V13" s="3083" t="s">
        <v>18</v>
      </c>
      <c r="W13" s="3084">
        <f t="shared" si="2"/>
        <v>100</v>
      </c>
      <c r="X13" s="3085"/>
      <c r="Y13" s="4200"/>
      <c r="Z13" s="3086">
        <f t="shared" si="7"/>
        <v>111</v>
      </c>
      <c r="AA13" s="3086">
        <f t="shared" si="3"/>
        <v>1</v>
      </c>
      <c r="AB13" s="3086">
        <f t="shared" si="4"/>
        <v>1</v>
      </c>
      <c r="AC13" s="3086">
        <f t="shared" si="5"/>
        <v>1</v>
      </c>
    </row>
    <row r="14" spans="1:29" ht="15.75" hidden="1" thickBot="1">
      <c r="A14" s="3116"/>
      <c r="B14" s="3117">
        <v>111</v>
      </c>
      <c r="C14" s="3118"/>
      <c r="D14" s="3119">
        <v>100</v>
      </c>
      <c r="E14" s="3118"/>
      <c r="F14" s="3120">
        <f>SUMIF(74:74,E14,75:75)-SUMIF(74:74,C14,75:75)+100</f>
        <v>100</v>
      </c>
      <c r="G14" s="3118"/>
      <c r="H14" s="3119">
        <f>SUMIF(74:74,G14,75:75)-SUMIF(74:74,C14,75:75)+100</f>
        <v>100</v>
      </c>
      <c r="I14" s="3118"/>
      <c r="J14" s="3119">
        <f>SUMIF(74:74,I14,75:75)-SUMIF(74:74,C14,75:75)+100</f>
        <v>100</v>
      </c>
      <c r="K14" s="3112"/>
      <c r="L14" s="3115"/>
      <c r="M14" s="3069"/>
      <c r="N14" s="3069"/>
      <c r="O14" s="3069"/>
      <c r="P14" s="4199"/>
      <c r="Q14" s="3096">
        <f t="shared" si="6"/>
        <v>111</v>
      </c>
      <c r="R14" s="3083" t="s">
        <v>18</v>
      </c>
      <c r="S14" s="3084">
        <f t="shared" si="0"/>
        <v>100</v>
      </c>
      <c r="T14" s="3083" t="s">
        <v>18</v>
      </c>
      <c r="U14" s="3084">
        <f t="shared" si="1"/>
        <v>100</v>
      </c>
      <c r="V14" s="3083" t="s">
        <v>18</v>
      </c>
      <c r="W14" s="3084">
        <f t="shared" si="2"/>
        <v>100</v>
      </c>
      <c r="X14" s="3085"/>
      <c r="Y14" s="4200"/>
      <c r="Z14" s="3086">
        <f t="shared" si="7"/>
        <v>111</v>
      </c>
      <c r="AA14" s="3086">
        <f t="shared" si="3"/>
        <v>1</v>
      </c>
      <c r="AB14" s="3086">
        <f t="shared" si="4"/>
        <v>1</v>
      </c>
      <c r="AC14" s="3086">
        <f t="shared" si="5"/>
        <v>1</v>
      </c>
    </row>
    <row r="15" spans="1:29" ht="71.25">
      <c r="A15" s="3121" t="s">
        <v>1689</v>
      </c>
      <c r="B15" s="3122" t="s">
        <v>1256</v>
      </c>
      <c r="C15" s="3123" t="str">
        <f>估价对象房地状况!C3</f>
        <v>估价对象周边有核桃园北里、化石营小区等居住小区，居住社区成熟度较一般</v>
      </c>
      <c r="D15" s="3124">
        <v>100</v>
      </c>
      <c r="E15" s="3125"/>
      <c r="F15" s="3124">
        <f>SUMIF(76:76,E16,77:77)-SUMIF(76:76,C16,77:77)+100</f>
        <v>100</v>
      </c>
      <c r="G15" s="3126"/>
      <c r="H15" s="3124">
        <f>SUMIF(76:76,G16,77:77)-SUMIF(76:76,C16,77:77)+100</f>
        <v>100</v>
      </c>
      <c r="I15" s="3126"/>
      <c r="J15" s="3124">
        <f>SUMIF(76:76,I16,77:77)-SUMIF(76:76,C16,77:77)+100</f>
        <v>100</v>
      </c>
      <c r="K15" s="3127">
        <v>2</v>
      </c>
      <c r="L15" s="3115"/>
      <c r="M15" s="3069"/>
      <c r="N15" s="3069"/>
      <c r="O15" s="3069"/>
      <c r="P15" s="4197" t="s">
        <v>1690</v>
      </c>
      <c r="Q15" s="3128" t="str">
        <f t="shared" si="6"/>
        <v>居住社区成熟度</v>
      </c>
      <c r="R15" s="3129" t="s">
        <v>18</v>
      </c>
      <c r="S15" s="3130">
        <f t="shared" si="0"/>
        <v>100</v>
      </c>
      <c r="T15" s="3129" t="s">
        <v>18</v>
      </c>
      <c r="U15" s="3130">
        <f t="shared" si="1"/>
        <v>100</v>
      </c>
      <c r="V15" s="3129" t="s">
        <v>18</v>
      </c>
      <c r="W15" s="3130">
        <f t="shared" si="2"/>
        <v>100</v>
      </c>
      <c r="X15" s="3070"/>
      <c r="Y15" s="4190" t="s">
        <v>1690</v>
      </c>
      <c r="Z15" s="3131" t="str">
        <f t="shared" si="7"/>
        <v>居住社区成熟度</v>
      </c>
      <c r="AA15" s="3131">
        <f t="shared" si="3"/>
        <v>1</v>
      </c>
      <c r="AB15" s="3131">
        <f t="shared" si="4"/>
        <v>1</v>
      </c>
      <c r="AC15" s="3131">
        <f t="shared" si="5"/>
        <v>1</v>
      </c>
    </row>
    <row r="16" spans="1:29" ht="15">
      <c r="A16" s="3105"/>
      <c r="B16" s="3132"/>
      <c r="C16" s="3133" t="s">
        <v>3385</v>
      </c>
      <c r="D16" s="3134"/>
      <c r="E16" s="3133" t="s">
        <v>3385</v>
      </c>
      <c r="F16" s="3134"/>
      <c r="G16" s="3135" t="s">
        <v>3385</v>
      </c>
      <c r="H16" s="3136"/>
      <c r="I16" s="3135" t="s">
        <v>3385</v>
      </c>
      <c r="J16" s="3134"/>
      <c r="K16" s="3137"/>
      <c r="L16" s="3115"/>
      <c r="M16" s="3069"/>
      <c r="N16" s="3069"/>
      <c r="O16" s="3069"/>
      <c r="P16" s="4198"/>
      <c r="Q16" s="3128"/>
      <c r="R16" s="3129"/>
      <c r="S16" s="3130"/>
      <c r="T16" s="3129"/>
      <c r="U16" s="3130"/>
      <c r="V16" s="3129"/>
      <c r="W16" s="3130"/>
      <c r="X16" s="3070"/>
      <c r="Y16" s="4191"/>
      <c r="Z16" s="3131"/>
      <c r="AA16" s="3131">
        <v>1</v>
      </c>
      <c r="AB16" s="3131">
        <v>1</v>
      </c>
      <c r="AC16" s="3131">
        <v>1</v>
      </c>
    </row>
    <row r="17" spans="1:29" ht="142.5">
      <c r="A17" s="3105"/>
      <c r="B17" s="3138" t="s">
        <v>1258</v>
      </c>
      <c r="C17" s="3139" t="str">
        <f>估价对象房地状况!C6</f>
        <v>估价对象临朝阳北路；周边有28路、75路、109路、126路等多条公交车通过，公共交通较方便；小区内地上停车位较少，周边停车位紧张；综合评价交通便捷度一般</v>
      </c>
      <c r="D17" s="3136">
        <v>100</v>
      </c>
      <c r="E17" s="3140"/>
      <c r="F17" s="3136">
        <f>SUMIF(78:78,E18,79:79)-SUMIF(78:78,C18,79:79)+100</f>
        <v>100</v>
      </c>
      <c r="G17" s="3141"/>
      <c r="H17" s="3142">
        <f>SUMIF(78:78,G18,79:79)-SUMIF(78:78,C18,79:79)+100</f>
        <v>100</v>
      </c>
      <c r="I17" s="3141"/>
      <c r="J17" s="3142">
        <f>SUMIF(78:78,I18,79:79)-SUMIF(78:78,C18,79:79)+100</f>
        <v>100</v>
      </c>
      <c r="K17" s="3127">
        <v>2</v>
      </c>
      <c r="L17" s="3115"/>
      <c r="M17" s="3069"/>
      <c r="N17" s="3069"/>
      <c r="O17" s="3069"/>
      <c r="P17" s="4198"/>
      <c r="Q17" s="3128" t="str">
        <f>B17</f>
        <v>交通便捷度</v>
      </c>
      <c r="R17" s="3129" t="s">
        <v>18</v>
      </c>
      <c r="S17" s="3130">
        <f>F17</f>
        <v>100</v>
      </c>
      <c r="T17" s="3129" t="s">
        <v>18</v>
      </c>
      <c r="U17" s="3130">
        <f>H17</f>
        <v>100</v>
      </c>
      <c r="V17" s="3129" t="s">
        <v>18</v>
      </c>
      <c r="W17" s="3130">
        <f>J17</f>
        <v>100</v>
      </c>
      <c r="X17" s="3070"/>
      <c r="Y17" s="4191"/>
      <c r="Z17" s="3131" t="str">
        <f>Q17</f>
        <v>交通便捷度</v>
      </c>
      <c r="AA17" s="3131">
        <f t="shared" si="3"/>
        <v>1</v>
      </c>
      <c r="AB17" s="3131">
        <f t="shared" si="4"/>
        <v>1</v>
      </c>
      <c r="AC17" s="3131">
        <f t="shared" si="5"/>
        <v>1</v>
      </c>
    </row>
    <row r="18" spans="1:29" ht="15">
      <c r="A18" s="3105"/>
      <c r="B18" s="3143"/>
      <c r="C18" s="3144" t="s">
        <v>3385</v>
      </c>
      <c r="D18" s="3136"/>
      <c r="E18" s="3144" t="s">
        <v>3385</v>
      </c>
      <c r="F18" s="3136"/>
      <c r="G18" s="3145" t="s">
        <v>3385</v>
      </c>
      <c r="H18" s="3134"/>
      <c r="I18" s="3145" t="s">
        <v>3385</v>
      </c>
      <c r="J18" s="3134"/>
      <c r="K18" s="3137"/>
      <c r="L18" s="3115"/>
      <c r="M18" s="3069"/>
      <c r="N18" s="3069"/>
      <c r="O18" s="3069"/>
      <c r="P18" s="4198"/>
      <c r="Q18" s="3128"/>
      <c r="R18" s="3129"/>
      <c r="S18" s="3130"/>
      <c r="T18" s="3129"/>
      <c r="U18" s="3130"/>
      <c r="V18" s="3129"/>
      <c r="W18" s="3130"/>
      <c r="X18" s="3070"/>
      <c r="Y18" s="4191"/>
      <c r="Z18" s="3131"/>
      <c r="AA18" s="3131">
        <v>1</v>
      </c>
      <c r="AB18" s="3131">
        <v>1</v>
      </c>
      <c r="AC18" s="3131">
        <v>1</v>
      </c>
    </row>
    <row r="19" spans="1:29" ht="213.75">
      <c r="A19" s="3105"/>
      <c r="B19" s="3138" t="s">
        <v>1257</v>
      </c>
      <c r="C19" s="3139"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2">
        <v>100</v>
      </c>
      <c r="E19" s="3146"/>
      <c r="F19" s="3142">
        <f>SUMIF(80:80,E20,81:81)-SUMIF(80:80,C20,81:81)+100</f>
        <v>100</v>
      </c>
      <c r="G19" s="3147"/>
      <c r="H19" s="3136">
        <f>SUMIF(80:80,G20,81:81)-SUMIF(80:80,C20,81:81)+100</f>
        <v>100</v>
      </c>
      <c r="I19" s="3147"/>
      <c r="J19" s="3136">
        <f>SUMIF(80:80,I20,81:81)-SUMIF(80:80,C20,81:81)+100</f>
        <v>100</v>
      </c>
      <c r="K19" s="3127">
        <v>2</v>
      </c>
      <c r="L19" s="3115"/>
      <c r="M19" s="3069"/>
      <c r="N19" s="3069"/>
      <c r="O19" s="3069"/>
      <c r="P19" s="4198"/>
      <c r="Q19" s="3128" t="str">
        <f>B19</f>
        <v>公共配套设施</v>
      </c>
      <c r="R19" s="3129" t="s">
        <v>18</v>
      </c>
      <c r="S19" s="3130">
        <f>F19</f>
        <v>100</v>
      </c>
      <c r="T19" s="3129" t="s">
        <v>18</v>
      </c>
      <c r="U19" s="3130">
        <f>H19</f>
        <v>100</v>
      </c>
      <c r="V19" s="3129" t="s">
        <v>18</v>
      </c>
      <c r="W19" s="3130">
        <f>J19</f>
        <v>100</v>
      </c>
      <c r="X19" s="3070"/>
      <c r="Y19" s="4191"/>
      <c r="Z19" s="3131" t="str">
        <f>Q19</f>
        <v>公共配套设施</v>
      </c>
      <c r="AA19" s="3131">
        <f t="shared" si="3"/>
        <v>1</v>
      </c>
      <c r="AB19" s="3131">
        <f t="shared" si="4"/>
        <v>1</v>
      </c>
      <c r="AC19" s="3131">
        <f t="shared" si="5"/>
        <v>1</v>
      </c>
    </row>
    <row r="20" spans="1:29" ht="15">
      <c r="A20" s="3105"/>
      <c r="B20" s="3143"/>
      <c r="C20" s="3133" t="s">
        <v>3384</v>
      </c>
      <c r="D20" s="3134"/>
      <c r="E20" s="3133" t="s">
        <v>3384</v>
      </c>
      <c r="F20" s="3134"/>
      <c r="G20" s="3135" t="s">
        <v>3384</v>
      </c>
      <c r="H20" s="3134"/>
      <c r="I20" s="3135" t="s">
        <v>3384</v>
      </c>
      <c r="J20" s="3134"/>
      <c r="K20" s="3137"/>
      <c r="L20" s="3115"/>
      <c r="M20" s="3069"/>
      <c r="N20" s="3069"/>
      <c r="O20" s="3069"/>
      <c r="P20" s="4198"/>
      <c r="Q20" s="3128"/>
      <c r="R20" s="3129"/>
      <c r="S20" s="3130"/>
      <c r="T20" s="3129"/>
      <c r="U20" s="3130"/>
      <c r="V20" s="3129"/>
      <c r="W20" s="3130"/>
      <c r="X20" s="3070"/>
      <c r="Y20" s="4191"/>
      <c r="Z20" s="3131"/>
      <c r="AA20" s="3131">
        <v>1</v>
      </c>
      <c r="AB20" s="3131">
        <v>1</v>
      </c>
      <c r="AC20" s="3131">
        <v>1</v>
      </c>
    </row>
    <row r="21" spans="1:29" ht="28.5">
      <c r="A21" s="3105"/>
      <c r="B21" s="3148" t="s">
        <v>1259</v>
      </c>
      <c r="C21" s="3139" t="str">
        <f>估价对象房地状况!C8</f>
        <v>估价对象所在区域基础设施水平七通</v>
      </c>
      <c r="D21" s="3136">
        <v>100</v>
      </c>
      <c r="E21" s="3146"/>
      <c r="F21" s="3142">
        <f>SUMIF(82:82,E22,83:83)-SUMIF(82:82,C22,83:83)+100</f>
        <v>100</v>
      </c>
      <c r="G21" s="3147"/>
      <c r="H21" s="3136">
        <f>SUMIF(82:82,G22,83:83)-SUMIF(82:82,C22,83:83)+100</f>
        <v>100</v>
      </c>
      <c r="I21" s="3147"/>
      <c r="J21" s="3136">
        <f>SUMIF(82:82,I22,83:83)-SUMIF(82:82,C22,83:83)+100</f>
        <v>100</v>
      </c>
      <c r="K21" s="3127"/>
      <c r="L21" s="3115"/>
      <c r="M21" s="3069"/>
      <c r="N21" s="3069"/>
      <c r="O21" s="3069"/>
      <c r="P21" s="4198"/>
      <c r="Q21" s="3128" t="str">
        <f>B21</f>
        <v>基础设施水平</v>
      </c>
      <c r="R21" s="3129" t="s">
        <v>14</v>
      </c>
      <c r="S21" s="3130">
        <f>F21</f>
        <v>100</v>
      </c>
      <c r="T21" s="3129" t="s">
        <v>14</v>
      </c>
      <c r="U21" s="3130">
        <f>H21</f>
        <v>100</v>
      </c>
      <c r="V21" s="3129" t="s">
        <v>14</v>
      </c>
      <c r="W21" s="3130">
        <f>J21</f>
        <v>100</v>
      </c>
      <c r="X21" s="3070"/>
      <c r="Y21" s="4191"/>
      <c r="Z21" s="3131" t="str">
        <f>Q21</f>
        <v>基础设施水平</v>
      </c>
      <c r="AA21" s="3131">
        <f t="shared" ref="AA21" si="8">D21/F21</f>
        <v>1</v>
      </c>
      <c r="AB21" s="3131">
        <f t="shared" ref="AB21" si="9">D21/H21</f>
        <v>1</v>
      </c>
      <c r="AC21" s="3131">
        <f t="shared" ref="AC21" si="10">D21/J21</f>
        <v>1</v>
      </c>
    </row>
    <row r="22" spans="1:29" ht="15">
      <c r="A22" s="3105"/>
      <c r="B22" s="3148"/>
      <c r="C22" s="3144" t="s">
        <v>3386</v>
      </c>
      <c r="D22" s="3134"/>
      <c r="E22" s="3133" t="s">
        <v>3386</v>
      </c>
      <c r="F22" s="3134"/>
      <c r="G22" s="3135" t="s">
        <v>3386</v>
      </c>
      <c r="H22" s="3134"/>
      <c r="I22" s="3133" t="s">
        <v>3386</v>
      </c>
      <c r="J22" s="3134"/>
      <c r="K22" s="3149"/>
      <c r="L22" s="3115"/>
      <c r="M22" s="3069"/>
      <c r="N22" s="3069"/>
      <c r="O22" s="3069"/>
      <c r="P22" s="4198"/>
      <c r="Q22" s="3128"/>
      <c r="R22" s="3129"/>
      <c r="S22" s="3130"/>
      <c r="T22" s="3129"/>
      <c r="U22" s="3130"/>
      <c r="V22" s="3129"/>
      <c r="W22" s="3130"/>
      <c r="X22" s="3070"/>
      <c r="Y22" s="4191"/>
      <c r="Z22" s="3131"/>
      <c r="AA22" s="3131">
        <v>1</v>
      </c>
      <c r="AB22" s="3131">
        <v>1</v>
      </c>
      <c r="AC22" s="3131">
        <v>1</v>
      </c>
    </row>
    <row r="23" spans="1:29" ht="128.25">
      <c r="A23" s="3105"/>
      <c r="B23" s="3138" t="s">
        <v>1260</v>
      </c>
      <c r="C23" s="3139" t="str">
        <f>估价对象房地状况!C9</f>
        <v>估价对象周边绿化较少，距团洁湖公园约1公里，区域自然环境一般；距北京工人体育场约900米，人文环境较好；综合评价自然及人文环境状况一般</v>
      </c>
      <c r="D23" s="3136">
        <v>100</v>
      </c>
      <c r="E23" s="3140"/>
      <c r="F23" s="3136">
        <f>SUMIF(84:84,E24,85:85)-SUMIF(84:84,C24,85:85)+100</f>
        <v>100</v>
      </c>
      <c r="G23" s="3141"/>
      <c r="H23" s="3136">
        <f>SUMIF(84:84,G24,85:85)-SUMIF(84:84,C24,85:85)+100</f>
        <v>100</v>
      </c>
      <c r="I23" s="3141"/>
      <c r="J23" s="3136">
        <f>SUMIF(84:84,I24,85:85)-SUMIF(84:84,C24,85:85)+100</f>
        <v>100</v>
      </c>
      <c r="K23" s="3127"/>
      <c r="L23" s="3115"/>
      <c r="M23" s="3069"/>
      <c r="N23" s="3069"/>
      <c r="O23" s="3069"/>
      <c r="P23" s="4198"/>
      <c r="Q23" s="3128" t="str">
        <f>B23</f>
        <v>自然及人文环境</v>
      </c>
      <c r="R23" s="3129" t="s">
        <v>18</v>
      </c>
      <c r="S23" s="3130">
        <f>F23</f>
        <v>100</v>
      </c>
      <c r="T23" s="3129" t="s">
        <v>18</v>
      </c>
      <c r="U23" s="3130">
        <f>H23</f>
        <v>100</v>
      </c>
      <c r="V23" s="3129" t="s">
        <v>18</v>
      </c>
      <c r="W23" s="3130">
        <f>J23</f>
        <v>100</v>
      </c>
      <c r="X23" s="3070"/>
      <c r="Y23" s="4191"/>
      <c r="Z23" s="3131" t="str">
        <f>Q23</f>
        <v>自然及人文环境</v>
      </c>
      <c r="AA23" s="3131">
        <f>D23/F23</f>
        <v>1</v>
      </c>
      <c r="AB23" s="3131">
        <f>D23/H23</f>
        <v>1</v>
      </c>
      <c r="AC23" s="3131">
        <f>D23/J23</f>
        <v>1</v>
      </c>
    </row>
    <row r="24" spans="1:29" ht="15">
      <c r="A24" s="3105"/>
      <c r="B24" s="3143"/>
      <c r="C24" s="3133" t="s">
        <v>3385</v>
      </c>
      <c r="D24" s="3134"/>
      <c r="E24" s="3133" t="s">
        <v>3385</v>
      </c>
      <c r="F24" s="3134"/>
      <c r="G24" s="3135" t="s">
        <v>3385</v>
      </c>
      <c r="H24" s="3134"/>
      <c r="I24" s="3135" t="s">
        <v>3385</v>
      </c>
      <c r="J24" s="3134"/>
      <c r="K24" s="3137"/>
      <c r="L24" s="3115"/>
      <c r="M24" s="3069"/>
      <c r="N24" s="3069"/>
      <c r="O24" s="3069"/>
      <c r="P24" s="4198"/>
      <c r="Q24" s="3128"/>
      <c r="R24" s="3129"/>
      <c r="S24" s="3130"/>
      <c r="T24" s="3129"/>
      <c r="U24" s="3130"/>
      <c r="V24" s="3129"/>
      <c r="W24" s="3130"/>
      <c r="X24" s="3070"/>
      <c r="Y24" s="4191"/>
      <c r="Z24" s="3131"/>
      <c r="AA24" s="3131">
        <v>1</v>
      </c>
      <c r="AB24" s="3131">
        <v>1</v>
      </c>
      <c r="AC24" s="3131">
        <v>1</v>
      </c>
    </row>
    <row r="25" spans="1:29" ht="15">
      <c r="A25" s="3105"/>
      <c r="B25" s="3098" t="s">
        <v>1691</v>
      </c>
      <c r="C25" s="3150"/>
      <c r="D25" s="3114">
        <v>100</v>
      </c>
      <c r="E25" s="3150"/>
      <c r="F25" s="3114">
        <f>SUMIF(86:86,E25,87:87)-SUMIF(86:86,C25,87:87)+100</f>
        <v>100</v>
      </c>
      <c r="G25" s="3151"/>
      <c r="H25" s="3114">
        <f>SUMIF(86:86,G25,87:87)-SUMIF(86:86,C25,87:87)+100</f>
        <v>100</v>
      </c>
      <c r="I25" s="3151"/>
      <c r="J25" s="3114">
        <f>SUMIF(86:86,I25,87:87)-SUMIF(86:86,C25,87:87)+100</f>
        <v>100</v>
      </c>
      <c r="K25" s="3106">
        <v>1</v>
      </c>
      <c r="L25" s="3115"/>
      <c r="M25" s="3069"/>
      <c r="N25" s="3069"/>
      <c r="O25" s="3069"/>
      <c r="P25" s="4198"/>
      <c r="Q25" s="3128" t="str">
        <f t="shared" ref="Q25:Q46" si="11">B25</f>
        <v>楼层-1</v>
      </c>
      <c r="R25" s="3129" t="s">
        <v>18</v>
      </c>
      <c r="S25" s="3130">
        <f t="shared" ref="S25:S46" si="12">F25</f>
        <v>100</v>
      </c>
      <c r="T25" s="3129" t="s">
        <v>18</v>
      </c>
      <c r="U25" s="3130">
        <f t="shared" ref="U25:U46" si="13">H25</f>
        <v>100</v>
      </c>
      <c r="V25" s="3129" t="s">
        <v>18</v>
      </c>
      <c r="W25" s="3130">
        <f t="shared" ref="W25:W46" si="14">J25</f>
        <v>100</v>
      </c>
      <c r="X25" s="3070"/>
      <c r="Y25" s="4191"/>
      <c r="Z25" s="3131" t="str">
        <f>Q25</f>
        <v>楼层-1</v>
      </c>
      <c r="AA25" s="3131">
        <f t="shared" ref="AA25:AA46" si="15">D25/F25</f>
        <v>1</v>
      </c>
      <c r="AB25" s="3131">
        <f t="shared" ref="AB25:AB46" si="16">D25/H25</f>
        <v>1</v>
      </c>
      <c r="AC25" s="3131">
        <f t="shared" ref="AC25:AC46" si="17">D25/J25</f>
        <v>1</v>
      </c>
    </row>
    <row r="26" spans="1:29" ht="15">
      <c r="A26" s="3105"/>
      <c r="B26" s="3098" t="s">
        <v>1692</v>
      </c>
      <c r="C26" s="3150"/>
      <c r="D26" s="3114">
        <v>100</v>
      </c>
      <c r="E26" s="3150"/>
      <c r="F26" s="3114">
        <f>SUMIF(88:88,E26,89:89)-SUMIF(88:88,C26,89:89)+100</f>
        <v>100</v>
      </c>
      <c r="G26" s="3151"/>
      <c r="H26" s="3114">
        <f>SUMIF(88:88,G26,89:89)-SUMIF(88:88,C26,89:89)+100</f>
        <v>100</v>
      </c>
      <c r="I26" s="3151"/>
      <c r="J26" s="3114">
        <f>SUMIF(88:88,I26,89:89)-SUMIF(88:88,C26,89:89)+100</f>
        <v>100</v>
      </c>
      <c r="K26" s="3106"/>
      <c r="L26" s="3115"/>
      <c r="M26" s="3069"/>
      <c r="N26" s="3069"/>
      <c r="O26" s="3069"/>
      <c r="P26" s="4198"/>
      <c r="Q26" s="3128" t="str">
        <f t="shared" si="11"/>
        <v>朝向</v>
      </c>
      <c r="R26" s="3129" t="s">
        <v>18</v>
      </c>
      <c r="S26" s="3130">
        <f t="shared" si="12"/>
        <v>100</v>
      </c>
      <c r="T26" s="3129" t="s">
        <v>18</v>
      </c>
      <c r="U26" s="3130">
        <f t="shared" si="13"/>
        <v>100</v>
      </c>
      <c r="V26" s="3129" t="s">
        <v>18</v>
      </c>
      <c r="W26" s="3130">
        <f t="shared" si="14"/>
        <v>100</v>
      </c>
      <c r="X26" s="3070"/>
      <c r="Y26" s="4191"/>
      <c r="Z26" s="3131" t="str">
        <f>Q26</f>
        <v>朝向</v>
      </c>
      <c r="AA26" s="3131">
        <f t="shared" si="15"/>
        <v>1</v>
      </c>
      <c r="AB26" s="3131">
        <f t="shared" si="16"/>
        <v>1</v>
      </c>
      <c r="AC26" s="3131">
        <f t="shared" si="17"/>
        <v>1</v>
      </c>
    </row>
    <row r="27" spans="1:29" s="3087" customFormat="1" ht="15">
      <c r="A27" s="3108"/>
      <c r="B27" s="3152" t="s">
        <v>3618</v>
      </c>
      <c r="C27" s="3110">
        <v>3</v>
      </c>
      <c r="D27" s="3153">
        <v>100</v>
      </c>
      <c r="E27" s="3110">
        <v>3</v>
      </c>
      <c r="F27" s="3153">
        <f>SUMIF(90:90,E27,91:91)-SUMIF(90:90,C27,91:91)+100</f>
        <v>100</v>
      </c>
      <c r="G27" s="3154">
        <v>3</v>
      </c>
      <c r="H27" s="3153">
        <f>SUMIF(90:90,G27,91:91)-SUMIF(90:90,C27,91:91)+100</f>
        <v>100</v>
      </c>
      <c r="I27" s="3154">
        <v>5</v>
      </c>
      <c r="J27" s="3153">
        <f>SUMIF(90:90,I27,91:91)-SUMIF(90:90,C27,91:91)+100</f>
        <v>97</v>
      </c>
      <c r="K27" s="3112"/>
      <c r="L27" s="3081"/>
      <c r="M27" s="3082"/>
      <c r="N27" s="3082"/>
      <c r="O27" s="3082"/>
      <c r="P27" s="4198"/>
      <c r="Q27" s="3096" t="str">
        <f t="shared" si="11"/>
        <v>楼层</v>
      </c>
      <c r="R27" s="3083" t="s">
        <v>18</v>
      </c>
      <c r="S27" s="3084">
        <f t="shared" si="12"/>
        <v>100</v>
      </c>
      <c r="T27" s="3083" t="s">
        <v>18</v>
      </c>
      <c r="U27" s="3084">
        <f t="shared" si="13"/>
        <v>100</v>
      </c>
      <c r="V27" s="3083" t="s">
        <v>18</v>
      </c>
      <c r="W27" s="3084">
        <f t="shared" si="14"/>
        <v>97</v>
      </c>
      <c r="X27" s="3085"/>
      <c r="Y27" s="4191"/>
      <c r="Z27" s="3086" t="str">
        <f>Q27</f>
        <v>楼层</v>
      </c>
      <c r="AA27" s="3131">
        <f t="shared" si="15"/>
        <v>1</v>
      </c>
      <c r="AB27" s="3131">
        <f t="shared" si="16"/>
        <v>1</v>
      </c>
      <c r="AC27" s="3131">
        <f t="shared" si="17"/>
        <v>1.0309278350515463</v>
      </c>
    </row>
    <row r="28" spans="1:29" ht="15">
      <c r="A28" s="3105"/>
      <c r="B28" s="3155">
        <v>111</v>
      </c>
      <c r="C28" s="3113"/>
      <c r="D28" s="3114">
        <v>100</v>
      </c>
      <c r="E28" s="3113"/>
      <c r="F28" s="3114">
        <f>SUMIF(92:92,E28,93:93)-SUMIF(92:92,C28,93:93)+100</f>
        <v>100</v>
      </c>
      <c r="G28" s="3156"/>
      <c r="H28" s="3114">
        <f>SUMIF(92:92,G28,93:93)-SUMIF(92:92,C28,93:93)+100</f>
        <v>100</v>
      </c>
      <c r="I28" s="3113"/>
      <c r="J28" s="3114">
        <f>SUMIF(92:92,I28,93:93)-SUMIF(92:92,C28,93:93)+100</f>
        <v>100</v>
      </c>
      <c r="K28" s="3112"/>
      <c r="L28" s="3115"/>
      <c r="M28" s="3069"/>
      <c r="N28" s="3069"/>
      <c r="O28" s="3069"/>
      <c r="P28" s="4198"/>
      <c r="Q28" s="3128">
        <f t="shared" si="11"/>
        <v>111</v>
      </c>
      <c r="R28" s="3129" t="s">
        <v>18</v>
      </c>
      <c r="S28" s="3130">
        <f t="shared" si="12"/>
        <v>100</v>
      </c>
      <c r="T28" s="3129" t="s">
        <v>18</v>
      </c>
      <c r="U28" s="3130">
        <f t="shared" si="13"/>
        <v>100</v>
      </c>
      <c r="V28" s="3129" t="s">
        <v>18</v>
      </c>
      <c r="W28" s="3130">
        <f t="shared" si="14"/>
        <v>100</v>
      </c>
      <c r="X28" s="3070"/>
      <c r="Y28" s="4191"/>
      <c r="Z28" s="3131">
        <f t="shared" ref="Z28:Z46" si="18">Q28</f>
        <v>111</v>
      </c>
      <c r="AA28" s="3131">
        <f t="shared" si="15"/>
        <v>1</v>
      </c>
      <c r="AB28" s="3131">
        <f t="shared" si="16"/>
        <v>1</v>
      </c>
      <c r="AC28" s="3131">
        <f t="shared" si="17"/>
        <v>1</v>
      </c>
    </row>
    <row r="29" spans="1:29" ht="15">
      <c r="A29" s="3105"/>
      <c r="B29" s="3155">
        <v>111</v>
      </c>
      <c r="C29" s="3113"/>
      <c r="D29" s="3114">
        <v>100</v>
      </c>
      <c r="E29" s="3113"/>
      <c r="F29" s="3114">
        <f>SUMIF(94:94,E29,95:95)-SUMIF(94:94,C29,95:95)+100</f>
        <v>100</v>
      </c>
      <c r="G29" s="3156"/>
      <c r="H29" s="3114">
        <f>SUMIF(94:94,G29,95:95)-SUMIF(94:94,C29,95:95)+100</f>
        <v>100</v>
      </c>
      <c r="I29" s="3113"/>
      <c r="J29" s="3114">
        <f>SUMIF(94:94,I29,95:95)-SUMIF(94:94,C29,95:95)+100</f>
        <v>100</v>
      </c>
      <c r="K29" s="3112"/>
      <c r="L29" s="3115"/>
      <c r="M29" s="3069"/>
      <c r="N29" s="3069"/>
      <c r="O29" s="3069"/>
      <c r="P29" s="4198"/>
      <c r="Q29" s="3128">
        <f t="shared" si="11"/>
        <v>111</v>
      </c>
      <c r="R29" s="3129" t="s">
        <v>18</v>
      </c>
      <c r="S29" s="3130">
        <f t="shared" si="12"/>
        <v>100</v>
      </c>
      <c r="T29" s="3129" t="s">
        <v>18</v>
      </c>
      <c r="U29" s="3130">
        <f t="shared" si="13"/>
        <v>100</v>
      </c>
      <c r="V29" s="3129" t="s">
        <v>18</v>
      </c>
      <c r="W29" s="3130">
        <f t="shared" si="14"/>
        <v>100</v>
      </c>
      <c r="X29" s="3070"/>
      <c r="Y29" s="4191"/>
      <c r="Z29" s="3131">
        <f t="shared" si="18"/>
        <v>111</v>
      </c>
      <c r="AA29" s="3131">
        <f t="shared" si="15"/>
        <v>1</v>
      </c>
      <c r="AB29" s="3131">
        <f t="shared" si="16"/>
        <v>1</v>
      </c>
      <c r="AC29" s="3131">
        <f t="shared" si="17"/>
        <v>1</v>
      </c>
    </row>
    <row r="30" spans="1:29" ht="15">
      <c r="A30" s="3105"/>
      <c r="B30" s="3155">
        <v>111</v>
      </c>
      <c r="C30" s="3113"/>
      <c r="D30" s="3114">
        <v>100</v>
      </c>
      <c r="E30" s="3113"/>
      <c r="F30" s="3114">
        <f>SUMIF(96:96,E30,97:97)-SUMIF(96:96,C30,97:97)+100</f>
        <v>100</v>
      </c>
      <c r="G30" s="3156"/>
      <c r="H30" s="3114">
        <f>SUMIF(96:96,G30,97:97)-SUMIF(96:96,C30,97:97)+100</f>
        <v>100</v>
      </c>
      <c r="I30" s="3113"/>
      <c r="J30" s="3114">
        <f>SUMIF(96:96,I30,97:97)-SUMIF(96:96,C30,97:97)+100</f>
        <v>100</v>
      </c>
      <c r="K30" s="3112"/>
      <c r="L30" s="3115"/>
      <c r="M30" s="3069"/>
      <c r="N30" s="3069"/>
      <c r="O30" s="3069"/>
      <c r="P30" s="4198"/>
      <c r="Q30" s="3128">
        <f t="shared" si="11"/>
        <v>111</v>
      </c>
      <c r="R30" s="3129" t="s">
        <v>18</v>
      </c>
      <c r="S30" s="3130">
        <f t="shared" si="12"/>
        <v>100</v>
      </c>
      <c r="T30" s="3129" t="s">
        <v>18</v>
      </c>
      <c r="U30" s="3130">
        <f t="shared" si="13"/>
        <v>100</v>
      </c>
      <c r="V30" s="3129" t="s">
        <v>18</v>
      </c>
      <c r="W30" s="3130">
        <f t="shared" si="14"/>
        <v>100</v>
      </c>
      <c r="X30" s="3070"/>
      <c r="Y30" s="4191"/>
      <c r="Z30" s="3131">
        <f t="shared" si="18"/>
        <v>111</v>
      </c>
      <c r="AA30" s="3131">
        <f t="shared" si="15"/>
        <v>1</v>
      </c>
      <c r="AB30" s="3131">
        <f t="shared" si="16"/>
        <v>1</v>
      </c>
      <c r="AC30" s="3131">
        <f t="shared" si="17"/>
        <v>1</v>
      </c>
    </row>
    <row r="31" spans="1:29" ht="15.75" thickBot="1">
      <c r="A31" s="3116"/>
      <c r="B31" s="3155">
        <v>111</v>
      </c>
      <c r="C31" s="3118"/>
      <c r="D31" s="3119">
        <v>100</v>
      </c>
      <c r="E31" s="3118"/>
      <c r="F31" s="3119">
        <f>SUMIF(98:98,E31,99:99)-SUMIF(98:98,C31,99:99)+100</f>
        <v>100</v>
      </c>
      <c r="G31" s="3157"/>
      <c r="H31" s="3119">
        <f>SUMIF(98:98,G31,99:99)-SUMIF(98:98,C31,99:99)+100</f>
        <v>100</v>
      </c>
      <c r="I31" s="3118"/>
      <c r="J31" s="3119">
        <f>SUMIF(98:98,I31,99:99)-SUMIF(98:98,C31,99:99)+100</f>
        <v>100</v>
      </c>
      <c r="K31" s="3112"/>
      <c r="L31" s="3115"/>
      <c r="M31" s="3069"/>
      <c r="N31" s="3069"/>
      <c r="O31" s="3069"/>
      <c r="P31" s="4198"/>
      <c r="Q31" s="3128">
        <f t="shared" si="11"/>
        <v>111</v>
      </c>
      <c r="R31" s="3129" t="s">
        <v>18</v>
      </c>
      <c r="S31" s="3130">
        <f t="shared" si="12"/>
        <v>100</v>
      </c>
      <c r="T31" s="3129" t="s">
        <v>18</v>
      </c>
      <c r="U31" s="3130">
        <f t="shared" si="13"/>
        <v>100</v>
      </c>
      <c r="V31" s="3129" t="s">
        <v>18</v>
      </c>
      <c r="W31" s="3130">
        <f t="shared" si="14"/>
        <v>100</v>
      </c>
      <c r="X31" s="3070"/>
      <c r="Y31" s="4191"/>
      <c r="Z31" s="3131">
        <f t="shared" si="18"/>
        <v>111</v>
      </c>
      <c r="AA31" s="3131">
        <f t="shared" si="15"/>
        <v>1</v>
      </c>
      <c r="AB31" s="3131">
        <f t="shared" si="16"/>
        <v>1</v>
      </c>
      <c r="AC31" s="3131">
        <f t="shared" si="17"/>
        <v>1</v>
      </c>
    </row>
    <row r="32" spans="1:29" ht="15">
      <c r="A32" s="3121" t="s">
        <v>1693</v>
      </c>
      <c r="B32" s="3091" t="s">
        <v>1694</v>
      </c>
      <c r="C32" s="3158" t="s">
        <v>3609</v>
      </c>
      <c r="D32" s="3159">
        <v>100</v>
      </c>
      <c r="E32" s="3160" t="s">
        <v>3609</v>
      </c>
      <c r="F32" s="3161">
        <f>SUMIF(100:100,E32,101:101)-SUMIF(100:100,C32,101:101)+100</f>
        <v>100</v>
      </c>
      <c r="G32" s="3158" t="s">
        <v>3609</v>
      </c>
      <c r="H32" s="3159">
        <f>SUMIF(100:100,G32,101:101)-SUMIF(100:100,C32,101:101)+100</f>
        <v>100</v>
      </c>
      <c r="I32" s="3160" t="s">
        <v>3609</v>
      </c>
      <c r="J32" s="3114">
        <f>SUMIF(100:100,I32,101:101)-SUMIF(100:100,C32,101:101)+100</f>
        <v>100</v>
      </c>
      <c r="K32" s="3106"/>
      <c r="L32" s="3115"/>
      <c r="M32" s="3069"/>
      <c r="N32" s="3069"/>
      <c r="O32" s="3069"/>
      <c r="P32" s="4192" t="s">
        <v>1695</v>
      </c>
      <c r="Q32" s="3128" t="str">
        <f t="shared" si="11"/>
        <v>建筑类型</v>
      </c>
      <c r="R32" s="3129" t="s">
        <v>18</v>
      </c>
      <c r="S32" s="3130">
        <f t="shared" si="12"/>
        <v>100</v>
      </c>
      <c r="T32" s="3129" t="s">
        <v>18</v>
      </c>
      <c r="U32" s="3130">
        <f t="shared" si="13"/>
        <v>100</v>
      </c>
      <c r="V32" s="3129" t="s">
        <v>18</v>
      </c>
      <c r="W32" s="3130">
        <f t="shared" si="14"/>
        <v>100</v>
      </c>
      <c r="X32" s="3070"/>
      <c r="Y32" s="4195" t="s">
        <v>1695</v>
      </c>
      <c r="Z32" s="3131" t="str">
        <f t="shared" si="18"/>
        <v>建筑类型</v>
      </c>
      <c r="AA32" s="3131">
        <f t="shared" si="15"/>
        <v>1</v>
      </c>
      <c r="AB32" s="3131">
        <f t="shared" si="16"/>
        <v>1</v>
      </c>
      <c r="AC32" s="3131">
        <f t="shared" si="17"/>
        <v>1</v>
      </c>
    </row>
    <row r="33" spans="1:29" s="3172" customFormat="1" ht="15">
      <c r="A33" s="3162"/>
      <c r="B33" s="3098" t="s">
        <v>1696</v>
      </c>
      <c r="C33" s="3163" t="s">
        <v>3619</v>
      </c>
      <c r="D33" s="3100">
        <v>100</v>
      </c>
      <c r="E33" s="3164" t="s">
        <v>3619</v>
      </c>
      <c r="F33" s="3098">
        <f>LOOKUP(E33,103:103,104:104)-LOOKUP(C33,103:103,104:104)+100</f>
        <v>100</v>
      </c>
      <c r="G33" s="3165" t="s">
        <v>3619</v>
      </c>
      <c r="H33" s="3100">
        <f>LOOKUP(G33,103:103,104:104)-LOOKUP(C33,103:103,104:104)+100</f>
        <v>100</v>
      </c>
      <c r="I33" s="3164" t="s">
        <v>3619</v>
      </c>
      <c r="J33" s="3100">
        <f>LOOKUP(I33,103:103,104:104)-LOOKUP(C33,103:103,104:104)+100</f>
        <v>100</v>
      </c>
      <c r="K33" s="3112"/>
      <c r="L33" s="3107"/>
      <c r="M33" s="3166"/>
      <c r="N33" s="3166"/>
      <c r="O33" s="3166"/>
      <c r="P33" s="4193"/>
      <c r="Q33" s="3167" t="str">
        <f t="shared" si="11"/>
        <v>项目建筑规模</v>
      </c>
      <c r="R33" s="3168" t="s">
        <v>18</v>
      </c>
      <c r="S33" s="3169">
        <f t="shared" si="12"/>
        <v>100</v>
      </c>
      <c r="T33" s="3168" t="s">
        <v>18</v>
      </c>
      <c r="U33" s="3169">
        <f t="shared" si="13"/>
        <v>100</v>
      </c>
      <c r="V33" s="3168" t="s">
        <v>18</v>
      </c>
      <c r="W33" s="3169">
        <f t="shared" si="14"/>
        <v>100</v>
      </c>
      <c r="X33" s="3170"/>
      <c r="Y33" s="4195"/>
      <c r="Z33" s="3171" t="str">
        <f t="shared" si="18"/>
        <v>项目建筑规模</v>
      </c>
      <c r="AA33" s="3131">
        <f t="shared" si="15"/>
        <v>1</v>
      </c>
      <c r="AB33" s="3131">
        <f t="shared" si="16"/>
        <v>1</v>
      </c>
      <c r="AC33" s="3131">
        <f t="shared" si="17"/>
        <v>1</v>
      </c>
    </row>
    <row r="34" spans="1:29" ht="15">
      <c r="A34" s="3173"/>
      <c r="B34" s="3098" t="s">
        <v>1697</v>
      </c>
      <c r="C34" s="3150"/>
      <c r="D34" s="3114">
        <v>100</v>
      </c>
      <c r="E34" s="3151"/>
      <c r="F34" s="3161">
        <f>SUMIF(105:105,E34,106:106)-SUMIF(105:105,C34,106:106)+100</f>
        <v>100</v>
      </c>
      <c r="G34" s="3150"/>
      <c r="H34" s="3114">
        <f>SUMIF(105:105,G34,106:106)-SUMIF(105:105,C34,106:106)+100</f>
        <v>100</v>
      </c>
      <c r="I34" s="3151"/>
      <c r="J34" s="3114">
        <f>SUMIF(105:105,I34,106:106)-SUMIF(105:105,C34,106:106)+100</f>
        <v>100</v>
      </c>
      <c r="K34" s="3106"/>
      <c r="L34" s="3115"/>
      <c r="M34" s="3069"/>
      <c r="N34" s="3069"/>
      <c r="O34" s="3069"/>
      <c r="P34" s="4193"/>
      <c r="Q34" s="3128" t="str">
        <f t="shared" si="11"/>
        <v>建筑结构</v>
      </c>
      <c r="R34" s="3129" t="s">
        <v>18</v>
      </c>
      <c r="S34" s="3130">
        <f t="shared" si="12"/>
        <v>100</v>
      </c>
      <c r="T34" s="3129" t="s">
        <v>18</v>
      </c>
      <c r="U34" s="3130">
        <f t="shared" si="13"/>
        <v>100</v>
      </c>
      <c r="V34" s="3129" t="s">
        <v>18</v>
      </c>
      <c r="W34" s="3130">
        <f t="shared" si="14"/>
        <v>100</v>
      </c>
      <c r="X34" s="3070"/>
      <c r="Y34" s="4195"/>
      <c r="Z34" s="3131" t="str">
        <f t="shared" si="18"/>
        <v>建筑结构</v>
      </c>
      <c r="AA34" s="3131">
        <f t="shared" si="15"/>
        <v>1</v>
      </c>
      <c r="AB34" s="3131">
        <f t="shared" si="16"/>
        <v>1</v>
      </c>
      <c r="AC34" s="3131">
        <f t="shared" si="17"/>
        <v>1</v>
      </c>
    </row>
    <row r="35" spans="1:29" ht="15">
      <c r="A35" s="3173"/>
      <c r="B35" s="3098" t="s">
        <v>1698</v>
      </c>
      <c r="C35" s="3150"/>
      <c r="D35" s="3114">
        <v>100</v>
      </c>
      <c r="E35" s="3151"/>
      <c r="F35" s="3161">
        <f>SUMIF(107:107,E35,108:108)-SUMIF(107:107,C35,108:108)+100</f>
        <v>100</v>
      </c>
      <c r="G35" s="3150"/>
      <c r="H35" s="3114">
        <f>SUMIF(107:107,G35,108:108)-SUMIF(107:107,C35,108:108)+100</f>
        <v>100</v>
      </c>
      <c r="I35" s="3151"/>
      <c r="J35" s="3114">
        <f>SUMIF(107:107,I35,108:108)-SUMIF(107:107,C35,108:108)+100</f>
        <v>100</v>
      </c>
      <c r="K35" s="3106"/>
      <c r="L35" s="3115"/>
      <c r="M35" s="3069"/>
      <c r="N35" s="3069"/>
      <c r="O35" s="3069"/>
      <c r="P35" s="4193"/>
      <c r="Q35" s="3128" t="str">
        <f t="shared" si="11"/>
        <v>建筑品质</v>
      </c>
      <c r="R35" s="3129" t="s">
        <v>18</v>
      </c>
      <c r="S35" s="3130">
        <f t="shared" si="12"/>
        <v>100</v>
      </c>
      <c r="T35" s="3129" t="s">
        <v>18</v>
      </c>
      <c r="U35" s="3130">
        <f t="shared" si="13"/>
        <v>100</v>
      </c>
      <c r="V35" s="3129" t="s">
        <v>18</v>
      </c>
      <c r="W35" s="3130">
        <f t="shared" si="14"/>
        <v>100</v>
      </c>
      <c r="X35" s="3070"/>
      <c r="Y35" s="4195"/>
      <c r="Z35" s="3131" t="str">
        <f t="shared" si="18"/>
        <v>建筑品质</v>
      </c>
      <c r="AA35" s="3131">
        <f t="shared" si="15"/>
        <v>1</v>
      </c>
      <c r="AB35" s="3131">
        <f t="shared" si="16"/>
        <v>1</v>
      </c>
      <c r="AC35" s="3131">
        <f t="shared" si="17"/>
        <v>1</v>
      </c>
    </row>
    <row r="36" spans="1:29" ht="15">
      <c r="A36" s="3173"/>
      <c r="B36" s="3098" t="s">
        <v>1699</v>
      </c>
      <c r="C36" s="3150"/>
      <c r="D36" s="3114">
        <v>100</v>
      </c>
      <c r="E36" s="3151"/>
      <c r="F36" s="3161">
        <f>SUMIF(109:109,E36,110:110)-SUMIF(109:109,C36,110:110)+100</f>
        <v>100</v>
      </c>
      <c r="G36" s="3150"/>
      <c r="H36" s="3114">
        <f>SUMIF(109:109,G36,110:110)-SUMIF(109:109,C36,110:110)+100</f>
        <v>100</v>
      </c>
      <c r="I36" s="3151"/>
      <c r="J36" s="3114">
        <f>SUMIF(109:109,I36,110:110)-SUMIF(109:109,C36,110:110)+100</f>
        <v>100</v>
      </c>
      <c r="K36" s="3106"/>
      <c r="L36" s="3115"/>
      <c r="M36" s="3069"/>
      <c r="N36" s="3069"/>
      <c r="O36" s="3069"/>
      <c r="P36" s="4193"/>
      <c r="Q36" s="3128" t="str">
        <f t="shared" si="11"/>
        <v>公共部分装修</v>
      </c>
      <c r="R36" s="3129" t="s">
        <v>18</v>
      </c>
      <c r="S36" s="3130">
        <f t="shared" si="12"/>
        <v>100</v>
      </c>
      <c r="T36" s="3129" t="s">
        <v>18</v>
      </c>
      <c r="U36" s="3130">
        <f t="shared" si="13"/>
        <v>100</v>
      </c>
      <c r="V36" s="3129" t="s">
        <v>18</v>
      </c>
      <c r="W36" s="3130">
        <f t="shared" si="14"/>
        <v>100</v>
      </c>
      <c r="X36" s="3070"/>
      <c r="Y36" s="4195"/>
      <c r="Z36" s="3131" t="str">
        <f t="shared" si="18"/>
        <v>公共部分装修</v>
      </c>
      <c r="AA36" s="3131">
        <f t="shared" si="15"/>
        <v>1</v>
      </c>
      <c r="AB36" s="3131">
        <f t="shared" si="16"/>
        <v>1</v>
      </c>
      <c r="AC36" s="3131">
        <f t="shared" si="17"/>
        <v>1</v>
      </c>
    </row>
    <row r="37" spans="1:29" s="3087" customFormat="1" ht="15">
      <c r="A37" s="3174"/>
      <c r="B37" s="3098" t="s">
        <v>1700</v>
      </c>
      <c r="C37" s="3175">
        <v>8</v>
      </c>
      <c r="D37" s="3100">
        <v>100</v>
      </c>
      <c r="E37" s="3175">
        <v>8</v>
      </c>
      <c r="F37" s="3098">
        <f>LOOKUP(E37,112:112,113:113)-LOOKUP(C37,112:112,113:113)+100</f>
        <v>100</v>
      </c>
      <c r="G37" s="3099">
        <v>8</v>
      </c>
      <c r="H37" s="3100">
        <f>LOOKUP(G37,112:112,113:113)-LOOKUP(C37,112:112,113:113)+100</f>
        <v>100</v>
      </c>
      <c r="I37" s="3101">
        <v>8</v>
      </c>
      <c r="J37" s="3100">
        <f>LOOKUP(I37,112:112,113:113)-LOOKUP(C37,112:112,113:113)+100</f>
        <v>100</v>
      </c>
      <c r="K37" s="3106"/>
      <c r="L37" s="3081"/>
      <c r="M37" s="3082"/>
      <c r="N37" s="3082"/>
      <c r="O37" s="3082"/>
      <c r="P37" s="4193"/>
      <c r="Q37" s="3096" t="str">
        <f t="shared" si="11"/>
        <v>成新度</v>
      </c>
      <c r="R37" s="3083" t="s">
        <v>18</v>
      </c>
      <c r="S37" s="3084">
        <f t="shared" si="12"/>
        <v>100</v>
      </c>
      <c r="T37" s="3083" t="s">
        <v>18</v>
      </c>
      <c r="U37" s="3084">
        <f t="shared" si="13"/>
        <v>100</v>
      </c>
      <c r="V37" s="3083" t="s">
        <v>18</v>
      </c>
      <c r="W37" s="3084">
        <f t="shared" si="14"/>
        <v>100</v>
      </c>
      <c r="X37" s="3085"/>
      <c r="Y37" s="4195"/>
      <c r="Z37" s="3086" t="str">
        <f t="shared" si="18"/>
        <v>成新度</v>
      </c>
      <c r="AA37" s="3086">
        <f t="shared" si="15"/>
        <v>1</v>
      </c>
      <c r="AB37" s="3086">
        <f t="shared" si="16"/>
        <v>1</v>
      </c>
      <c r="AC37" s="3086">
        <f t="shared" si="17"/>
        <v>1</v>
      </c>
    </row>
    <row r="38" spans="1:29" ht="15">
      <c r="A38" s="3173"/>
      <c r="B38" s="3098" t="s">
        <v>1701</v>
      </c>
      <c r="C38" s="3150"/>
      <c r="D38" s="3114">
        <v>100</v>
      </c>
      <c r="E38" s="3151"/>
      <c r="F38" s="3161">
        <f>SUMIF(114:114,E38,115:115)-SUMIF(114:114,C38,115:115)+100</f>
        <v>100</v>
      </c>
      <c r="G38" s="3150"/>
      <c r="H38" s="3114">
        <f>SUMIF(114:114,G38,115:115)-SUMIF(114:114,C38,115:115)+100</f>
        <v>100</v>
      </c>
      <c r="I38" s="3151"/>
      <c r="J38" s="3114">
        <f>SUMIF(114:114,I38,115:115)-SUMIF(114:114,C38,115:115)+100</f>
        <v>100</v>
      </c>
      <c r="K38" s="3106"/>
      <c r="L38" s="3115"/>
      <c r="M38" s="3069"/>
      <c r="N38" s="3069"/>
      <c r="O38" s="3069"/>
      <c r="P38" s="4193" t="s">
        <v>1695</v>
      </c>
      <c r="Q38" s="3128" t="str">
        <f t="shared" si="11"/>
        <v>物业管理</v>
      </c>
      <c r="R38" s="3129" t="s">
        <v>18</v>
      </c>
      <c r="S38" s="3130">
        <f t="shared" si="12"/>
        <v>100</v>
      </c>
      <c r="T38" s="3129" t="s">
        <v>18</v>
      </c>
      <c r="U38" s="3130">
        <f t="shared" si="13"/>
        <v>100</v>
      </c>
      <c r="V38" s="3129" t="s">
        <v>18</v>
      </c>
      <c r="W38" s="3130">
        <f t="shared" si="14"/>
        <v>100</v>
      </c>
      <c r="X38" s="3070"/>
      <c r="Y38" s="4195" t="s">
        <v>1695</v>
      </c>
      <c r="Z38" s="3131" t="str">
        <f t="shared" si="18"/>
        <v>物业管理</v>
      </c>
      <c r="AA38" s="3131">
        <f t="shared" si="15"/>
        <v>1</v>
      </c>
      <c r="AB38" s="3131">
        <f t="shared" si="16"/>
        <v>1</v>
      </c>
      <c r="AC38" s="3131">
        <f t="shared" si="17"/>
        <v>1</v>
      </c>
    </row>
    <row r="39" spans="1:29" ht="15">
      <c r="A39" s="3173"/>
      <c r="B39" s="3098" t="s">
        <v>1702</v>
      </c>
      <c r="C39" s="3150"/>
      <c r="D39" s="3114">
        <v>100</v>
      </c>
      <c r="E39" s="3151"/>
      <c r="F39" s="3161">
        <f>SUMIF(116:116,E39,117:117)-SUMIF(116:116,C39,117:117)+100</f>
        <v>100</v>
      </c>
      <c r="G39" s="3150"/>
      <c r="H39" s="3114">
        <f>SUMIF(116:116,G39,117:117)-SUMIF(116:116,C39,117:117)+100</f>
        <v>100</v>
      </c>
      <c r="I39" s="3151"/>
      <c r="J39" s="3114">
        <f>SUMIF(116:116,I39,117:117)-SUMIF(116:116,C39,117:117)+100</f>
        <v>100</v>
      </c>
      <c r="K39" s="3106"/>
      <c r="L39" s="3115"/>
      <c r="M39" s="3069"/>
      <c r="N39" s="3069"/>
      <c r="O39" s="3069"/>
      <c r="P39" s="4193"/>
      <c r="Q39" s="3128" t="str">
        <f t="shared" si="11"/>
        <v>市政基础设施</v>
      </c>
      <c r="R39" s="3129" t="s">
        <v>18</v>
      </c>
      <c r="S39" s="3130">
        <f t="shared" si="12"/>
        <v>100</v>
      </c>
      <c r="T39" s="3129" t="s">
        <v>18</v>
      </c>
      <c r="U39" s="3130">
        <f t="shared" si="13"/>
        <v>100</v>
      </c>
      <c r="V39" s="3129" t="s">
        <v>18</v>
      </c>
      <c r="W39" s="3130">
        <f t="shared" si="14"/>
        <v>100</v>
      </c>
      <c r="X39" s="3070"/>
      <c r="Y39" s="4195"/>
      <c r="Z39" s="3131" t="str">
        <f t="shared" si="18"/>
        <v>市政基础设施</v>
      </c>
      <c r="AA39" s="3131">
        <f t="shared" si="15"/>
        <v>1</v>
      </c>
      <c r="AB39" s="3131">
        <f t="shared" si="16"/>
        <v>1</v>
      </c>
      <c r="AC39" s="3131">
        <f t="shared" si="17"/>
        <v>1</v>
      </c>
    </row>
    <row r="40" spans="1:29" ht="15">
      <c r="A40" s="3173"/>
      <c r="B40" s="3098" t="s">
        <v>1703</v>
      </c>
      <c r="C40" s="3150" t="s">
        <v>3385</v>
      </c>
      <c r="D40" s="3114">
        <v>100</v>
      </c>
      <c r="E40" s="3151" t="s">
        <v>3385</v>
      </c>
      <c r="F40" s="3161">
        <f>SUMIF(118:118,E40,119:119)-SUMIF(118:118,C40,119:119)+100</f>
        <v>100</v>
      </c>
      <c r="G40" s="3150" t="s">
        <v>3385</v>
      </c>
      <c r="H40" s="3114">
        <f>SUMIF(118:118,G40,119:119)-SUMIF(118:118,C40,119:119)+100</f>
        <v>100</v>
      </c>
      <c r="I40" s="3151" t="s">
        <v>3385</v>
      </c>
      <c r="J40" s="3114">
        <f>SUMIF(118:118,I40,119:119)-SUMIF(118:118,C40,119:119)+100</f>
        <v>100</v>
      </c>
      <c r="K40" s="3106"/>
      <c r="L40" s="3115"/>
      <c r="M40" s="3069"/>
      <c r="N40" s="3069"/>
      <c r="O40" s="3069"/>
      <c r="P40" s="4193"/>
      <c r="Q40" s="3128" t="str">
        <f t="shared" si="11"/>
        <v>房型</v>
      </c>
      <c r="R40" s="3129" t="s">
        <v>18</v>
      </c>
      <c r="S40" s="3130">
        <f t="shared" si="12"/>
        <v>100</v>
      </c>
      <c r="T40" s="3129" t="s">
        <v>18</v>
      </c>
      <c r="U40" s="3130">
        <f t="shared" si="13"/>
        <v>100</v>
      </c>
      <c r="V40" s="3129" t="s">
        <v>18</v>
      </c>
      <c r="W40" s="3130">
        <f t="shared" si="14"/>
        <v>100</v>
      </c>
      <c r="X40" s="3070"/>
      <c r="Y40" s="4195"/>
      <c r="Z40" s="3131" t="str">
        <f t="shared" si="18"/>
        <v>房型</v>
      </c>
      <c r="AA40" s="3131">
        <f t="shared" si="15"/>
        <v>1</v>
      </c>
      <c r="AB40" s="3131">
        <f t="shared" si="16"/>
        <v>1</v>
      </c>
      <c r="AC40" s="3131">
        <f t="shared" si="17"/>
        <v>1</v>
      </c>
    </row>
    <row r="41" spans="1:29" s="3172" customFormat="1" ht="28.5">
      <c r="A41" s="3162"/>
      <c r="B41" s="3098" t="s">
        <v>1704</v>
      </c>
      <c r="C41" s="3175">
        <f>D3</f>
        <v>79.92</v>
      </c>
      <c r="D41" s="3100">
        <v>100</v>
      </c>
      <c r="E41" s="3101">
        <v>64.72</v>
      </c>
      <c r="F41" s="3098">
        <f>SUMIF(120:120,E41,121:121)-SUMIF(120:120,C41,121:121)+100</f>
        <v>101</v>
      </c>
      <c r="G41" s="3099">
        <v>69.319999999999993</v>
      </c>
      <c r="H41" s="3100">
        <f>SUMIF(120:120,G41,121:121)-SUMIF(120:120,C41,121:121)+100</f>
        <v>101</v>
      </c>
      <c r="I41" s="3176">
        <v>102.48</v>
      </c>
      <c r="J41" s="3114">
        <f>SUMIF(120:120,I41,121:121)-SUMIF(120:120,C41,121:121)+100</f>
        <v>98</v>
      </c>
      <c r="K41" s="3112"/>
      <c r="L41" s="3107"/>
      <c r="M41" s="3166"/>
      <c r="N41" s="3166"/>
      <c r="O41" s="3166"/>
      <c r="P41" s="4193"/>
      <c r="Q41" s="3167" t="str">
        <f t="shared" si="11"/>
        <v>单套/主力户型建筑面积</v>
      </c>
      <c r="R41" s="3168" t="s">
        <v>18</v>
      </c>
      <c r="S41" s="3169">
        <f t="shared" si="12"/>
        <v>101</v>
      </c>
      <c r="T41" s="3168" t="s">
        <v>18</v>
      </c>
      <c r="U41" s="3169">
        <f t="shared" si="13"/>
        <v>101</v>
      </c>
      <c r="V41" s="3168" t="s">
        <v>18</v>
      </c>
      <c r="W41" s="3169">
        <f t="shared" si="14"/>
        <v>98</v>
      </c>
      <c r="X41" s="3170"/>
      <c r="Y41" s="4195"/>
      <c r="Z41" s="3171" t="str">
        <f t="shared" si="18"/>
        <v>单套/主力户型建筑面积</v>
      </c>
      <c r="AA41" s="3131">
        <f t="shared" si="15"/>
        <v>0.99009900990099009</v>
      </c>
      <c r="AB41" s="3131">
        <f t="shared" si="16"/>
        <v>0.99009900990099009</v>
      </c>
      <c r="AC41" s="3131">
        <f t="shared" si="17"/>
        <v>1.0204081632653061</v>
      </c>
    </row>
    <row r="42" spans="1:29" ht="15">
      <c r="A42" s="3173"/>
      <c r="B42" s="3098" t="s">
        <v>1705</v>
      </c>
      <c r="C42" s="3150" t="s">
        <v>3615</v>
      </c>
      <c r="D42" s="3114">
        <v>100</v>
      </c>
      <c r="E42" s="3151" t="s">
        <v>3615</v>
      </c>
      <c r="F42" s="3161">
        <f>SUMIF(122:122,E42,123:123)-SUMIF(122:122,C42,123:123)+100</f>
        <v>100</v>
      </c>
      <c r="G42" s="3150" t="s">
        <v>3615</v>
      </c>
      <c r="H42" s="3114">
        <f>SUMIF(122:122,G42,123:123)-SUMIF(122:122,C42,123:123)+100</f>
        <v>100</v>
      </c>
      <c r="I42" s="3151" t="s">
        <v>3615</v>
      </c>
      <c r="J42" s="3114">
        <f>SUMIF(122:122,I42,123:123)-SUMIF(122:122,C42,123:123)+100</f>
        <v>100</v>
      </c>
      <c r="K42" s="3106">
        <v>2</v>
      </c>
      <c r="L42" s="3115"/>
      <c r="M42" s="3069"/>
      <c r="N42" s="3069"/>
      <c r="O42" s="3069"/>
      <c r="P42" s="4193"/>
      <c r="Q42" s="3128" t="str">
        <f t="shared" si="11"/>
        <v>内部装修</v>
      </c>
      <c r="R42" s="3129" t="s">
        <v>18</v>
      </c>
      <c r="S42" s="3130">
        <f t="shared" si="12"/>
        <v>100</v>
      </c>
      <c r="T42" s="3129" t="s">
        <v>18</v>
      </c>
      <c r="U42" s="3130">
        <f t="shared" si="13"/>
        <v>100</v>
      </c>
      <c r="V42" s="3129" t="s">
        <v>18</v>
      </c>
      <c r="W42" s="3130">
        <f t="shared" si="14"/>
        <v>100</v>
      </c>
      <c r="X42" s="3070"/>
      <c r="Y42" s="4195"/>
      <c r="Z42" s="3131" t="str">
        <f t="shared" si="18"/>
        <v>内部装修</v>
      </c>
      <c r="AA42" s="3131">
        <f t="shared" si="15"/>
        <v>1</v>
      </c>
      <c r="AB42" s="3131">
        <f t="shared" si="16"/>
        <v>1</v>
      </c>
      <c r="AC42" s="3131">
        <f t="shared" si="17"/>
        <v>1</v>
      </c>
    </row>
    <row r="43" spans="1:29" ht="15">
      <c r="A43" s="3173"/>
      <c r="B43" s="3098" t="s">
        <v>1706</v>
      </c>
      <c r="C43" s="3150"/>
      <c r="D43" s="3114">
        <v>100</v>
      </c>
      <c r="E43" s="3151"/>
      <c r="F43" s="3161">
        <f>SUMIF(124:124,E43,125:125)-SUMIF(124:124,C43,125:125)+100</f>
        <v>100</v>
      </c>
      <c r="G43" s="3150"/>
      <c r="H43" s="3114">
        <f>SUMIF(124:124,G43,125:125)-SUMIF(124:124,C43,125:125)+100</f>
        <v>100</v>
      </c>
      <c r="I43" s="3151"/>
      <c r="J43" s="3114">
        <f>SUMIF(124:124,I43,125:125)-SUMIF(124:124,C43,125:125)+100</f>
        <v>100</v>
      </c>
      <c r="K43" s="3106"/>
      <c r="L43" s="3115"/>
      <c r="M43" s="3069"/>
      <c r="N43" s="3069"/>
      <c r="O43" s="3069"/>
      <c r="P43" s="4193"/>
      <c r="Q43" s="3128" t="str">
        <f t="shared" si="11"/>
        <v>内部装修维护情况</v>
      </c>
      <c r="R43" s="3129" t="s">
        <v>18</v>
      </c>
      <c r="S43" s="3130">
        <f t="shared" si="12"/>
        <v>100</v>
      </c>
      <c r="T43" s="3129" t="s">
        <v>18</v>
      </c>
      <c r="U43" s="3130">
        <f t="shared" si="13"/>
        <v>100</v>
      </c>
      <c r="V43" s="3129" t="s">
        <v>18</v>
      </c>
      <c r="W43" s="3130">
        <f t="shared" si="14"/>
        <v>100</v>
      </c>
      <c r="X43" s="3070"/>
      <c r="Y43" s="4195"/>
      <c r="Z43" s="3131" t="str">
        <f t="shared" si="18"/>
        <v>内部装修维护情况</v>
      </c>
      <c r="AA43" s="3131">
        <f t="shared" si="15"/>
        <v>1</v>
      </c>
      <c r="AB43" s="3131">
        <f t="shared" si="16"/>
        <v>1</v>
      </c>
      <c r="AC43" s="3131">
        <f t="shared" si="17"/>
        <v>1</v>
      </c>
    </row>
    <row r="44" spans="1:29" s="3087" customFormat="1" ht="15">
      <c r="A44" s="3174"/>
      <c r="B44" s="3155">
        <v>111</v>
      </c>
      <c r="C44" s="3175"/>
      <c r="D44" s="3100">
        <v>100</v>
      </c>
      <c r="E44" s="3175"/>
      <c r="F44" s="3098">
        <f>SUMIF(126:126,E44,127:127)-SUMIF(126:126,C44,127:127)+100</f>
        <v>100</v>
      </c>
      <c r="G44" s="3175"/>
      <c r="H44" s="3100">
        <f>SUMIF(126:126,G44,127:127)-SUMIF(126:126,C44,127:127)+100</f>
        <v>100</v>
      </c>
      <c r="I44" s="3175"/>
      <c r="J44" s="3100">
        <f>SUMIF(126:126,I44,127:127)-SUMIF(126:126,C44,127:127)+100</f>
        <v>100</v>
      </c>
      <c r="K44" s="3112"/>
      <c r="L44" s="3081"/>
      <c r="M44" s="3082"/>
      <c r="N44" s="3082"/>
      <c r="O44" s="3082"/>
      <c r="P44" s="4193"/>
      <c r="Q44" s="3096">
        <f t="shared" si="11"/>
        <v>111</v>
      </c>
      <c r="R44" s="3083" t="s">
        <v>18</v>
      </c>
      <c r="S44" s="3084">
        <f t="shared" si="12"/>
        <v>100</v>
      </c>
      <c r="T44" s="3083" t="s">
        <v>18</v>
      </c>
      <c r="U44" s="3084">
        <f t="shared" si="13"/>
        <v>100</v>
      </c>
      <c r="V44" s="3083" t="s">
        <v>18</v>
      </c>
      <c r="W44" s="3084">
        <f t="shared" si="14"/>
        <v>100</v>
      </c>
      <c r="X44" s="3085"/>
      <c r="Y44" s="4195"/>
      <c r="Z44" s="3086">
        <f t="shared" si="18"/>
        <v>111</v>
      </c>
      <c r="AA44" s="3086">
        <f t="shared" si="15"/>
        <v>1</v>
      </c>
      <c r="AB44" s="3086">
        <f t="shared" si="16"/>
        <v>1</v>
      </c>
      <c r="AC44" s="3086">
        <f t="shared" si="17"/>
        <v>1</v>
      </c>
    </row>
    <row r="45" spans="1:29" ht="15">
      <c r="A45" s="3173"/>
      <c r="B45" s="3155">
        <v>111</v>
      </c>
      <c r="C45" s="3113"/>
      <c r="D45" s="3114">
        <v>100</v>
      </c>
      <c r="E45" s="3113"/>
      <c r="F45" s="3161">
        <f>SUMIF(128:128,E45,129:129)-SUMIF(128:128,C45,129:129)+100</f>
        <v>100</v>
      </c>
      <c r="G45" s="3113"/>
      <c r="H45" s="3114">
        <f>SUMIF(128:128,G45,129:129)-SUMIF(128:128,C45,129:129)+100</f>
        <v>100</v>
      </c>
      <c r="I45" s="3113"/>
      <c r="J45" s="3114">
        <f>SUMIF(128:128,I45,129:129)-SUMIF(128:128,C45,129:129)+100</f>
        <v>100</v>
      </c>
      <c r="K45" s="3112"/>
      <c r="L45" s="3115"/>
      <c r="M45" s="3069"/>
      <c r="N45" s="3069"/>
      <c r="O45" s="3069"/>
      <c r="P45" s="4193"/>
      <c r="Q45" s="3128">
        <f t="shared" si="11"/>
        <v>111</v>
      </c>
      <c r="R45" s="3129" t="s">
        <v>18</v>
      </c>
      <c r="S45" s="3130">
        <f t="shared" si="12"/>
        <v>100</v>
      </c>
      <c r="T45" s="3129" t="s">
        <v>18</v>
      </c>
      <c r="U45" s="3130">
        <f t="shared" si="13"/>
        <v>100</v>
      </c>
      <c r="V45" s="3129" t="s">
        <v>18</v>
      </c>
      <c r="W45" s="3130">
        <f t="shared" si="14"/>
        <v>100</v>
      </c>
      <c r="X45" s="3070"/>
      <c r="Y45" s="4195"/>
      <c r="Z45" s="3131">
        <f t="shared" si="18"/>
        <v>111</v>
      </c>
      <c r="AA45" s="3131">
        <f t="shared" si="15"/>
        <v>1</v>
      </c>
      <c r="AB45" s="3131">
        <f t="shared" si="16"/>
        <v>1</v>
      </c>
      <c r="AC45" s="3131">
        <f t="shared" si="17"/>
        <v>1</v>
      </c>
    </row>
    <row r="46" spans="1:29" ht="15.75" thickBot="1">
      <c r="A46" s="3177"/>
      <c r="B46" s="3117">
        <v>111</v>
      </c>
      <c r="C46" s="3118"/>
      <c r="D46" s="3119">
        <v>100</v>
      </c>
      <c r="E46" s="3118"/>
      <c r="F46" s="3120">
        <f>SUMIF(130:130,E46,131:131)-SUMIF(130:130,C46,131:131)+100</f>
        <v>100</v>
      </c>
      <c r="G46" s="3118"/>
      <c r="H46" s="3119">
        <f>SUMIF(130:130,G46,131:131)-SUMIF(130:130,C46,131:131)+100</f>
        <v>100</v>
      </c>
      <c r="I46" s="3118"/>
      <c r="J46" s="3119">
        <f>SUMIF(130:130,I46,131:131)-SUMIF(130:130,C46,131:131)+100</f>
        <v>100</v>
      </c>
      <c r="K46" s="3112"/>
      <c r="L46" s="3115"/>
      <c r="M46" s="3069"/>
      <c r="N46" s="3069"/>
      <c r="O46" s="3069"/>
      <c r="P46" s="4194"/>
      <c r="Q46" s="3128">
        <f t="shared" si="11"/>
        <v>111</v>
      </c>
      <c r="R46" s="3129" t="s">
        <v>17</v>
      </c>
      <c r="S46" s="3130">
        <f t="shared" si="12"/>
        <v>100</v>
      </c>
      <c r="T46" s="3129" t="s">
        <v>17</v>
      </c>
      <c r="U46" s="3130">
        <f t="shared" si="13"/>
        <v>100</v>
      </c>
      <c r="V46" s="3129" t="s">
        <v>17</v>
      </c>
      <c r="W46" s="3130">
        <f t="shared" si="14"/>
        <v>100</v>
      </c>
      <c r="X46" s="3070"/>
      <c r="Y46" s="4196"/>
      <c r="Z46" s="3131">
        <f t="shared" si="18"/>
        <v>111</v>
      </c>
      <c r="AA46" s="3131">
        <f t="shared" si="15"/>
        <v>1</v>
      </c>
      <c r="AB46" s="3131">
        <f t="shared" si="16"/>
        <v>1</v>
      </c>
      <c r="AC46" s="3131">
        <f t="shared" si="17"/>
        <v>1</v>
      </c>
    </row>
    <row r="47" spans="1:29" ht="15">
      <c r="A47" s="3178" t="s">
        <v>1707</v>
      </c>
      <c r="B47" s="3179"/>
      <c r="C47" s="3180" t="s">
        <v>16</v>
      </c>
      <c r="D47" s="3181"/>
      <c r="E47" s="3182">
        <v>8035</v>
      </c>
      <c r="F47" s="3183"/>
      <c r="G47" s="3184">
        <v>7934</v>
      </c>
      <c r="H47" s="3185"/>
      <c r="I47" s="3182">
        <v>7641</v>
      </c>
      <c r="J47" s="3185"/>
      <c r="K47" s="3186"/>
      <c r="L47" s="3187"/>
      <c r="M47" s="3188"/>
      <c r="N47" s="3069"/>
      <c r="O47" s="3188"/>
      <c r="P47" s="4188" t="str">
        <f>A47</f>
        <v>成交单价（元/平方米）</v>
      </c>
      <c r="Q47" s="4188"/>
      <c r="R47" s="4189">
        <f>E47</f>
        <v>8035</v>
      </c>
      <c r="S47" s="4189"/>
      <c r="T47" s="4189">
        <f>G47</f>
        <v>7934</v>
      </c>
      <c r="U47" s="4189"/>
      <c r="V47" s="4189">
        <f>I47</f>
        <v>7641</v>
      </c>
      <c r="W47" s="4189"/>
      <c r="X47" s="3189"/>
      <c r="Y47" s="3190"/>
      <c r="Z47" s="3189"/>
      <c r="AA47" s="3189"/>
      <c r="AB47" s="3189"/>
      <c r="AC47" s="3189"/>
    </row>
    <row r="48" spans="1:29" ht="15.75" thickBot="1">
      <c r="A48" s="3191" t="s">
        <v>1708</v>
      </c>
      <c r="B48" s="3192"/>
      <c r="C48" s="3193">
        <f>R49</f>
        <v>7952</v>
      </c>
      <c r="D48" s="3194" t="s">
        <v>2135</v>
      </c>
      <c r="E48" s="3195">
        <f>R48</f>
        <v>7963</v>
      </c>
      <c r="F48" s="3196"/>
      <c r="G48" s="3193">
        <f>T48</f>
        <v>7856</v>
      </c>
      <c r="H48" s="3196"/>
      <c r="I48" s="3195">
        <f>V48</f>
        <v>8038</v>
      </c>
      <c r="J48" s="3196"/>
      <c r="K48" s="3197">
        <f>F48+H48+J48</f>
        <v>0</v>
      </c>
      <c r="L48" s="3187"/>
      <c r="M48" s="3188"/>
      <c r="N48" s="3188"/>
      <c r="O48" s="3188"/>
      <c r="P48" s="4188" t="str">
        <f>A48</f>
        <v>比较价值（元/平方米）</v>
      </c>
      <c r="Q48" s="4188"/>
      <c r="R48" s="4189">
        <f>IF(F1="售价",ROUND(PRODUCT(R47,AA7:AA46),0),ROUND(PRODUCT(R47,AA7:AA46),1))</f>
        <v>7963</v>
      </c>
      <c r="S48" s="4189"/>
      <c r="T48" s="4189">
        <f>IF(F1="售价",ROUND(PRODUCT(T47,AB7:AB46),0),ROUND(PRODUCT(T47,AB7:AB46),1))</f>
        <v>7856</v>
      </c>
      <c r="U48" s="4189"/>
      <c r="V48" s="4189">
        <f>IF(F1="售价",ROUND(PRODUCT(V47,AC7:AC46),0),ROUND(PRODUCT(V47,AC7:AC46),1))</f>
        <v>8038</v>
      </c>
      <c r="W48" s="4189"/>
      <c r="X48" s="3189"/>
      <c r="Y48" s="3189"/>
      <c r="Z48" s="3189"/>
      <c r="AA48" s="3189"/>
      <c r="AB48" s="3189"/>
      <c r="AC48" s="3189"/>
    </row>
    <row r="49" spans="1:29" ht="15.75" thickBot="1">
      <c r="A49" s="3198" t="s">
        <v>1709</v>
      </c>
      <c r="B49" s="3199"/>
      <c r="C49" s="3200">
        <f>R49</f>
        <v>7952</v>
      </c>
      <c r="D49" s="3076"/>
      <c r="E49" s="3076"/>
      <c r="F49" s="3076"/>
      <c r="G49" s="3076"/>
      <c r="H49" s="3076"/>
      <c r="I49" s="3076"/>
      <c r="J49" s="3076"/>
      <c r="K49" s="3119"/>
      <c r="L49" s="3187"/>
      <c r="M49" s="3188"/>
      <c r="N49" s="3188"/>
      <c r="O49" s="3188"/>
      <c r="P49" s="4185" t="str">
        <f>A49</f>
        <v>估价对象XX用房的比较价值（楼面单价，元/平方米）</v>
      </c>
      <c r="Q49" s="4186"/>
      <c r="R49" s="4187">
        <f>IF(F1="售价",ROUND(IF(D48="简单平均",AVERAGE(R48:V48),R48*F48+T48*H48+V48*J48),0),ROUND(IF(D48="简单平均",AVERAGE(R48:V48),R48*F48+T48*H48+V48*J48),1))</f>
        <v>7952</v>
      </c>
      <c r="S49" s="4187"/>
      <c r="T49" s="4187"/>
      <c r="U49" s="4187"/>
      <c r="V49" s="4187"/>
      <c r="W49" s="4187"/>
      <c r="X49" s="3189"/>
      <c r="Y49" s="3189"/>
      <c r="Z49" s="3189"/>
      <c r="AA49" s="3189"/>
      <c r="AB49" s="3189"/>
      <c r="AC49" s="3189"/>
    </row>
    <row r="50" spans="1:29">
      <c r="A50" s="3188"/>
      <c r="B50" s="3188"/>
      <c r="C50" s="3188"/>
      <c r="D50" s="3188"/>
      <c r="E50" s="3188"/>
      <c r="F50" s="3188"/>
      <c r="G50" s="3188"/>
      <c r="H50" s="3188"/>
      <c r="I50" s="3188"/>
      <c r="J50" s="3188"/>
      <c r="K50" s="3188"/>
      <c r="L50" s="3188"/>
      <c r="M50" s="3188"/>
      <c r="N50" s="3188"/>
      <c r="O50" s="3188"/>
    </row>
    <row r="51" spans="1:29">
      <c r="A51" s="3188"/>
      <c r="B51" s="3188"/>
      <c r="C51" s="3188"/>
      <c r="D51" s="3188"/>
      <c r="E51" s="3188"/>
      <c r="F51" s="3188"/>
      <c r="G51" s="3188"/>
      <c r="H51" s="3188"/>
      <c r="I51" s="3188"/>
      <c r="J51" s="3188"/>
      <c r="K51" s="3188"/>
      <c r="L51" s="3188"/>
      <c r="M51" s="3188"/>
      <c r="N51" s="3188"/>
      <c r="O51" s="3188"/>
    </row>
    <row r="52" spans="1:29" ht="13.5" customHeight="1">
      <c r="A52" s="3188"/>
      <c r="B52" s="3188"/>
      <c r="C52" s="3202" t="s">
        <v>1710</v>
      </c>
      <c r="D52" s="3203"/>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4" t="str">
        <f>IF(OR(I52&gt;=0.3,I52&lt;=-0.3),"超过30%","")</f>
        <v/>
      </c>
      <c r="K52" s="3188"/>
      <c r="L52" s="3188"/>
      <c r="M52" s="3188"/>
      <c r="N52" s="3188"/>
      <c r="O52" s="3188"/>
    </row>
    <row r="53" spans="1:29" ht="13.5" customHeight="1">
      <c r="A53" s="3188"/>
      <c r="B53" s="3188"/>
      <c r="C53" s="3202" t="s">
        <v>1711</v>
      </c>
      <c r="D53" s="3205"/>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4" t="str">
        <f>IF(OR(I53&gt;=0.2,I53&lt;=-0.2),"超过20%","")</f>
        <v/>
      </c>
      <c r="K53" s="3188"/>
      <c r="L53" s="3188"/>
      <c r="M53" s="3188"/>
      <c r="N53" s="3188"/>
      <c r="O53" s="3188"/>
    </row>
    <row r="54" spans="1:29" s="3208" customFormat="1" ht="13.5" customHeight="1">
      <c r="A54" s="3206"/>
      <c r="B54" s="3206"/>
      <c r="C54" s="3202" t="s">
        <v>1712</v>
      </c>
      <c r="D54" s="3205"/>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4" t="str">
        <f>IF(OR(I54&gt;=0.3,I54&lt;=-0.3),"超过30%","")</f>
        <v/>
      </c>
      <c r="K54" s="3206"/>
      <c r="L54" s="3206"/>
      <c r="M54" s="3206"/>
      <c r="N54" s="3206"/>
      <c r="O54" s="3206"/>
      <c r="P54" s="3207"/>
    </row>
    <row r="55" spans="1:29" s="3208" customFormat="1">
      <c r="A55" s="3206"/>
      <c r="B55" s="3188"/>
      <c r="C55" s="3188"/>
      <c r="D55" s="3206"/>
      <c r="E55" s="3206"/>
      <c r="F55" s="3206"/>
      <c r="G55" s="3206"/>
      <c r="H55" s="3206"/>
      <c r="I55" s="3206"/>
      <c r="J55" s="3206"/>
      <c r="K55" s="3206"/>
      <c r="L55" s="3206"/>
      <c r="M55" s="3206"/>
      <c r="N55" s="3206"/>
      <c r="O55" s="3206"/>
      <c r="P55" s="3207"/>
    </row>
    <row r="56" spans="1:29">
      <c r="A56" s="3188"/>
      <c r="B56" s="3188"/>
      <c r="C56" s="3188"/>
      <c r="D56" s="3188"/>
      <c r="E56" s="3188"/>
      <c r="F56" s="3188"/>
      <c r="G56" s="3188"/>
      <c r="H56" s="3188"/>
      <c r="I56" s="3188"/>
      <c r="J56" s="3188"/>
      <c r="K56" s="3188"/>
      <c r="L56" s="3188"/>
      <c r="M56" s="3188"/>
      <c r="N56" s="3188"/>
      <c r="O56" s="3188"/>
    </row>
    <row r="57" spans="1:29" ht="21.75" thickBot="1">
      <c r="A57" s="3209" t="s">
        <v>1713</v>
      </c>
      <c r="B57" s="3189"/>
      <c r="C57" s="3210"/>
      <c r="D57" s="3210"/>
      <c r="E57" s="3210"/>
      <c r="F57" s="3211"/>
      <c r="G57" s="3211"/>
      <c r="H57" s="3210"/>
      <c r="I57" s="3210"/>
      <c r="J57" s="3210"/>
      <c r="K57" s="3212"/>
      <c r="L57" s="3213"/>
      <c r="M57" s="3213"/>
      <c r="N57" s="3213"/>
      <c r="O57" s="3213"/>
      <c r="P57" s="3214"/>
      <c r="Q57" s="3215"/>
    </row>
    <row r="58" spans="1:29" s="3087" customFormat="1" ht="15">
      <c r="A58" s="3216" t="s">
        <v>1714</v>
      </c>
      <c r="B58" s="3217"/>
      <c r="C58" s="3218" t="str">
        <f>YEAR(C7)&amp;"-"&amp;MONTH(C7)</f>
        <v>2006-11</v>
      </c>
      <c r="D58" s="3365">
        <f>EDATE(C58,-1)</f>
        <v>38991</v>
      </c>
      <c r="E58" s="3365">
        <f>EDATE(D58,-1)</f>
        <v>38961</v>
      </c>
      <c r="F58" s="3365">
        <f t="shared" ref="F58:O58" si="19">EDATE(E58,-1)</f>
        <v>38930</v>
      </c>
      <c r="G58" s="3365">
        <f t="shared" si="19"/>
        <v>38899</v>
      </c>
      <c r="H58" s="3365">
        <f t="shared" si="19"/>
        <v>38869</v>
      </c>
      <c r="I58" s="3365">
        <f t="shared" si="19"/>
        <v>38838</v>
      </c>
      <c r="J58" s="3365">
        <f t="shared" si="19"/>
        <v>38808</v>
      </c>
      <c r="K58" s="3365">
        <f t="shared" si="19"/>
        <v>38777</v>
      </c>
      <c r="L58" s="3365">
        <f t="shared" si="19"/>
        <v>38749</v>
      </c>
      <c r="M58" s="3365">
        <f t="shared" si="19"/>
        <v>38718</v>
      </c>
      <c r="N58" s="3365">
        <f t="shared" si="19"/>
        <v>38687</v>
      </c>
      <c r="O58" s="3365">
        <f t="shared" si="19"/>
        <v>38657</v>
      </c>
      <c r="P58" s="3219"/>
    </row>
    <row r="59" spans="1:29" s="3087" customFormat="1" ht="15">
      <c r="A59" s="3220"/>
      <c r="B59" s="3221"/>
      <c r="C59" s="3222">
        <v>100</v>
      </c>
      <c r="D59" s="3223">
        <v>99.99</v>
      </c>
      <c r="E59" s="3224">
        <v>99.98</v>
      </c>
      <c r="F59" s="3223">
        <v>99.97</v>
      </c>
      <c r="G59" s="3224">
        <v>99.96</v>
      </c>
      <c r="H59" s="3223">
        <v>99.95</v>
      </c>
      <c r="I59" s="3224">
        <v>99.94</v>
      </c>
      <c r="J59" s="3223">
        <v>99.93</v>
      </c>
      <c r="K59" s="3224">
        <v>99.920000000000101</v>
      </c>
      <c r="L59" s="3223">
        <v>99.910000000000096</v>
      </c>
      <c r="M59" s="3224">
        <v>99.89</v>
      </c>
      <c r="N59" s="3224">
        <v>99.900000000000105</v>
      </c>
      <c r="O59" s="3224">
        <v>99.9</v>
      </c>
      <c r="P59" s="3225"/>
    </row>
    <row r="60" spans="1:29" s="3087" customFormat="1" ht="15.75" thickBot="1">
      <c r="A60" s="3002" t="s">
        <v>1715</v>
      </c>
      <c r="B60" s="3226"/>
      <c r="C60" s="3227">
        <v>100</v>
      </c>
      <c r="D60" s="3223"/>
      <c r="E60" s="3224"/>
      <c r="F60" s="3223"/>
      <c r="G60" s="3224"/>
      <c r="H60" s="3223"/>
      <c r="I60" s="3224"/>
      <c r="J60" s="3223"/>
      <c r="K60" s="3224"/>
      <c r="L60" s="3223"/>
      <c r="M60" s="3224"/>
      <c r="N60" s="3228"/>
      <c r="O60" s="3229"/>
      <c r="P60" s="3225"/>
      <c r="Q60" s="3215"/>
    </row>
    <row r="61" spans="1:29" s="3087" customFormat="1" ht="15">
      <c r="A61" s="3230" t="s">
        <v>1716</v>
      </c>
      <c r="B61" s="3231"/>
      <c r="C61" s="3232" t="s">
        <v>1717</v>
      </c>
      <c r="D61" s="3233"/>
      <c r="E61" s="3233"/>
      <c r="F61" s="3233"/>
      <c r="G61" s="3233"/>
      <c r="H61" s="3233"/>
      <c r="I61" s="3233"/>
      <c r="J61" s="3233"/>
      <c r="K61" s="3233"/>
      <c r="L61" s="3234"/>
      <c r="M61" s="3235"/>
      <c r="N61" s="3236"/>
      <c r="O61" s="3236"/>
      <c r="P61" s="3237"/>
      <c r="Q61" s="3215"/>
    </row>
    <row r="62" spans="1:29" s="3087" customFormat="1" ht="15.75" thickBot="1">
      <c r="A62" s="3230"/>
      <c r="B62" s="3231"/>
      <c r="C62" s="3223">
        <v>100</v>
      </c>
      <c r="D62" s="3224"/>
      <c r="E62" s="3224"/>
      <c r="F62" s="3224"/>
      <c r="G62" s="3224"/>
      <c r="H62" s="3224"/>
      <c r="I62" s="3224"/>
      <c r="J62" s="3224"/>
      <c r="K62" s="3224"/>
      <c r="L62" s="3224"/>
      <c r="M62" s="3238"/>
      <c r="N62" s="3236"/>
      <c r="O62" s="3236"/>
      <c r="P62" s="3225"/>
      <c r="Q62" s="3215"/>
    </row>
    <row r="63" spans="1:29">
      <c r="A63" s="3121" t="s">
        <v>1718</v>
      </c>
      <c r="B63" s="3239" t="s">
        <v>1684</v>
      </c>
      <c r="C63" s="3240" t="str">
        <f>C9</f>
        <v>住宅</v>
      </c>
      <c r="D63" s="3241"/>
      <c r="E63" s="3241"/>
      <c r="F63" s="3241"/>
      <c r="G63" s="3241"/>
      <c r="H63" s="3241"/>
      <c r="I63" s="3241"/>
      <c r="J63" s="3241"/>
      <c r="K63" s="3242"/>
      <c r="L63" s="3243"/>
      <c r="M63" s="3244"/>
      <c r="N63" s="3245"/>
      <c r="O63" s="3245"/>
      <c r="P63" s="3225"/>
      <c r="Q63" s="3215"/>
    </row>
    <row r="64" spans="1:29" ht="15.75" thickBot="1">
      <c r="A64" s="3105"/>
      <c r="B64" s="3246"/>
      <c r="C64" s="3247">
        <v>100</v>
      </c>
      <c r="D64" s="3247"/>
      <c r="E64" s="3247"/>
      <c r="F64" s="3247"/>
      <c r="G64" s="3247"/>
      <c r="H64" s="3247"/>
      <c r="I64" s="3247"/>
      <c r="J64" s="3247"/>
      <c r="K64" s="3247"/>
      <c r="L64" s="3247"/>
      <c r="M64" s="3248"/>
      <c r="N64" s="3249"/>
      <c r="O64" s="3249"/>
      <c r="P64" s="3225"/>
      <c r="Q64" s="3215"/>
    </row>
    <row r="65" spans="1:17" ht="27.75" thickTop="1">
      <c r="A65" s="3105"/>
      <c r="B65" s="3250" t="s">
        <v>1687</v>
      </c>
      <c r="C65" s="3251"/>
      <c r="D65" s="3251"/>
      <c r="E65" s="3251"/>
      <c r="F65" s="3251"/>
      <c r="G65" s="3251"/>
      <c r="H65" s="3251"/>
      <c r="I65" s="3251"/>
      <c r="J65" s="3251"/>
      <c r="K65" s="3251"/>
      <c r="L65" s="3251"/>
      <c r="M65" s="3251"/>
      <c r="N65" s="3249"/>
      <c r="O65" s="3249"/>
      <c r="P65" s="3225"/>
      <c r="Q65" s="3215"/>
    </row>
    <row r="66" spans="1:17" ht="15.75" thickBot="1">
      <c r="A66" s="3105"/>
      <c r="B66" s="3252"/>
      <c r="C66" s="3247"/>
      <c r="D66" s="3247"/>
      <c r="E66" s="3247"/>
      <c r="F66" s="3247"/>
      <c r="G66" s="3247"/>
      <c r="H66" s="3247"/>
      <c r="I66" s="3247"/>
      <c r="J66" s="3247"/>
      <c r="K66" s="3247"/>
      <c r="L66" s="3247"/>
      <c r="M66" s="3248"/>
      <c r="N66" s="3249"/>
      <c r="O66" s="3249"/>
      <c r="P66" s="3225"/>
      <c r="Q66" s="3215"/>
    </row>
    <row r="67" spans="1:17" ht="15.75" thickTop="1">
      <c r="A67" s="3105"/>
      <c r="B67" s="3253" t="s">
        <v>1688</v>
      </c>
      <c r="C67" s="3254" t="str">
        <f>C68&amp;"（含）"&amp;"-"&amp;D68</f>
        <v>1（含）-</v>
      </c>
      <c r="D67" s="3254" t="str">
        <f t="shared" ref="D67:L67" si="20">D68&amp;"（含）"&amp;"-"&amp;E68</f>
        <v>（含）-</v>
      </c>
      <c r="E67" s="3254" t="str">
        <f t="shared" si="20"/>
        <v>（含）-</v>
      </c>
      <c r="F67" s="3254" t="str">
        <f t="shared" si="20"/>
        <v>（含）-</v>
      </c>
      <c r="G67" s="3254" t="str">
        <f t="shared" si="20"/>
        <v>（含）-</v>
      </c>
      <c r="H67" s="3254" t="str">
        <f t="shared" si="20"/>
        <v>（含）-</v>
      </c>
      <c r="I67" s="3254" t="str">
        <f t="shared" si="20"/>
        <v>（含）-</v>
      </c>
      <c r="J67" s="3254" t="str">
        <f t="shared" si="20"/>
        <v>（含）-</v>
      </c>
      <c r="K67" s="3254" t="str">
        <f>K68&amp;"（含）"&amp;"-"&amp;L68</f>
        <v>（含）-</v>
      </c>
      <c r="L67" s="3254" t="str">
        <f t="shared" si="20"/>
        <v>（含）-</v>
      </c>
      <c r="M67" s="3134" t="str">
        <f>M68&amp;"（含）"&amp;"-"&amp;P68</f>
        <v>（含）-</v>
      </c>
      <c r="N67" s="3249"/>
      <c r="O67" s="3249"/>
      <c r="P67" s="3225"/>
      <c r="Q67" s="3215"/>
    </row>
    <row r="68" spans="1:17" ht="15">
      <c r="A68" s="3105"/>
      <c r="B68" s="3255"/>
      <c r="C68" s="3256">
        <v>1</v>
      </c>
      <c r="D68" s="3256"/>
      <c r="E68" s="3256"/>
      <c r="F68" s="3256"/>
      <c r="G68" s="3256"/>
      <c r="H68" s="3256"/>
      <c r="I68" s="3256"/>
      <c r="J68" s="3256"/>
      <c r="K68" s="3257"/>
      <c r="L68" s="3258"/>
      <c r="M68" s="3259"/>
      <c r="N68" s="3245"/>
      <c r="O68" s="3245"/>
      <c r="P68" s="3225"/>
      <c r="Q68" s="3215"/>
    </row>
    <row r="69" spans="1:17" ht="15.75" thickBot="1">
      <c r="A69" s="3105"/>
      <c r="B69" s="3246"/>
      <c r="C69" s="3260">
        <v>100</v>
      </c>
      <c r="D69" s="3260">
        <f t="shared" ref="D69:M69" si="21">C69-$K11</f>
        <v>100</v>
      </c>
      <c r="E69" s="3260">
        <f t="shared" si="21"/>
        <v>100</v>
      </c>
      <c r="F69" s="3260">
        <f t="shared" si="21"/>
        <v>100</v>
      </c>
      <c r="G69" s="3260">
        <f t="shared" si="21"/>
        <v>100</v>
      </c>
      <c r="H69" s="3260">
        <f t="shared" si="21"/>
        <v>100</v>
      </c>
      <c r="I69" s="3260">
        <f t="shared" si="21"/>
        <v>100</v>
      </c>
      <c r="J69" s="3260">
        <f t="shared" si="21"/>
        <v>100</v>
      </c>
      <c r="K69" s="3260">
        <f t="shared" si="21"/>
        <v>100</v>
      </c>
      <c r="L69" s="3260">
        <f t="shared" si="21"/>
        <v>100</v>
      </c>
      <c r="M69" s="3261">
        <f t="shared" si="21"/>
        <v>100</v>
      </c>
      <c r="N69" s="3249"/>
      <c r="O69" s="3249"/>
      <c r="P69" s="3225"/>
      <c r="Q69" s="3215"/>
    </row>
    <row r="70" spans="1:17" s="3172" customFormat="1" ht="15.75" thickTop="1">
      <c r="A70" s="3262"/>
      <c r="B70" s="3250">
        <f>B12</f>
        <v>111</v>
      </c>
      <c r="C70" s="3263"/>
      <c r="D70" s="3263"/>
      <c r="E70" s="3263"/>
      <c r="F70" s="3263"/>
      <c r="G70" s="3263"/>
      <c r="H70" s="3264"/>
      <c r="I70" s="3264"/>
      <c r="J70" s="3264"/>
      <c r="K70" s="3264"/>
      <c r="L70" s="3265"/>
      <c r="M70" s="3266"/>
      <c r="N70" s="3267"/>
      <c r="O70" s="3267"/>
      <c r="P70" s="3268"/>
      <c r="Q70" s="3269"/>
    </row>
    <row r="71" spans="1:17" s="3172" customFormat="1" ht="15.75" thickBot="1">
      <c r="A71" s="3262"/>
      <c r="B71" s="3252"/>
      <c r="C71" s="3270"/>
      <c r="D71" s="3247"/>
      <c r="E71" s="3247"/>
      <c r="F71" s="3247"/>
      <c r="G71" s="3247"/>
      <c r="H71" s="3247"/>
      <c r="I71" s="3247"/>
      <c r="J71" s="3247"/>
      <c r="K71" s="3247"/>
      <c r="L71" s="3247"/>
      <c r="M71" s="3248"/>
      <c r="N71" s="3249"/>
      <c r="O71" s="3249"/>
      <c r="P71" s="3268"/>
      <c r="Q71" s="3269"/>
    </row>
    <row r="72" spans="1:17" s="3172" customFormat="1" ht="15.75" thickTop="1">
      <c r="A72" s="3262"/>
      <c r="B72" s="3250">
        <f>B13</f>
        <v>111</v>
      </c>
      <c r="C72" s="3263"/>
      <c r="D72" s="3263"/>
      <c r="E72" s="3263"/>
      <c r="F72" s="3263"/>
      <c r="G72" s="3263"/>
      <c r="H72" s="3264"/>
      <c r="I72" s="3264"/>
      <c r="J72" s="3264"/>
      <c r="K72" s="3264"/>
      <c r="L72" s="3265"/>
      <c r="M72" s="3266"/>
      <c r="N72" s="3267"/>
      <c r="O72" s="3267"/>
      <c r="P72" s="3271"/>
      <c r="Q72" s="3272"/>
    </row>
    <row r="73" spans="1:17" s="3172" customFormat="1" ht="15.75" thickBot="1">
      <c r="A73" s="3262"/>
      <c r="B73" s="3252"/>
      <c r="C73" s="3270"/>
      <c r="D73" s="3270"/>
      <c r="E73" s="3270"/>
      <c r="F73" s="3270"/>
      <c r="G73" s="3270"/>
      <c r="H73" s="3273"/>
      <c r="I73" s="3273"/>
      <c r="J73" s="3273"/>
      <c r="K73" s="3273"/>
      <c r="L73" s="3273"/>
      <c r="M73" s="3274"/>
      <c r="N73" s="3267"/>
      <c r="O73" s="3267"/>
      <c r="P73" s="3268"/>
      <c r="Q73" s="3269"/>
    </row>
    <row r="74" spans="1:17" s="3172" customFormat="1" ht="15.75" thickTop="1">
      <c r="A74" s="3262"/>
      <c r="B74" s="3253">
        <f>B14</f>
        <v>111</v>
      </c>
      <c r="C74" s="3263"/>
      <c r="D74" s="3263"/>
      <c r="E74" s="3263"/>
      <c r="F74" s="3263"/>
      <c r="G74" s="3233"/>
      <c r="H74" s="3275"/>
      <c r="I74" s="3275"/>
      <c r="J74" s="3275"/>
      <c r="K74" s="3275"/>
      <c r="L74" s="3276"/>
      <c r="M74" s="3277"/>
      <c r="N74" s="3267"/>
      <c r="O74" s="3267"/>
      <c r="P74" s="3278"/>
      <c r="Q74" s="3269"/>
    </row>
    <row r="75" spans="1:17" s="3172" customFormat="1" ht="15.75" thickBot="1">
      <c r="A75" s="3279"/>
      <c r="B75" s="3280"/>
      <c r="C75" s="3281"/>
      <c r="D75" s="3281"/>
      <c r="E75" s="3281"/>
      <c r="F75" s="3281"/>
      <c r="G75" s="3281"/>
      <c r="H75" s="3282"/>
      <c r="I75" s="3282"/>
      <c r="J75" s="3282"/>
      <c r="K75" s="3282"/>
      <c r="L75" s="3282"/>
      <c r="M75" s="3283"/>
      <c r="N75" s="3267"/>
      <c r="O75" s="3267"/>
      <c r="P75" s="3268"/>
      <c r="Q75" s="3269"/>
    </row>
    <row r="76" spans="1:17">
      <c r="A76" s="3121" t="s">
        <v>1689</v>
      </c>
      <c r="B76" s="3239" t="s">
        <v>1719</v>
      </c>
      <c r="C76" s="3284" t="s">
        <v>1720</v>
      </c>
      <c r="D76" s="3284" t="s">
        <v>1721</v>
      </c>
      <c r="E76" s="3284" t="s">
        <v>1722</v>
      </c>
      <c r="F76" s="3284" t="s">
        <v>1723</v>
      </c>
      <c r="G76" s="3284" t="s">
        <v>1724</v>
      </c>
      <c r="H76" s="3240"/>
      <c r="I76" s="3240"/>
      <c r="J76" s="3240"/>
      <c r="K76" s="3285"/>
      <c r="L76" s="3286"/>
      <c r="M76" s="3287"/>
      <c r="N76" s="3245"/>
      <c r="O76" s="3245"/>
      <c r="P76" s="3288"/>
      <c r="Q76" s="3215"/>
    </row>
    <row r="77" spans="1:17" ht="15.75" thickBot="1">
      <c r="A77" s="3105"/>
      <c r="B77" s="3252"/>
      <c r="C77" s="3260">
        <v>100</v>
      </c>
      <c r="D77" s="3260">
        <f>C77-$K15</f>
        <v>98</v>
      </c>
      <c r="E77" s="3260">
        <f>D77-$K15</f>
        <v>96</v>
      </c>
      <c r="F77" s="3260">
        <f>E77-$K15</f>
        <v>94</v>
      </c>
      <c r="G77" s="3260">
        <f>F77-$K15</f>
        <v>92</v>
      </c>
      <c r="H77" s="3260"/>
      <c r="I77" s="3260"/>
      <c r="J77" s="3260"/>
      <c r="K77" s="3260"/>
      <c r="L77" s="3260"/>
      <c r="M77" s="3261"/>
      <c r="N77" s="3249"/>
      <c r="O77" s="3249"/>
      <c r="P77" s="3225"/>
      <c r="Q77" s="3215"/>
    </row>
    <row r="78" spans="1:17" ht="15.75" thickTop="1">
      <c r="A78" s="3105"/>
      <c r="B78" s="3250" t="s">
        <v>1725</v>
      </c>
      <c r="C78" s="3289" t="s">
        <v>1720</v>
      </c>
      <c r="D78" s="3289" t="s">
        <v>1721</v>
      </c>
      <c r="E78" s="3289" t="s">
        <v>1722</v>
      </c>
      <c r="F78" s="3289" t="s">
        <v>1723</v>
      </c>
      <c r="G78" s="3289" t="s">
        <v>1724</v>
      </c>
      <c r="H78" s="3290"/>
      <c r="I78" s="3290"/>
      <c r="J78" s="3290"/>
      <c r="K78" s="3291"/>
      <c r="L78" s="3292"/>
      <c r="M78" s="3293"/>
      <c r="N78" s="3245"/>
      <c r="O78" s="3245"/>
      <c r="P78" s="3225"/>
      <c r="Q78" s="3215"/>
    </row>
    <row r="79" spans="1:17" ht="15.75" thickBot="1">
      <c r="A79" s="3105"/>
      <c r="B79" s="3252"/>
      <c r="C79" s="3260">
        <v>100</v>
      </c>
      <c r="D79" s="3260">
        <f>C79-$K17</f>
        <v>98</v>
      </c>
      <c r="E79" s="3260">
        <f>D79-$K17</f>
        <v>96</v>
      </c>
      <c r="F79" s="3260">
        <f>E79-$K17</f>
        <v>94</v>
      </c>
      <c r="G79" s="3260">
        <f>F79-$K17</f>
        <v>92</v>
      </c>
      <c r="H79" s="3260"/>
      <c r="I79" s="3260"/>
      <c r="J79" s="3260"/>
      <c r="K79" s="3260"/>
      <c r="L79" s="3260"/>
      <c r="M79" s="3261"/>
      <c r="N79" s="3249"/>
      <c r="O79" s="3249"/>
      <c r="P79" s="3225"/>
      <c r="Q79" s="3215"/>
    </row>
    <row r="80" spans="1:17" ht="15.75" thickTop="1">
      <c r="A80" s="3105"/>
      <c r="B80" s="3250" t="s">
        <v>1726</v>
      </c>
      <c r="C80" s="3289" t="s">
        <v>1720</v>
      </c>
      <c r="D80" s="3289" t="s">
        <v>1721</v>
      </c>
      <c r="E80" s="3289" t="s">
        <v>1722</v>
      </c>
      <c r="F80" s="3289" t="s">
        <v>1723</v>
      </c>
      <c r="G80" s="3289" t="s">
        <v>1724</v>
      </c>
      <c r="H80" s="3290"/>
      <c r="I80" s="3290"/>
      <c r="J80" s="3290"/>
      <c r="K80" s="3291"/>
      <c r="L80" s="3292"/>
      <c r="M80" s="3293"/>
      <c r="N80" s="3245"/>
      <c r="O80" s="3245"/>
      <c r="P80" s="3225"/>
      <c r="Q80" s="3215"/>
    </row>
    <row r="81" spans="1:17" ht="15.75" thickBot="1">
      <c r="A81" s="3105"/>
      <c r="B81" s="3252"/>
      <c r="C81" s="3260">
        <v>100</v>
      </c>
      <c r="D81" s="3260">
        <f>C81-$K19</f>
        <v>98</v>
      </c>
      <c r="E81" s="3260">
        <f>D81-$K19</f>
        <v>96</v>
      </c>
      <c r="F81" s="3260">
        <f>E81-$K19</f>
        <v>94</v>
      </c>
      <c r="G81" s="3260">
        <f>F81-$K19</f>
        <v>92</v>
      </c>
      <c r="H81" s="3260"/>
      <c r="I81" s="3260"/>
      <c r="J81" s="3260"/>
      <c r="K81" s="3260"/>
      <c r="L81" s="3260"/>
      <c r="M81" s="3261"/>
      <c r="N81" s="3249"/>
      <c r="O81" s="3249"/>
      <c r="P81" s="3225"/>
      <c r="Q81" s="3215"/>
    </row>
    <row r="82" spans="1:17" ht="15.75" thickTop="1">
      <c r="A82" s="3105"/>
      <c r="B82" s="3253" t="s">
        <v>1259</v>
      </c>
      <c r="C82" s="3290" t="s">
        <v>1727</v>
      </c>
      <c r="D82" s="3290" t="s">
        <v>1728</v>
      </c>
      <c r="E82" s="3290" t="s">
        <v>1729</v>
      </c>
      <c r="F82" s="3290" t="s">
        <v>1730</v>
      </c>
      <c r="G82" s="3290" t="s">
        <v>1731</v>
      </c>
      <c r="H82" s="3290"/>
      <c r="I82" s="3290"/>
      <c r="J82" s="3290"/>
      <c r="K82" s="3290"/>
      <c r="L82" s="3290"/>
      <c r="M82" s="3294"/>
      <c r="N82" s="3249"/>
      <c r="O82" s="3249"/>
      <c r="P82" s="3225"/>
      <c r="Q82" s="3215"/>
    </row>
    <row r="83" spans="1:17" ht="15.75" thickBot="1">
      <c r="A83" s="3105"/>
      <c r="B83" s="3253"/>
      <c r="C83" s="3295">
        <v>100</v>
      </c>
      <c r="D83" s="3295">
        <f>C83-$K21</f>
        <v>100</v>
      </c>
      <c r="E83" s="3295">
        <f t="shared" ref="E83:G83" si="22">D83-$K21</f>
        <v>100</v>
      </c>
      <c r="F83" s="3295">
        <f t="shared" si="22"/>
        <v>100</v>
      </c>
      <c r="G83" s="3295">
        <f t="shared" si="22"/>
        <v>100</v>
      </c>
      <c r="H83" s="3295"/>
      <c r="I83" s="3295"/>
      <c r="J83" s="3295"/>
      <c r="K83" s="3295"/>
      <c r="L83" s="3295"/>
      <c r="M83" s="3136"/>
      <c r="N83" s="3249"/>
      <c r="O83" s="3249"/>
      <c r="P83" s="3225"/>
      <c r="Q83" s="3215"/>
    </row>
    <row r="84" spans="1:17" ht="15.75" thickTop="1">
      <c r="A84" s="3105"/>
      <c r="B84" s="3250" t="s">
        <v>1732</v>
      </c>
      <c r="C84" s="3289" t="s">
        <v>1720</v>
      </c>
      <c r="D84" s="3289" t="s">
        <v>1721</v>
      </c>
      <c r="E84" s="3289" t="s">
        <v>1722</v>
      </c>
      <c r="F84" s="3289" t="s">
        <v>1723</v>
      </c>
      <c r="G84" s="3289" t="s">
        <v>1724</v>
      </c>
      <c r="H84" s="3290"/>
      <c r="I84" s="3290"/>
      <c r="J84" s="3290"/>
      <c r="K84" s="3291"/>
      <c r="L84" s="3292"/>
      <c r="M84" s="3293"/>
      <c r="N84" s="3245"/>
      <c r="O84" s="3245"/>
      <c r="P84" s="3225"/>
      <c r="Q84" s="3215"/>
    </row>
    <row r="85" spans="1:17" ht="15.75" thickBot="1">
      <c r="A85" s="3105"/>
      <c r="B85" s="3252"/>
      <c r="C85" s="3260">
        <v>100</v>
      </c>
      <c r="D85" s="3260">
        <f>C85-$K23</f>
        <v>100</v>
      </c>
      <c r="E85" s="3260">
        <f>D85-$K23</f>
        <v>100</v>
      </c>
      <c r="F85" s="3260">
        <f>E85-$K23</f>
        <v>100</v>
      </c>
      <c r="G85" s="3260">
        <f>F85-$K23</f>
        <v>100</v>
      </c>
      <c r="H85" s="3260"/>
      <c r="I85" s="3260"/>
      <c r="J85" s="3260"/>
      <c r="K85" s="3260"/>
      <c r="L85" s="3260"/>
      <c r="M85" s="3261"/>
      <c r="N85" s="3249"/>
      <c r="O85" s="3249"/>
      <c r="P85" s="3225"/>
      <c r="Q85" s="3215"/>
    </row>
    <row r="86" spans="1:17" s="3087" customFormat="1" ht="15.75" thickTop="1">
      <c r="A86" s="3108"/>
      <c r="B86" s="3250" t="s">
        <v>1733</v>
      </c>
      <c r="C86" s="3296"/>
      <c r="D86" s="3296"/>
      <c r="E86" s="3263"/>
      <c r="F86" s="3263"/>
      <c r="G86" s="3263"/>
      <c r="H86" s="3263"/>
      <c r="I86" s="3263"/>
      <c r="J86" s="3263"/>
      <c r="K86" s="3263"/>
      <c r="L86" s="3297"/>
      <c r="M86" s="3298"/>
      <c r="N86" s="3236"/>
      <c r="O86" s="3236"/>
      <c r="P86" s="3225"/>
      <c r="Q86" s="3215"/>
    </row>
    <row r="87" spans="1:17" s="3087" customFormat="1" ht="15.75" thickBot="1">
      <c r="A87" s="3108"/>
      <c r="B87" s="3252"/>
      <c r="C87" s="3299">
        <v>100</v>
      </c>
      <c r="D87" s="3260">
        <f t="shared" ref="D87:M87" si="23">$C$87-($C$86-D86)*$K$25</f>
        <v>100</v>
      </c>
      <c r="E87" s="3260">
        <f t="shared" si="23"/>
        <v>100</v>
      </c>
      <c r="F87" s="3260">
        <f t="shared" si="23"/>
        <v>100</v>
      </c>
      <c r="G87" s="3260">
        <f t="shared" si="23"/>
        <v>100</v>
      </c>
      <c r="H87" s="3260">
        <f t="shared" si="23"/>
        <v>100</v>
      </c>
      <c r="I87" s="3260">
        <f t="shared" si="23"/>
        <v>100</v>
      </c>
      <c r="J87" s="3260">
        <f t="shared" si="23"/>
        <v>100</v>
      </c>
      <c r="K87" s="3260">
        <f t="shared" si="23"/>
        <v>100</v>
      </c>
      <c r="L87" s="3260">
        <f t="shared" si="23"/>
        <v>100</v>
      </c>
      <c r="M87" s="3260">
        <f t="shared" si="23"/>
        <v>100</v>
      </c>
      <c r="N87" s="3249"/>
      <c r="O87" s="3249"/>
      <c r="P87" s="3225"/>
      <c r="Q87" s="3215"/>
    </row>
    <row r="88" spans="1:17" s="3087" customFormat="1" ht="15.75" thickTop="1">
      <c r="A88" s="3108"/>
      <c r="B88" s="3250" t="s">
        <v>1734</v>
      </c>
      <c r="C88" s="3296" t="s">
        <v>3607</v>
      </c>
      <c r="D88" s="3263"/>
      <c r="E88" s="3263"/>
      <c r="F88" s="3300"/>
      <c r="G88" s="3263"/>
      <c r="H88" s="3263"/>
      <c r="I88" s="3263"/>
      <c r="J88" s="3263"/>
      <c r="K88" s="3263"/>
      <c r="L88" s="3263"/>
      <c r="M88" s="3298"/>
      <c r="N88" s="3236"/>
      <c r="O88" s="3236"/>
      <c r="P88" s="3225"/>
      <c r="Q88" s="3215"/>
    </row>
    <row r="89" spans="1:17" s="3087" customFormat="1" ht="15.75" thickBot="1">
      <c r="A89" s="3108"/>
      <c r="B89" s="3252"/>
      <c r="C89" s="3299">
        <v>100</v>
      </c>
      <c r="D89" s="3260">
        <f t="shared" ref="D89:M89" si="24">C89-$K26</f>
        <v>100</v>
      </c>
      <c r="E89" s="3260">
        <f t="shared" si="24"/>
        <v>100</v>
      </c>
      <c r="F89" s="3260">
        <f t="shared" si="24"/>
        <v>100</v>
      </c>
      <c r="G89" s="3260">
        <f t="shared" si="24"/>
        <v>100</v>
      </c>
      <c r="H89" s="3260">
        <f t="shared" si="24"/>
        <v>100</v>
      </c>
      <c r="I89" s="3260">
        <f t="shared" si="24"/>
        <v>100</v>
      </c>
      <c r="J89" s="3260">
        <f t="shared" si="24"/>
        <v>100</v>
      </c>
      <c r="K89" s="3260">
        <f t="shared" si="24"/>
        <v>100</v>
      </c>
      <c r="L89" s="3260">
        <f t="shared" si="24"/>
        <v>100</v>
      </c>
      <c r="M89" s="3260">
        <f t="shared" si="24"/>
        <v>100</v>
      </c>
      <c r="N89" s="3249"/>
      <c r="O89" s="3249"/>
      <c r="P89" s="3225"/>
      <c r="Q89" s="3215"/>
    </row>
    <row r="90" spans="1:17" s="3172" customFormat="1" ht="15.75" thickTop="1">
      <c r="A90" s="3262"/>
      <c r="B90" s="3250" t="str">
        <f>B27</f>
        <v>楼层</v>
      </c>
      <c r="C90" s="3263">
        <v>3</v>
      </c>
      <c r="D90" s="3263">
        <v>5</v>
      </c>
      <c r="E90" s="3263"/>
      <c r="F90" s="3263"/>
      <c r="G90" s="3263"/>
      <c r="H90" s="3264"/>
      <c r="I90" s="3264"/>
      <c r="J90" s="3264"/>
      <c r="K90" s="3264"/>
      <c r="L90" s="3265"/>
      <c r="M90" s="3266"/>
      <c r="N90" s="3267"/>
      <c r="O90" s="3267"/>
      <c r="P90" s="3268"/>
      <c r="Q90" s="3269"/>
    </row>
    <row r="91" spans="1:17" s="3172" customFormat="1" ht="15.75" thickBot="1">
      <c r="A91" s="3262"/>
      <c r="B91" s="3252"/>
      <c r="C91" s="3270">
        <v>100</v>
      </c>
      <c r="D91" s="3270">
        <v>97</v>
      </c>
      <c r="E91" s="3270"/>
      <c r="F91" s="3270"/>
      <c r="G91" s="3270"/>
      <c r="H91" s="3273"/>
      <c r="I91" s="3273"/>
      <c r="J91" s="3273"/>
      <c r="K91" s="3273"/>
      <c r="L91" s="3273"/>
      <c r="M91" s="3274"/>
      <c r="N91" s="3267"/>
      <c r="O91" s="3267"/>
      <c r="P91" s="3268"/>
      <c r="Q91" s="3269"/>
    </row>
    <row r="92" spans="1:17" ht="15.75" thickTop="1">
      <c r="A92" s="3105"/>
      <c r="B92" s="3250">
        <f>B28</f>
        <v>111</v>
      </c>
      <c r="C92" s="3263"/>
      <c r="D92" s="3263"/>
      <c r="E92" s="3263"/>
      <c r="F92" s="3263"/>
      <c r="G92" s="3251"/>
      <c r="H92" s="3251"/>
      <c r="I92" s="3251"/>
      <c r="J92" s="3251"/>
      <c r="K92" s="3301"/>
      <c r="L92" s="3302"/>
      <c r="M92" s="3303"/>
      <c r="N92" s="3245"/>
      <c r="O92" s="3245"/>
      <c r="P92" s="3225"/>
      <c r="Q92" s="3215"/>
    </row>
    <row r="93" spans="1:17" ht="15.75" thickBot="1">
      <c r="A93" s="3105"/>
      <c r="B93" s="3252"/>
      <c r="C93" s="3270"/>
      <c r="D93" s="3247"/>
      <c r="E93" s="3247"/>
      <c r="F93" s="3247"/>
      <c r="G93" s="3247"/>
      <c r="H93" s="3247"/>
      <c r="I93" s="3247"/>
      <c r="J93" s="3247"/>
      <c r="K93" s="3247"/>
      <c r="L93" s="3247"/>
      <c r="M93" s="3248"/>
      <c r="N93" s="3249"/>
      <c r="O93" s="3249"/>
      <c r="P93" s="3225"/>
      <c r="Q93" s="3215"/>
    </row>
    <row r="94" spans="1:17" ht="15.75" thickTop="1">
      <c r="A94" s="3105"/>
      <c r="B94" s="3250">
        <f>B29</f>
        <v>111</v>
      </c>
      <c r="C94" s="3263"/>
      <c r="D94" s="3263"/>
      <c r="E94" s="3263"/>
      <c r="F94" s="3263"/>
      <c r="G94" s="3251"/>
      <c r="H94" s="3251"/>
      <c r="I94" s="3251"/>
      <c r="J94" s="3251"/>
      <c r="K94" s="3301"/>
      <c r="L94" s="3302"/>
      <c r="M94" s="3303"/>
      <c r="N94" s="3245"/>
      <c r="O94" s="3245"/>
      <c r="P94" s="3225"/>
      <c r="Q94" s="3215"/>
    </row>
    <row r="95" spans="1:17" ht="15.75" thickBot="1">
      <c r="A95" s="3105"/>
      <c r="B95" s="3252"/>
      <c r="C95" s="3270"/>
      <c r="D95" s="3270"/>
      <c r="E95" s="3270"/>
      <c r="F95" s="3270"/>
      <c r="G95" s="3247"/>
      <c r="H95" s="3247"/>
      <c r="I95" s="3247"/>
      <c r="J95" s="3247"/>
      <c r="K95" s="3247"/>
      <c r="L95" s="3247"/>
      <c r="M95" s="3248"/>
      <c r="N95" s="3249"/>
      <c r="O95" s="3249"/>
      <c r="P95" s="3225"/>
      <c r="Q95" s="3215"/>
    </row>
    <row r="96" spans="1:17" ht="15.75" thickTop="1">
      <c r="A96" s="3105"/>
      <c r="B96" s="3250">
        <f>B30</f>
        <v>111</v>
      </c>
      <c r="C96" s="3263"/>
      <c r="D96" s="3263"/>
      <c r="E96" s="3263"/>
      <c r="F96" s="3263"/>
      <c r="G96" s="3251"/>
      <c r="H96" s="3251"/>
      <c r="I96" s="3251"/>
      <c r="J96" s="3251"/>
      <c r="K96" s="3301"/>
      <c r="L96" s="3302"/>
      <c r="M96" s="3303"/>
      <c r="N96" s="3245"/>
      <c r="O96" s="3245"/>
      <c r="P96" s="3225"/>
      <c r="Q96" s="3215"/>
    </row>
    <row r="97" spans="1:17" ht="15.75" thickBot="1">
      <c r="A97" s="3105"/>
      <c r="B97" s="3252"/>
      <c r="C97" s="3281"/>
      <c r="D97" s="3281"/>
      <c r="E97" s="3281"/>
      <c r="F97" s="3281"/>
      <c r="G97" s="3247"/>
      <c r="H97" s="3247"/>
      <c r="I97" s="3247"/>
      <c r="J97" s="3247"/>
      <c r="K97" s="3247"/>
      <c r="L97" s="3247"/>
      <c r="M97" s="3248"/>
      <c r="N97" s="3249"/>
      <c r="O97" s="3249"/>
      <c r="P97" s="3225"/>
      <c r="Q97" s="3215"/>
    </row>
    <row r="98" spans="1:17" ht="15.75" thickTop="1">
      <c r="A98" s="3105"/>
      <c r="B98" s="3253">
        <f>B31</f>
        <v>111</v>
      </c>
      <c r="C98" s="3304"/>
      <c r="D98" s="3304"/>
      <c r="E98" s="3304"/>
      <c r="F98" s="3304"/>
      <c r="G98" s="3304"/>
      <c r="H98" s="3304"/>
      <c r="I98" s="3304"/>
      <c r="J98" s="3304"/>
      <c r="K98" s="3305"/>
      <c r="L98" s="3306"/>
      <c r="M98" s="3307"/>
      <c r="N98" s="3245"/>
      <c r="O98" s="3245"/>
      <c r="P98" s="3225"/>
      <c r="Q98" s="3215"/>
    </row>
    <row r="99" spans="1:17" ht="15.75" thickBot="1">
      <c r="A99" s="3116"/>
      <c r="B99" s="3280"/>
      <c r="C99" s="3308"/>
      <c r="D99" s="3308"/>
      <c r="E99" s="3308"/>
      <c r="F99" s="3308"/>
      <c r="G99" s="3308"/>
      <c r="H99" s="3308"/>
      <c r="I99" s="3308"/>
      <c r="J99" s="3308"/>
      <c r="K99" s="3308"/>
      <c r="L99" s="3308"/>
      <c r="M99" s="3309"/>
      <c r="N99" s="3249"/>
      <c r="O99" s="3249"/>
      <c r="P99" s="3225"/>
      <c r="Q99" s="3215"/>
    </row>
    <row r="100" spans="1:17">
      <c r="A100" s="3121" t="s">
        <v>1693</v>
      </c>
      <c r="B100" s="3239" t="s">
        <v>1735</v>
      </c>
      <c r="C100" s="3310" t="s">
        <v>3610</v>
      </c>
      <c r="D100" s="3241"/>
      <c r="E100" s="3241"/>
      <c r="F100" s="3241"/>
      <c r="G100" s="3241"/>
      <c r="H100" s="3241"/>
      <c r="I100" s="3241"/>
      <c r="J100" s="3241"/>
      <c r="K100" s="3242"/>
      <c r="L100" s="3243"/>
      <c r="M100" s="3244"/>
      <c r="N100" s="3245"/>
      <c r="O100" s="3245"/>
      <c r="P100" s="3225"/>
      <c r="Q100" s="3215"/>
    </row>
    <row r="101" spans="1:17" ht="15.75" thickBot="1">
      <c r="A101" s="3105"/>
      <c r="B101" s="3252"/>
      <c r="C101" s="3260">
        <v>100</v>
      </c>
      <c r="D101" s="3260">
        <f t="shared" ref="D101:M101" si="25">C101-$K32</f>
        <v>100</v>
      </c>
      <c r="E101" s="3260">
        <f t="shared" si="25"/>
        <v>100</v>
      </c>
      <c r="F101" s="3260">
        <f t="shared" si="25"/>
        <v>100</v>
      </c>
      <c r="G101" s="3260">
        <f t="shared" si="25"/>
        <v>100</v>
      </c>
      <c r="H101" s="3260">
        <f t="shared" si="25"/>
        <v>100</v>
      </c>
      <c r="I101" s="3260">
        <f t="shared" si="25"/>
        <v>100</v>
      </c>
      <c r="J101" s="3260">
        <f t="shared" si="25"/>
        <v>100</v>
      </c>
      <c r="K101" s="3260">
        <f t="shared" si="25"/>
        <v>100</v>
      </c>
      <c r="L101" s="3260">
        <f t="shared" si="25"/>
        <v>100</v>
      </c>
      <c r="M101" s="3260">
        <f t="shared" si="25"/>
        <v>100</v>
      </c>
      <c r="N101" s="3249"/>
      <c r="O101" s="3249"/>
      <c r="P101" s="3225"/>
      <c r="Q101" s="3215"/>
    </row>
    <row r="102" spans="1:17" ht="15.75" thickTop="1">
      <c r="A102" s="3105"/>
      <c r="B102" s="3250" t="s">
        <v>1736</v>
      </c>
      <c r="C102" s="3289" t="str">
        <f>C103&amp;"(含)"&amp;"-"&amp;D103</f>
        <v>适中(含)-</v>
      </c>
      <c r="D102" s="3289" t="str">
        <f t="shared" ref="D102:L102" si="26">D103&amp;"(含)"&amp;"-"&amp;E103</f>
        <v>(含)-</v>
      </c>
      <c r="E102" s="3289" t="str">
        <f t="shared" si="26"/>
        <v>(含)-</v>
      </c>
      <c r="F102" s="3289" t="str">
        <f t="shared" si="26"/>
        <v>(含)-</v>
      </c>
      <c r="G102" s="3289" t="str">
        <f t="shared" si="26"/>
        <v>(含)-</v>
      </c>
      <c r="H102" s="3289" t="str">
        <f t="shared" si="26"/>
        <v>(含)-</v>
      </c>
      <c r="I102" s="3289" t="str">
        <f t="shared" si="26"/>
        <v>(含)-</v>
      </c>
      <c r="J102" s="3289" t="str">
        <f t="shared" si="26"/>
        <v>(含)-</v>
      </c>
      <c r="K102" s="3289" t="str">
        <f>K103&amp;"(含)"&amp;"-"&amp;L103</f>
        <v>(含)-</v>
      </c>
      <c r="L102" s="3289" t="str">
        <f t="shared" si="26"/>
        <v>(含)-</v>
      </c>
      <c r="M102" s="3289" t="str">
        <f>M103&amp;"(含)"&amp;"-"&amp;P103</f>
        <v>(含)-</v>
      </c>
      <c r="N102" s="3236"/>
      <c r="O102" s="3236"/>
      <c r="P102" s="3225"/>
      <c r="Q102" s="3215"/>
    </row>
    <row r="103" spans="1:17" s="3172" customFormat="1">
      <c r="A103" s="3162"/>
      <c r="B103" s="3311"/>
      <c r="C103" s="3312" t="s">
        <v>3619</v>
      </c>
      <c r="D103" s="3313"/>
      <c r="E103" s="3313"/>
      <c r="F103" s="3313"/>
      <c r="G103" s="3313"/>
      <c r="H103" s="3313"/>
      <c r="I103" s="3313"/>
      <c r="J103" s="3314"/>
      <c r="K103" s="3314"/>
      <c r="L103" s="3315"/>
      <c r="M103" s="3316"/>
      <c r="N103" s="3267"/>
      <c r="O103" s="3267"/>
      <c r="P103" s="3268"/>
      <c r="Q103" s="3269"/>
    </row>
    <row r="104" spans="1:17" s="3172" customFormat="1" ht="15.75" thickBot="1">
      <c r="A104" s="3262"/>
      <c r="B104" s="3252"/>
      <c r="C104" s="3270">
        <v>100</v>
      </c>
      <c r="D104" s="3247"/>
      <c r="E104" s="3247"/>
      <c r="F104" s="3247"/>
      <c r="G104" s="3247"/>
      <c r="H104" s="3247"/>
      <c r="I104" s="3247"/>
      <c r="J104" s="3247"/>
      <c r="K104" s="3247"/>
      <c r="L104" s="3247"/>
      <c r="M104" s="3247"/>
      <c r="N104" s="3249"/>
      <c r="O104" s="3249"/>
      <c r="P104" s="3268"/>
      <c r="Q104" s="3269"/>
    </row>
    <row r="105" spans="1:17" ht="15" thickTop="1">
      <c r="A105" s="3173"/>
      <c r="B105" s="3250" t="s">
        <v>1737</v>
      </c>
      <c r="C105" s="3296" t="s">
        <v>3608</v>
      </c>
      <c r="D105" s="3263"/>
      <c r="E105" s="3251"/>
      <c r="F105" s="3251"/>
      <c r="G105" s="3251"/>
      <c r="H105" s="3251"/>
      <c r="I105" s="3251"/>
      <c r="J105" s="3251"/>
      <c r="K105" s="3301"/>
      <c r="L105" s="3302"/>
      <c r="M105" s="3303"/>
      <c r="N105" s="3245"/>
      <c r="O105" s="3245"/>
      <c r="P105" s="3225"/>
      <c r="Q105" s="3215"/>
    </row>
    <row r="106" spans="1:17" ht="15.75" thickBot="1">
      <c r="A106" s="3105"/>
      <c r="B106" s="3252"/>
      <c r="C106" s="3260">
        <v>100</v>
      </c>
      <c r="D106" s="3260">
        <f t="shared" ref="D106:M106" si="27">C106-$K34</f>
        <v>100</v>
      </c>
      <c r="E106" s="3260">
        <f t="shared" si="27"/>
        <v>100</v>
      </c>
      <c r="F106" s="3260">
        <f t="shared" si="27"/>
        <v>100</v>
      </c>
      <c r="G106" s="3260">
        <f t="shared" si="27"/>
        <v>100</v>
      </c>
      <c r="H106" s="3260">
        <f t="shared" si="27"/>
        <v>100</v>
      </c>
      <c r="I106" s="3260">
        <f t="shared" si="27"/>
        <v>100</v>
      </c>
      <c r="J106" s="3260">
        <f t="shared" si="27"/>
        <v>100</v>
      </c>
      <c r="K106" s="3260">
        <f t="shared" si="27"/>
        <v>100</v>
      </c>
      <c r="L106" s="3260">
        <f t="shared" si="27"/>
        <v>100</v>
      </c>
      <c r="M106" s="3260">
        <f t="shared" si="27"/>
        <v>100</v>
      </c>
      <c r="N106" s="3249"/>
      <c r="O106" s="3249"/>
      <c r="P106" s="3225"/>
      <c r="Q106" s="3215"/>
    </row>
    <row r="107" spans="1:17" ht="15" thickTop="1">
      <c r="A107" s="3173"/>
      <c r="B107" s="3250" t="s">
        <v>1738</v>
      </c>
      <c r="C107" s="3251"/>
      <c r="D107" s="3251"/>
      <c r="E107" s="3251"/>
      <c r="F107" s="3251"/>
      <c r="G107" s="3251"/>
      <c r="H107" s="3251"/>
      <c r="I107" s="3251"/>
      <c r="J107" s="3251"/>
      <c r="K107" s="3301"/>
      <c r="L107" s="3302"/>
      <c r="M107" s="3303"/>
      <c r="N107" s="3245"/>
      <c r="O107" s="3245"/>
      <c r="P107" s="3225"/>
      <c r="Q107" s="3215"/>
    </row>
    <row r="108" spans="1:17" ht="15.75" thickBot="1">
      <c r="A108" s="3105"/>
      <c r="B108" s="3252"/>
      <c r="C108" s="3260">
        <v>100</v>
      </c>
      <c r="D108" s="3260">
        <f t="shared" ref="D108:M108" si="28">C108-$K35</f>
        <v>100</v>
      </c>
      <c r="E108" s="3260">
        <f t="shared" si="28"/>
        <v>100</v>
      </c>
      <c r="F108" s="3260">
        <f t="shared" si="28"/>
        <v>100</v>
      </c>
      <c r="G108" s="3260">
        <f t="shared" si="28"/>
        <v>100</v>
      </c>
      <c r="H108" s="3260">
        <f t="shared" si="28"/>
        <v>100</v>
      </c>
      <c r="I108" s="3260">
        <f t="shared" si="28"/>
        <v>100</v>
      </c>
      <c r="J108" s="3260">
        <f t="shared" si="28"/>
        <v>100</v>
      </c>
      <c r="K108" s="3260">
        <f t="shared" si="28"/>
        <v>100</v>
      </c>
      <c r="L108" s="3260">
        <f t="shared" si="28"/>
        <v>100</v>
      </c>
      <c r="M108" s="3260">
        <f t="shared" si="28"/>
        <v>100</v>
      </c>
      <c r="N108" s="3249"/>
      <c r="O108" s="3249"/>
      <c r="P108" s="3225"/>
      <c r="Q108" s="3215"/>
    </row>
    <row r="109" spans="1:17" ht="15" thickTop="1">
      <c r="A109" s="3173"/>
      <c r="B109" s="3250" t="s">
        <v>1739</v>
      </c>
      <c r="C109" s="3296" t="s">
        <v>3612</v>
      </c>
      <c r="D109" s="3263"/>
      <c r="E109" s="3263"/>
      <c r="F109" s="3251"/>
      <c r="G109" s="3251"/>
      <c r="H109" s="3251"/>
      <c r="I109" s="3251"/>
      <c r="J109" s="3251"/>
      <c r="K109" s="3301"/>
      <c r="L109" s="3302"/>
      <c r="M109" s="3303"/>
      <c r="N109" s="3245"/>
      <c r="O109" s="3245"/>
      <c r="P109" s="3225"/>
      <c r="Q109" s="3215"/>
    </row>
    <row r="110" spans="1:17" ht="15.75" thickBot="1">
      <c r="A110" s="3105"/>
      <c r="B110" s="3252"/>
      <c r="C110" s="3260">
        <v>100</v>
      </c>
      <c r="D110" s="3260">
        <f t="shared" ref="D110:M110" si="29">C110-$K36</f>
        <v>100</v>
      </c>
      <c r="E110" s="3260">
        <f t="shared" si="29"/>
        <v>100</v>
      </c>
      <c r="F110" s="3260">
        <f t="shared" si="29"/>
        <v>100</v>
      </c>
      <c r="G110" s="3260">
        <f t="shared" si="29"/>
        <v>100</v>
      </c>
      <c r="H110" s="3260">
        <f t="shared" si="29"/>
        <v>100</v>
      </c>
      <c r="I110" s="3260">
        <f t="shared" si="29"/>
        <v>100</v>
      </c>
      <c r="J110" s="3260">
        <f t="shared" si="29"/>
        <v>100</v>
      </c>
      <c r="K110" s="3260">
        <f t="shared" si="29"/>
        <v>100</v>
      </c>
      <c r="L110" s="3260">
        <f t="shared" si="29"/>
        <v>100</v>
      </c>
      <c r="M110" s="3260">
        <f t="shared" si="29"/>
        <v>100</v>
      </c>
      <c r="N110" s="3249"/>
      <c r="O110" s="3249"/>
      <c r="P110" s="3225"/>
      <c r="Q110" s="3215"/>
    </row>
    <row r="111" spans="1:17" s="3172" customFormat="1" ht="15" thickTop="1">
      <c r="A111" s="3162"/>
      <c r="B111" s="3250" t="s">
        <v>1189</v>
      </c>
      <c r="C111" s="3289" t="str">
        <f>C112&amp;"(含)"&amp;"-"&amp;D112</f>
        <v>0.5(含)-0.6</v>
      </c>
      <c r="D111" s="3289" t="str">
        <f>D112&amp;"(含)"&amp;"-"&amp;E112</f>
        <v>0.6(含)-0.7</v>
      </c>
      <c r="E111" s="3289" t="str">
        <f>E112&amp;"(含)"&amp;"-"&amp;F112</f>
        <v>0.7(含)-0.8</v>
      </c>
      <c r="F111" s="3289" t="str">
        <f>F112&amp;"(含)"&amp;"-"&amp;G112</f>
        <v>0.8(含)-0.9</v>
      </c>
      <c r="G111" s="3289" t="str">
        <f>G112&amp;"(含)"&amp;"-"&amp;ROUND(H112,0)&amp;"(含)"</f>
        <v>0.9(含)-1(含)</v>
      </c>
      <c r="H111" s="3289" t="str">
        <f>ROUND(H112,0)&amp;"(含)"&amp;"-"&amp;I112</f>
        <v>1(含)-</v>
      </c>
      <c r="I111" s="3289"/>
      <c r="J111" s="3317"/>
      <c r="K111" s="3317"/>
      <c r="L111" s="3318"/>
      <c r="M111" s="3319"/>
      <c r="N111" s="3267"/>
      <c r="O111" s="3267"/>
      <c r="P111" s="3268"/>
      <c r="Q111" s="3269"/>
    </row>
    <row r="112" spans="1:17" s="3172" customFormat="1">
      <c r="A112" s="3162"/>
      <c r="B112" s="3253"/>
      <c r="C112" s="3096">
        <v>0.5</v>
      </c>
      <c r="D112" s="3096">
        <v>0.6</v>
      </c>
      <c r="E112" s="3096">
        <v>0.7</v>
      </c>
      <c r="F112" s="3096">
        <v>0.8</v>
      </c>
      <c r="G112" s="3096">
        <v>0.9</v>
      </c>
      <c r="H112" s="3096">
        <v>1.0001</v>
      </c>
      <c r="I112" s="3096"/>
      <c r="J112" s="3167"/>
      <c r="K112" s="3167"/>
      <c r="L112" s="3320"/>
      <c r="M112" s="3321"/>
      <c r="N112" s="3267"/>
      <c r="O112" s="3267"/>
      <c r="P112" s="3268"/>
      <c r="Q112" s="3269"/>
    </row>
    <row r="113" spans="1:17" s="3172" customFormat="1" ht="15.75" thickBot="1">
      <c r="A113" s="3262"/>
      <c r="B113" s="3252"/>
      <c r="C113" s="3299">
        <v>100</v>
      </c>
      <c r="D113" s="3260">
        <f>C113+$K37</f>
        <v>100</v>
      </c>
      <c r="E113" s="3260">
        <f>D113+$K37</f>
        <v>100</v>
      </c>
      <c r="F113" s="3260">
        <f>E113+$K37</f>
        <v>100</v>
      </c>
      <c r="G113" s="3260">
        <f>F113+$K37</f>
        <v>100</v>
      </c>
      <c r="H113" s="3260">
        <f>G113+$K37</f>
        <v>100</v>
      </c>
      <c r="I113" s="3299"/>
      <c r="J113" s="3322"/>
      <c r="K113" s="3322"/>
      <c r="L113" s="3322"/>
      <c r="M113" s="3323"/>
      <c r="N113" s="3267"/>
      <c r="O113" s="3267"/>
      <c r="P113" s="3268"/>
      <c r="Q113" s="3269"/>
    </row>
    <row r="114" spans="1:17" ht="15" thickTop="1">
      <c r="A114" s="3173"/>
      <c r="B114" s="3250" t="s">
        <v>1740</v>
      </c>
      <c r="C114" s="3296" t="s">
        <v>3613</v>
      </c>
      <c r="D114" s="3263"/>
      <c r="E114" s="3251"/>
      <c r="F114" s="3251"/>
      <c r="G114" s="3251"/>
      <c r="H114" s="3251"/>
      <c r="I114" s="3251"/>
      <c r="J114" s="3251"/>
      <c r="K114" s="3301"/>
      <c r="L114" s="3302"/>
      <c r="M114" s="3303"/>
      <c r="N114" s="3245"/>
      <c r="O114" s="3245"/>
      <c r="P114" s="3225"/>
      <c r="Q114" s="3215"/>
    </row>
    <row r="115" spans="1:17" ht="15.75" thickBot="1">
      <c r="A115" s="3105"/>
      <c r="B115" s="3252"/>
      <c r="C115" s="3260">
        <v>100</v>
      </c>
      <c r="D115" s="3260">
        <f t="shared" ref="D115:M115" si="30">C115-$K38</f>
        <v>100</v>
      </c>
      <c r="E115" s="3260">
        <f t="shared" si="30"/>
        <v>100</v>
      </c>
      <c r="F115" s="3260">
        <f t="shared" si="30"/>
        <v>100</v>
      </c>
      <c r="G115" s="3260">
        <f t="shared" si="30"/>
        <v>100</v>
      </c>
      <c r="H115" s="3260">
        <f t="shared" si="30"/>
        <v>100</v>
      </c>
      <c r="I115" s="3260">
        <f t="shared" si="30"/>
        <v>100</v>
      </c>
      <c r="J115" s="3260">
        <f t="shared" si="30"/>
        <v>100</v>
      </c>
      <c r="K115" s="3260">
        <f t="shared" si="30"/>
        <v>100</v>
      </c>
      <c r="L115" s="3260">
        <f t="shared" si="30"/>
        <v>100</v>
      </c>
      <c r="M115" s="3260">
        <f t="shared" si="30"/>
        <v>100</v>
      </c>
      <c r="N115" s="3249"/>
      <c r="O115" s="3249"/>
      <c r="P115" s="3225"/>
      <c r="Q115" s="3215"/>
    </row>
    <row r="116" spans="1:17" ht="15" thickTop="1">
      <c r="A116" s="3173"/>
      <c r="B116" s="3250" t="s">
        <v>1741</v>
      </c>
      <c r="C116" s="3296" t="s">
        <v>3624</v>
      </c>
      <c r="D116" s="3263"/>
      <c r="E116" s="3263"/>
      <c r="F116" s="3263"/>
      <c r="G116" s="3263"/>
      <c r="H116" s="3251"/>
      <c r="I116" s="3251"/>
      <c r="J116" s="3251"/>
      <c r="K116" s="3301"/>
      <c r="L116" s="3302"/>
      <c r="M116" s="3303"/>
      <c r="N116" s="3245"/>
      <c r="O116" s="3245"/>
      <c r="P116" s="3225"/>
      <c r="Q116" s="3215"/>
    </row>
    <row r="117" spans="1:17" ht="15.75" thickBot="1">
      <c r="A117" s="3105"/>
      <c r="B117" s="3252"/>
      <c r="C117" s="3260">
        <v>100</v>
      </c>
      <c r="D117" s="3260">
        <f>C117-$K39</f>
        <v>100</v>
      </c>
      <c r="E117" s="3260">
        <f>D117-$K39</f>
        <v>100</v>
      </c>
      <c r="F117" s="3260">
        <f>E117-$K39</f>
        <v>100</v>
      </c>
      <c r="G117" s="3260">
        <f>F117-$K39</f>
        <v>100</v>
      </c>
      <c r="H117" s="3260"/>
      <c r="I117" s="3260"/>
      <c r="J117" s="3260"/>
      <c r="K117" s="3260"/>
      <c r="L117" s="3260"/>
      <c r="M117" s="3261"/>
      <c r="N117" s="3249"/>
      <c r="O117" s="3249"/>
      <c r="P117" s="3225"/>
      <c r="Q117" s="3215"/>
    </row>
    <row r="118" spans="1:17" ht="15" thickTop="1">
      <c r="A118" s="3173"/>
      <c r="B118" s="3250" t="s">
        <v>1742</v>
      </c>
      <c r="C118" s="3324" t="s">
        <v>3620</v>
      </c>
      <c r="D118" s="3324" t="s">
        <v>3621</v>
      </c>
      <c r="E118" s="3324" t="s">
        <v>3611</v>
      </c>
      <c r="F118" s="3324" t="s">
        <v>3622</v>
      </c>
      <c r="G118" s="3324" t="s">
        <v>3623</v>
      </c>
      <c r="H118" s="3251"/>
      <c r="I118" s="3251"/>
      <c r="J118" s="3251"/>
      <c r="K118" s="3301"/>
      <c r="L118" s="3302"/>
      <c r="M118" s="3303"/>
      <c r="N118" s="3245"/>
      <c r="O118" s="3245"/>
      <c r="P118" s="3225"/>
      <c r="Q118" s="3215"/>
    </row>
    <row r="119" spans="1:17" ht="15.75" thickBot="1">
      <c r="A119" s="3105"/>
      <c r="B119" s="3252"/>
      <c r="C119" s="3260">
        <v>100</v>
      </c>
      <c r="D119" s="3260">
        <f t="shared" ref="D119:M119" si="31">C119-$K40</f>
        <v>100</v>
      </c>
      <c r="E119" s="3260">
        <f t="shared" si="31"/>
        <v>100</v>
      </c>
      <c r="F119" s="3260">
        <f t="shared" si="31"/>
        <v>100</v>
      </c>
      <c r="G119" s="3260">
        <f t="shared" si="31"/>
        <v>100</v>
      </c>
      <c r="H119" s="3260">
        <f t="shared" si="31"/>
        <v>100</v>
      </c>
      <c r="I119" s="3260">
        <f t="shared" si="31"/>
        <v>100</v>
      </c>
      <c r="J119" s="3260">
        <f t="shared" si="31"/>
        <v>100</v>
      </c>
      <c r="K119" s="3260">
        <f t="shared" si="31"/>
        <v>100</v>
      </c>
      <c r="L119" s="3260">
        <f t="shared" si="31"/>
        <v>100</v>
      </c>
      <c r="M119" s="3260">
        <f t="shared" si="31"/>
        <v>100</v>
      </c>
      <c r="N119" s="3249"/>
      <c r="O119" s="3249"/>
      <c r="P119" s="3225"/>
      <c r="Q119" s="3215"/>
    </row>
    <row r="120" spans="1:17" s="3172" customFormat="1" ht="28.5" thickTop="1">
      <c r="A120" s="3162"/>
      <c r="B120" s="3250" t="s">
        <v>1704</v>
      </c>
      <c r="C120" s="3263">
        <v>64.72</v>
      </c>
      <c r="D120" s="3263">
        <v>69.319999999999993</v>
      </c>
      <c r="E120" s="3263">
        <f>D3</f>
        <v>79.92</v>
      </c>
      <c r="F120" s="3263">
        <v>102.48</v>
      </c>
      <c r="G120" s="3263"/>
      <c r="H120" s="3263"/>
      <c r="I120" s="3263"/>
      <c r="J120" s="3263"/>
      <c r="K120" s="3263"/>
      <c r="L120" s="3297"/>
      <c r="M120" s="3298"/>
      <c r="N120" s="3267"/>
      <c r="O120" s="3267"/>
      <c r="P120" s="3268"/>
      <c r="Q120" s="3269"/>
    </row>
    <row r="121" spans="1:17" s="3172" customFormat="1" ht="15.75" thickBot="1">
      <c r="A121" s="3262"/>
      <c r="B121" s="3246"/>
      <c r="C121" s="3270">
        <v>101</v>
      </c>
      <c r="D121" s="3247">
        <v>101</v>
      </c>
      <c r="E121" s="3247">
        <v>100</v>
      </c>
      <c r="F121" s="3247">
        <v>98</v>
      </c>
      <c r="G121" s="3247"/>
      <c r="H121" s="3247"/>
      <c r="I121" s="3247"/>
      <c r="J121" s="3247"/>
      <c r="K121" s="3247"/>
      <c r="L121" s="3247"/>
      <c r="M121" s="3247"/>
      <c r="N121" s="3267"/>
      <c r="O121" s="3267"/>
      <c r="P121" s="3268"/>
      <c r="Q121" s="3269"/>
    </row>
    <row r="122" spans="1:17" ht="15" thickTop="1">
      <c r="A122" s="3173"/>
      <c r="B122" s="3250" t="s">
        <v>1743</v>
      </c>
      <c r="C122" s="3296" t="s">
        <v>3614</v>
      </c>
      <c r="D122" s="3296" t="s">
        <v>3616</v>
      </c>
      <c r="E122" s="3296" t="s">
        <v>3617</v>
      </c>
      <c r="F122" s="3251"/>
      <c r="G122" s="3251"/>
      <c r="H122" s="3251"/>
      <c r="I122" s="3251"/>
      <c r="J122" s="3251"/>
      <c r="K122" s="3301"/>
      <c r="L122" s="3302"/>
      <c r="M122" s="3303"/>
      <c r="N122" s="3245"/>
      <c r="O122" s="3245"/>
      <c r="P122" s="3225"/>
      <c r="Q122" s="3215"/>
    </row>
    <row r="123" spans="1:17" ht="15.75" thickBot="1">
      <c r="A123" s="3105"/>
      <c r="B123" s="3252"/>
      <c r="C123" s="3260">
        <v>100</v>
      </c>
      <c r="D123" s="3260">
        <f t="shared" ref="D123:M123" si="32">C123-$K42</f>
        <v>98</v>
      </c>
      <c r="E123" s="3260">
        <f t="shared" si="32"/>
        <v>96</v>
      </c>
      <c r="F123" s="3260">
        <f t="shared" si="32"/>
        <v>94</v>
      </c>
      <c r="G123" s="3260">
        <f t="shared" si="32"/>
        <v>92</v>
      </c>
      <c r="H123" s="3260">
        <f t="shared" si="32"/>
        <v>90</v>
      </c>
      <c r="I123" s="3260">
        <f t="shared" si="32"/>
        <v>88</v>
      </c>
      <c r="J123" s="3260">
        <f t="shared" si="32"/>
        <v>86</v>
      </c>
      <c r="K123" s="3260">
        <f t="shared" si="32"/>
        <v>84</v>
      </c>
      <c r="L123" s="3260">
        <f t="shared" si="32"/>
        <v>82</v>
      </c>
      <c r="M123" s="3260">
        <f t="shared" si="32"/>
        <v>80</v>
      </c>
      <c r="N123" s="3249"/>
      <c r="O123" s="3249"/>
      <c r="P123" s="3225"/>
      <c r="Q123" s="3215"/>
    </row>
    <row r="124" spans="1:17" ht="15" thickTop="1">
      <c r="A124" s="3173"/>
      <c r="B124" s="3250" t="s">
        <v>1744</v>
      </c>
      <c r="C124" s="3289" t="s">
        <v>1720</v>
      </c>
      <c r="D124" s="3289" t="s">
        <v>1721</v>
      </c>
      <c r="E124" s="3289" t="s">
        <v>1722</v>
      </c>
      <c r="F124" s="3289" t="s">
        <v>1723</v>
      </c>
      <c r="G124" s="3289" t="s">
        <v>1724</v>
      </c>
      <c r="H124" s="3290"/>
      <c r="I124" s="3290"/>
      <c r="J124" s="3290"/>
      <c r="K124" s="3291"/>
      <c r="L124" s="3292"/>
      <c r="M124" s="3293"/>
      <c r="N124" s="3245"/>
      <c r="O124" s="3245"/>
      <c r="P124" s="3268"/>
      <c r="Q124" s="3215"/>
    </row>
    <row r="125" spans="1:17" ht="15.75" thickBot="1">
      <c r="A125" s="3105"/>
      <c r="B125" s="3252"/>
      <c r="C125" s="3260">
        <v>100</v>
      </c>
      <c r="D125" s="3260">
        <f>C125-$K43</f>
        <v>100</v>
      </c>
      <c r="E125" s="3260">
        <f>D125-$K43</f>
        <v>100</v>
      </c>
      <c r="F125" s="3260">
        <f>E125-$K43</f>
        <v>100</v>
      </c>
      <c r="G125" s="3260">
        <f>F125-$K43</f>
        <v>100</v>
      </c>
      <c r="H125" s="3260"/>
      <c r="I125" s="3260"/>
      <c r="J125" s="3260"/>
      <c r="K125" s="3260"/>
      <c r="L125" s="3260"/>
      <c r="M125" s="3261"/>
      <c r="N125" s="3249"/>
      <c r="O125" s="3249"/>
      <c r="P125" s="3225"/>
      <c r="Q125" s="3215"/>
    </row>
    <row r="126" spans="1:17" s="3172" customFormat="1" ht="15" thickTop="1">
      <c r="A126" s="3162"/>
      <c r="B126" s="3250">
        <f>B44</f>
        <v>111</v>
      </c>
      <c r="C126" s="3263"/>
      <c r="D126" s="3263"/>
      <c r="E126" s="3263"/>
      <c r="F126" s="3263"/>
      <c r="G126" s="3263"/>
      <c r="H126" s="3264"/>
      <c r="I126" s="3264"/>
      <c r="J126" s="3264"/>
      <c r="K126" s="3264"/>
      <c r="L126" s="3265"/>
      <c r="M126" s="3266"/>
      <c r="N126" s="3267"/>
      <c r="O126" s="3267"/>
      <c r="P126" s="3268"/>
      <c r="Q126" s="3269"/>
    </row>
    <row r="127" spans="1:17" s="3172" customFormat="1" ht="15.75" thickBot="1">
      <c r="A127" s="3262"/>
      <c r="B127" s="3252"/>
      <c r="C127" s="3270"/>
      <c r="D127" s="3247"/>
      <c r="E127" s="3247"/>
      <c r="F127" s="3247"/>
      <c r="G127" s="3270"/>
      <c r="H127" s="3273"/>
      <c r="I127" s="3273"/>
      <c r="J127" s="3273"/>
      <c r="K127" s="3273"/>
      <c r="L127" s="3273"/>
      <c r="M127" s="3274"/>
      <c r="N127" s="3267"/>
      <c r="O127" s="3267"/>
      <c r="P127" s="3268"/>
      <c r="Q127" s="3269"/>
    </row>
    <row r="128" spans="1:17" ht="15" thickTop="1">
      <c r="A128" s="3173"/>
      <c r="B128" s="3250">
        <f>B45</f>
        <v>111</v>
      </c>
      <c r="C128" s="3263"/>
      <c r="D128" s="3263"/>
      <c r="E128" s="3263"/>
      <c r="F128" s="3263"/>
      <c r="G128" s="3251"/>
      <c r="H128" s="3251"/>
      <c r="I128" s="3251"/>
      <c r="J128" s="3251"/>
      <c r="K128" s="3301"/>
      <c r="L128" s="3302"/>
      <c r="M128" s="3303"/>
      <c r="N128" s="3245"/>
      <c r="O128" s="3245"/>
      <c r="P128" s="3225"/>
      <c r="Q128" s="3215"/>
    </row>
    <row r="129" spans="1:17" ht="15.75" thickBot="1">
      <c r="A129" s="3105"/>
      <c r="B129" s="3252"/>
      <c r="C129" s="3270"/>
      <c r="D129" s="3270"/>
      <c r="E129" s="3270"/>
      <c r="F129" s="3270"/>
      <c r="G129" s="3247"/>
      <c r="H129" s="3247"/>
      <c r="I129" s="3247"/>
      <c r="J129" s="3247"/>
      <c r="K129" s="3247"/>
      <c r="L129" s="3247"/>
      <c r="M129" s="3248"/>
      <c r="N129" s="3249"/>
      <c r="O129" s="3249"/>
      <c r="P129" s="3225"/>
      <c r="Q129" s="3215"/>
    </row>
    <row r="130" spans="1:17" ht="15" thickTop="1">
      <c r="A130" s="3173"/>
      <c r="B130" s="3253">
        <f>B46</f>
        <v>111</v>
      </c>
      <c r="C130" s="3263"/>
      <c r="D130" s="3263"/>
      <c r="E130" s="3263"/>
      <c r="F130" s="3263"/>
      <c r="G130" s="3304"/>
      <c r="H130" s="3304"/>
      <c r="I130" s="3304"/>
      <c r="J130" s="3304"/>
      <c r="K130" s="3233"/>
      <c r="L130" s="3234"/>
      <c r="M130" s="3307"/>
      <c r="N130" s="3245"/>
      <c r="O130" s="3245"/>
      <c r="P130" s="3225"/>
      <c r="Q130" s="3215"/>
    </row>
    <row r="131" spans="1:17" ht="15.75" thickBot="1">
      <c r="A131" s="3116"/>
      <c r="B131" s="3280"/>
      <c r="C131" s="3281"/>
      <c r="D131" s="3281"/>
      <c r="E131" s="3281"/>
      <c r="F131" s="3281"/>
      <c r="G131" s="3308"/>
      <c r="H131" s="3308"/>
      <c r="I131" s="3308"/>
      <c r="J131" s="3308"/>
      <c r="K131" s="3308"/>
      <c r="L131" s="3308"/>
      <c r="M131" s="3309"/>
      <c r="N131" s="3249"/>
      <c r="O131" s="3249"/>
      <c r="P131" s="3225"/>
      <c r="Q131" s="3215"/>
    </row>
    <row r="136" spans="1:17" ht="15" thickBot="1">
      <c r="B136" s="3325" t="s">
        <v>1745</v>
      </c>
    </row>
    <row r="137" spans="1:17" ht="15">
      <c r="B137" s="3326" t="s">
        <v>1746</v>
      </c>
      <c r="C137" s="3327"/>
      <c r="D137" s="3327"/>
      <c r="E137" s="3327"/>
      <c r="F137" s="3327"/>
      <c r="G137" s="3328"/>
      <c r="H137" s="3329"/>
      <c r="I137" s="3330" t="s">
        <v>1747</v>
      </c>
      <c r="J137" s="3327"/>
      <c r="K137" s="3331"/>
    </row>
    <row r="138" spans="1:17" ht="15">
      <c r="B138" s="3332"/>
      <c r="C138" s="2998" t="s">
        <v>1748</v>
      </c>
      <c r="D138" s="2998" t="s">
        <v>1749</v>
      </c>
      <c r="E138" s="3333" t="s">
        <v>1750</v>
      </c>
      <c r="F138" s="3334" t="s">
        <v>1751</v>
      </c>
      <c r="G138" s="2998" t="s">
        <v>1749</v>
      </c>
      <c r="H138" s="2999" t="s">
        <v>1750</v>
      </c>
      <c r="I138" s="3335"/>
      <c r="J138" s="2998" t="s">
        <v>1752</v>
      </c>
      <c r="K138" s="2999" t="s">
        <v>1753</v>
      </c>
    </row>
    <row r="139" spans="1:17" ht="15">
      <c r="B139" s="3336">
        <v>6</v>
      </c>
      <c r="C139" s="3337">
        <v>96</v>
      </c>
      <c r="D139" s="3338" t="s">
        <v>1754</v>
      </c>
      <c r="E139" s="3339">
        <v>100</v>
      </c>
      <c r="F139" s="3340">
        <v>102.5</v>
      </c>
      <c r="G139" s="3338" t="s">
        <v>1754</v>
      </c>
      <c r="H139" s="3341">
        <v>105</v>
      </c>
      <c r="I139" s="3342" t="s">
        <v>1755</v>
      </c>
      <c r="J139" s="3337">
        <v>20</v>
      </c>
      <c r="K139" s="3343">
        <f>C145/(J139-2)</f>
        <v>4.0555555555555553E-3</v>
      </c>
    </row>
    <row r="140" spans="1:17" ht="15">
      <c r="B140" s="3344">
        <v>5</v>
      </c>
      <c r="C140" s="3345">
        <v>100</v>
      </c>
      <c r="D140" s="3345"/>
      <c r="E140" s="3346"/>
      <c r="F140" s="3347">
        <v>102</v>
      </c>
      <c r="G140" s="3345"/>
      <c r="H140" s="3348"/>
      <c r="I140" s="3349" t="s">
        <v>1756</v>
      </c>
      <c r="J140" s="3350">
        <f>ROUNDUP((J139-1)/2,0)</f>
        <v>10</v>
      </c>
      <c r="K140" s="3351">
        <v>100</v>
      </c>
    </row>
    <row r="141" spans="1:17" ht="15">
      <c r="B141" s="3344">
        <v>4</v>
      </c>
      <c r="C141" s="3345">
        <v>102</v>
      </c>
      <c r="D141" s="3345"/>
      <c r="E141" s="3346"/>
      <c r="F141" s="3347">
        <v>101.5</v>
      </c>
      <c r="G141" s="3345"/>
      <c r="H141" s="3348"/>
      <c r="I141" s="3349" t="s">
        <v>1757</v>
      </c>
      <c r="J141" s="3350">
        <v>1</v>
      </c>
      <c r="K141" s="3351">
        <f>ROUND(100+(J141-J140)*K139*100,1)</f>
        <v>96.4</v>
      </c>
    </row>
    <row r="142" spans="1:17" ht="15">
      <c r="B142" s="3344">
        <v>3</v>
      </c>
      <c r="C142" s="3345">
        <v>103</v>
      </c>
      <c r="D142" s="3345"/>
      <c r="E142" s="3346"/>
      <c r="F142" s="3347">
        <v>101</v>
      </c>
      <c r="G142" s="3345"/>
      <c r="H142" s="3348"/>
      <c r="I142" s="3349" t="s">
        <v>1758</v>
      </c>
      <c r="J142" s="3350">
        <f>J139</f>
        <v>20</v>
      </c>
      <c r="K142" s="3348">
        <v>95</v>
      </c>
    </row>
    <row r="143" spans="1:17" ht="15">
      <c r="B143" s="3344">
        <v>2</v>
      </c>
      <c r="C143" s="3345">
        <v>100</v>
      </c>
      <c r="D143" s="3345"/>
      <c r="E143" s="3346"/>
      <c r="F143" s="3347">
        <v>100.5</v>
      </c>
      <c r="G143" s="3345"/>
      <c r="H143" s="3348"/>
      <c r="I143" s="3349" t="s">
        <v>1759</v>
      </c>
      <c r="J143" s="3345">
        <v>15</v>
      </c>
      <c r="K143" s="3351">
        <f>ROUND(100+(J143-J140)*K139*100,1)</f>
        <v>102</v>
      </c>
    </row>
    <row r="144" spans="1:17" ht="15">
      <c r="B144" s="3344">
        <v>1</v>
      </c>
      <c r="C144" s="3345">
        <v>98</v>
      </c>
      <c r="D144" s="3352" t="s">
        <v>1760</v>
      </c>
      <c r="E144" s="3346">
        <v>102</v>
      </c>
      <c r="F144" s="3353">
        <v>100</v>
      </c>
      <c r="G144" s="3352" t="s">
        <v>1760</v>
      </c>
      <c r="H144" s="3348">
        <v>105</v>
      </c>
      <c r="I144" s="3349" t="s">
        <v>1759</v>
      </c>
      <c r="J144" s="3345">
        <v>18</v>
      </c>
      <c r="K144" s="3351">
        <f>ROUND(100+(J144-J140)*K139*100,1)</f>
        <v>103.2</v>
      </c>
    </row>
    <row r="145" spans="2:11" ht="15.75" thickBot="1">
      <c r="B145" s="3354" t="s">
        <v>1761</v>
      </c>
      <c r="C145" s="3355">
        <f>ROUND(MAX(C139:C144)/MIN(C139:C144)-1,3)</f>
        <v>7.2999999999999995E-2</v>
      </c>
      <c r="D145" s="3356"/>
      <c r="E145" s="3356"/>
      <c r="F145" s="3357" t="s">
        <v>1762</v>
      </c>
      <c r="G145" s="3358"/>
      <c r="H145" s="3359"/>
      <c r="I145" s="3360" t="s">
        <v>1759</v>
      </c>
      <c r="J145" s="3361">
        <v>8</v>
      </c>
      <c r="K145" s="3362">
        <f>ROUND(100+(J145-J140)*K139*100,1)</f>
        <v>99.2</v>
      </c>
    </row>
    <row r="147" spans="2:11">
      <c r="B147" s="3325" t="s">
        <v>1763</v>
      </c>
    </row>
    <row r="148" spans="2:11">
      <c r="B148" s="33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0" sqref="I20"/>
    </sheetView>
  </sheetViews>
  <sheetFormatPr defaultColWidth="8.375" defaultRowHeight="12.75"/>
  <cols>
    <col min="1" max="1" width="9.375" style="3435" customWidth="1"/>
    <col min="2" max="2" width="29.25" style="3423" customWidth="1"/>
    <col min="3" max="3" width="12.125" style="3423" customWidth="1"/>
    <col min="4" max="5" width="11.25" style="3437" customWidth="1"/>
    <col min="6" max="6" width="9.5" style="3423" customWidth="1"/>
    <col min="7" max="7" width="31.875" style="3423" customWidth="1"/>
    <col min="8" max="8" width="10.75" style="3423" customWidth="1"/>
    <col min="9" max="254" width="9" style="3423" customWidth="1"/>
    <col min="255" max="16384" width="8.375" style="3423"/>
  </cols>
  <sheetData>
    <row r="1" spans="1:8" s="3371" customFormat="1" ht="20.25">
      <c r="A1" s="3366" t="s">
        <v>1460</v>
      </c>
      <c r="B1" s="3367" t="s">
        <v>3432</v>
      </c>
      <c r="C1" s="3368" t="s">
        <v>1562</v>
      </c>
      <c r="D1" s="3369"/>
      <c r="E1" s="3369"/>
      <c r="F1" s="3369"/>
      <c r="G1" s="3370">
        <f>MATCH(B1,'数据-取费表'!A6:A16,0)+5</f>
        <v>6</v>
      </c>
      <c r="H1" s="3064" t="str">
        <f>IF(ISERROR(FIND("住宅",B1)),"非住宅","住宅")</f>
        <v>住宅</v>
      </c>
    </row>
    <row r="2" spans="1:8" s="3371" customFormat="1" ht="18" customHeight="1">
      <c r="A2" s="3372" t="s">
        <v>1461</v>
      </c>
      <c r="B2" s="3373">
        <f ca="1">ROUND(IF(D2="——",C52/10000,C52/10000-E2),4)</f>
        <v>85.393900000000002</v>
      </c>
      <c r="C2" s="3374" t="s">
        <v>1462</v>
      </c>
      <c r="D2" s="3375" t="s">
        <v>43</v>
      </c>
      <c r="E2" s="3376">
        <f ca="1">SUMIF(INDIRECT("'"&amp;G2&amp;"'"&amp;"!A:A"),"承租人权益价值",INDIRECT("'"&amp;G2&amp;"'"&amp;"!c:c"))</f>
        <v>0</v>
      </c>
      <c r="F2" s="3377" t="s">
        <v>1462</v>
      </c>
      <c r="G2" s="3378" t="s">
        <v>3625</v>
      </c>
    </row>
    <row r="3" spans="1:8" s="3371" customFormat="1" ht="18" customHeight="1" thickBot="1">
      <c r="A3" s="3060" t="s">
        <v>1463</v>
      </c>
      <c r="B3" s="3379">
        <f ca="1">ROUND(B2*10000/(IF(B1="",'数据-汇总表'!E3,INDIRECT("'数据-取费表'!k"&amp;$G$1))),0)</f>
        <v>10685</v>
      </c>
      <c r="C3" s="3374" t="s">
        <v>1464</v>
      </c>
      <c r="D3" s="3374"/>
      <c r="E3" s="3374"/>
      <c r="F3" s="3374"/>
      <c r="G3" s="3374"/>
    </row>
    <row r="4" spans="1:8" s="3383" customFormat="1" ht="15.75">
      <c r="A4" s="3380" t="s">
        <v>1465</v>
      </c>
      <c r="B4" s="3381"/>
      <c r="C4" s="3381"/>
      <c r="D4" s="3381"/>
      <c r="E4" s="3381"/>
      <c r="F4" s="3381"/>
      <c r="G4" s="3382"/>
    </row>
    <row r="5" spans="1:8" s="3388" customFormat="1" ht="13.5" customHeight="1">
      <c r="A5" s="3384" t="s">
        <v>1466</v>
      </c>
      <c r="B5" s="3385" t="s">
        <v>1467</v>
      </c>
      <c r="C5" s="3386">
        <f ca="1">C6+C7+C8</f>
        <v>592749</v>
      </c>
      <c r="D5" s="3386" t="s">
        <v>1468</v>
      </c>
      <c r="E5" s="3386" t="s">
        <v>1469</v>
      </c>
      <c r="F5" s="3386" t="s">
        <v>1470</v>
      </c>
      <c r="G5" s="3387"/>
    </row>
    <row r="6" spans="1:8" s="3388" customFormat="1" ht="13.5" customHeight="1">
      <c r="A6" s="3389" t="s">
        <v>1471</v>
      </c>
      <c r="B6" s="3390" t="s">
        <v>1472</v>
      </c>
      <c r="C6" s="3391">
        <v>562797</v>
      </c>
      <c r="D6" s="3392"/>
      <c r="E6" s="3392"/>
      <c r="F6" s="3392"/>
      <c r="G6" s="3393"/>
    </row>
    <row r="7" spans="1:8" s="3388" customFormat="1" ht="13.5" customHeight="1">
      <c r="A7" s="3389" t="s">
        <v>1473</v>
      </c>
      <c r="B7" s="3390" t="s">
        <v>1474</v>
      </c>
      <c r="C7" s="3392">
        <f>ROUND(C6*F7,0)</f>
        <v>17165</v>
      </c>
      <c r="D7" s="3392"/>
      <c r="E7" s="3392"/>
      <c r="F7" s="3392">
        <f>IF(项目基本情况!B8="出让",0,'数据-取费表'!B48+'数据-取费表'!B49)</f>
        <v>3.0499999999999999E-2</v>
      </c>
      <c r="G7" s="3393"/>
    </row>
    <row r="8" spans="1:8" s="3396" customFormat="1">
      <c r="A8" s="3389" t="s">
        <v>1475</v>
      </c>
      <c r="B8" s="3390" t="s">
        <v>1476</v>
      </c>
      <c r="C8" s="3392">
        <f ca="1">IF(G8="已包含在土地购买价格中",0,C9+C10)</f>
        <v>12787</v>
      </c>
      <c r="D8" s="3394"/>
      <c r="E8" s="3392"/>
      <c r="F8" s="3392"/>
      <c r="G8" s="3395"/>
    </row>
    <row r="9" spans="1:8" s="3388" customFormat="1" ht="13.5" customHeight="1">
      <c r="A9" s="3397" t="s">
        <v>355</v>
      </c>
      <c r="B9" s="3398" t="s">
        <v>1477</v>
      </c>
      <c r="C9" s="3399">
        <f ca="1">ROUND(D9*E9,0)</f>
        <v>12787</v>
      </c>
      <c r="D9" s="3400">
        <f ca="1">IF(B1="",'数据-汇总表'!E5,IF(INDIRECT("'数据-取费表'!c"&amp;$G$1)="住宅",INDIRECT("'数据-取费表'!k"&amp;$G$1),0))</f>
        <v>79.92</v>
      </c>
      <c r="E9" s="3399">
        <f>'数据-取费表'!B27</f>
        <v>160</v>
      </c>
      <c r="F9" s="3392"/>
      <c r="G9" s="3401"/>
    </row>
    <row r="10" spans="1:8" s="3388" customFormat="1" ht="13.5" customHeight="1">
      <c r="A10" s="3397" t="s">
        <v>356</v>
      </c>
      <c r="B10" s="3398" t="s">
        <v>1479</v>
      </c>
      <c r="C10" s="3399">
        <f ca="1">ROUND(D10*E10,0)</f>
        <v>0</v>
      </c>
      <c r="D10" s="3400">
        <f ca="1">IF(B1="",'数据-汇总表'!E6,IF(INDIRECT("'数据-取费表'!c"&amp;$G$1)="住宅",INDIRECT("'数据-取费表'!s"&amp;$G$1),INDIRECT("'数据-取费表'!k"&amp;$G$1)+INDIRECT("'数据-取费表'!s"&amp;$G$1)))</f>
        <v>0</v>
      </c>
      <c r="E10" s="3399">
        <f>'数据-取费表'!B28</f>
        <v>0</v>
      </c>
      <c r="F10" s="3392"/>
      <c r="G10" s="3401"/>
    </row>
    <row r="11" spans="1:8" s="3388" customFormat="1" ht="13.5" hidden="1" customHeight="1">
      <c r="A11" s="3402" t="s">
        <v>4</v>
      </c>
      <c r="B11" s="3390" t="s">
        <v>1480</v>
      </c>
      <c r="C11" s="3386"/>
      <c r="D11" s="3392"/>
      <c r="E11" s="3392"/>
      <c r="F11" s="3392"/>
      <c r="G11" s="3393"/>
    </row>
    <row r="12" spans="1:8" s="3388" customFormat="1" ht="13.5" hidden="1" customHeight="1">
      <c r="A12" s="3402" t="s">
        <v>5</v>
      </c>
      <c r="B12" s="3390" t="s">
        <v>1563</v>
      </c>
      <c r="C12" s="3386">
        <v>0</v>
      </c>
      <c r="D12" s="3392"/>
      <c r="E12" s="3403"/>
      <c r="F12" s="3392">
        <v>3.0499999999999999E-2</v>
      </c>
      <c r="G12" s="3393"/>
    </row>
    <row r="13" spans="1:8" s="3388" customFormat="1" ht="13.5" hidden="1" customHeight="1">
      <c r="A13" s="3402" t="s">
        <v>6</v>
      </c>
      <c r="B13" s="3390" t="s">
        <v>1564</v>
      </c>
      <c r="C13" s="3386"/>
      <c r="D13" s="3392"/>
      <c r="E13" s="3392"/>
      <c r="F13" s="3392"/>
      <c r="G13" s="3393"/>
    </row>
    <row r="14" spans="1:8" s="3388" customFormat="1" ht="13.5" hidden="1" customHeight="1">
      <c r="A14" s="3402" t="s">
        <v>7</v>
      </c>
      <c r="B14" s="3390" t="s">
        <v>1476</v>
      </c>
      <c r="C14" s="3386"/>
      <c r="D14" s="3392"/>
      <c r="E14" s="3392"/>
      <c r="F14" s="3392"/>
      <c r="G14" s="3393" t="s">
        <v>1565</v>
      </c>
    </row>
    <row r="15" spans="1:8" s="3388" customFormat="1" ht="13.5" hidden="1" customHeight="1">
      <c r="A15" s="3402" t="s">
        <v>8</v>
      </c>
      <c r="B15" s="3390" t="s">
        <v>1566</v>
      </c>
      <c r="C15" s="3392"/>
      <c r="D15" s="3392"/>
      <c r="E15" s="3392"/>
      <c r="F15" s="3392"/>
      <c r="G15" s="3393" t="s">
        <v>1567</v>
      </c>
    </row>
    <row r="16" spans="1:8" s="3388" customFormat="1" ht="13.5" hidden="1" customHeight="1">
      <c r="A16" s="3402" t="s">
        <v>9</v>
      </c>
      <c r="B16" s="3390" t="s">
        <v>1476</v>
      </c>
      <c r="C16" s="3392"/>
      <c r="D16" s="3392"/>
      <c r="E16" s="3392"/>
      <c r="F16" s="3392"/>
      <c r="G16" s="3393"/>
    </row>
    <row r="17" spans="1:7" s="3388" customFormat="1" ht="13.5" hidden="1" customHeight="1">
      <c r="A17" s="3402" t="s">
        <v>10</v>
      </c>
      <c r="B17" s="3390" t="s">
        <v>1568</v>
      </c>
      <c r="C17" s="3404"/>
      <c r="D17" s="3404"/>
      <c r="E17" s="3404"/>
      <c r="F17" s="3404"/>
      <c r="G17" s="3393" t="s">
        <v>1567</v>
      </c>
    </row>
    <row r="18" spans="1:7" s="3388" customFormat="1" ht="13.5" hidden="1" customHeight="1">
      <c r="A18" s="3402" t="s">
        <v>11</v>
      </c>
      <c r="B18" s="3390" t="s">
        <v>1569</v>
      </c>
      <c r="C18" s="3392">
        <v>0</v>
      </c>
      <c r="D18" s="3392"/>
      <c r="E18" s="3392"/>
      <c r="F18" s="3392">
        <v>3.0499999999999999E-2</v>
      </c>
      <c r="G18" s="3393" t="s">
        <v>1570</v>
      </c>
    </row>
    <row r="19" spans="1:7" s="3396" customFormat="1" ht="13.5" customHeight="1">
      <c r="A19" s="3384" t="s">
        <v>1571</v>
      </c>
      <c r="B19" s="3385" t="s">
        <v>1572</v>
      </c>
      <c r="C19" s="3386">
        <f ca="1">IF(G19="已包含在土地取得成本中","0",ROUND(D19*E19,0))</f>
        <v>0</v>
      </c>
      <c r="D19" s="3386">
        <f ca="1">D9+D10</f>
        <v>79.92</v>
      </c>
      <c r="E19" s="3386">
        <f>'数据-取费表'!B31</f>
        <v>0</v>
      </c>
      <c r="F19" s="3405"/>
      <c r="G19" s="3395"/>
    </row>
    <row r="20" spans="1:7" s="3388" customFormat="1" ht="13.5" customHeight="1">
      <c r="A20" s="3384" t="s">
        <v>1573</v>
      </c>
      <c r="B20" s="3385" t="s">
        <v>1574</v>
      </c>
      <c r="C20" s="3406">
        <f ca="1">ROUND((C5+C19)*F20,0)</f>
        <v>5927</v>
      </c>
      <c r="D20" s="3406"/>
      <c r="E20" s="3406"/>
      <c r="F20" s="3405">
        <f>'数据-取费表'!B37</f>
        <v>0.01</v>
      </c>
      <c r="G20" s="3407" t="s">
        <v>1575</v>
      </c>
    </row>
    <row r="21" spans="1:7" s="3388" customFormat="1" ht="13.5" customHeight="1">
      <c r="A21" s="3384" t="s">
        <v>1576</v>
      </c>
      <c r="B21" s="3385" t="s">
        <v>1577</v>
      </c>
      <c r="C21" s="3408">
        <f>F21</f>
        <v>0.01</v>
      </c>
      <c r="D21" s="3409" t="s">
        <v>1578</v>
      </c>
      <c r="E21" s="3406"/>
      <c r="F21" s="3405">
        <f>'数据-取费表'!B38</f>
        <v>0.01</v>
      </c>
      <c r="G21" s="3407" t="s">
        <v>1579</v>
      </c>
    </row>
    <row r="22" spans="1:7" s="3388" customFormat="1" ht="13.5" customHeight="1">
      <c r="A22" s="3384" t="s">
        <v>1580</v>
      </c>
      <c r="B22" s="3385" t="s">
        <v>1581</v>
      </c>
      <c r="C22" s="3406">
        <f ca="1">ROUND(SUM(C23:C25),0)</f>
        <v>36457</v>
      </c>
      <c r="D22" s="3408">
        <f ca="1">C26</f>
        <v>2.9999999999999997E-4</v>
      </c>
      <c r="E22" s="3409" t="s">
        <v>1578</v>
      </c>
      <c r="F22" s="3410">
        <f ca="1">'数据-取费表'!B40</f>
        <v>6.1200000000000004E-2</v>
      </c>
      <c r="G22" s="3407" t="str">
        <f>IF('数据-取费表'!B22&lt;=1,"单利计息","复利计息")</f>
        <v>单利计息</v>
      </c>
    </row>
    <row r="23" spans="1:7" s="3388" customFormat="1" ht="13.5" customHeight="1">
      <c r="A23" s="3411" t="s">
        <v>1471</v>
      </c>
      <c r="B23" s="3390" t="s">
        <v>1582</v>
      </c>
      <c r="C23" s="3412">
        <f ca="1">ROUND(IF('数据-取费表'!B22&lt;=1,C5*F22*'数据-取费表'!B22,C5*(POWER((1+F22),'数据-取费表'!B22)-1)),0)</f>
        <v>36276</v>
      </c>
      <c r="D23" s="3412"/>
      <c r="E23" s="3412"/>
      <c r="F23" s="3413"/>
      <c r="G23" s="3414" t="s">
        <v>1583</v>
      </c>
    </row>
    <row r="24" spans="1:7" s="3388" customFormat="1" ht="13.5" customHeight="1">
      <c r="A24" s="3411" t="s">
        <v>1473</v>
      </c>
      <c r="B24" s="3390" t="s">
        <v>1584</v>
      </c>
      <c r="C24" s="3412">
        <f ca="1">ROUND(IF('数据-取费表'!B22&lt;=1,C19*F22*('数据-取费表'!B19/2+'数据-取费表'!B20),C19*(POWER((1+F22),('数据-取费表'!B19/2+'数据-取费表'!B20))-1)),0)</f>
        <v>0</v>
      </c>
      <c r="D24" s="3412"/>
      <c r="E24" s="3412"/>
      <c r="F24" s="3413"/>
      <c r="G24" s="3414" t="s">
        <v>1585</v>
      </c>
    </row>
    <row r="25" spans="1:7" s="3388" customFormat="1" ht="24">
      <c r="A25" s="3411" t="s">
        <v>1475</v>
      </c>
      <c r="B25" s="3390" t="s">
        <v>1586</v>
      </c>
      <c r="C25" s="3412">
        <f ca="1">ROUND(IF('数据-取费表'!B22&lt;=1,C20*F22*'数据-取费表'!B22/2,C20*(POWER((1+F22),'数据-取费表'!B22/2)-1)),0)</f>
        <v>181</v>
      </c>
      <c r="D25" s="3412"/>
      <c r="E25" s="3415"/>
      <c r="F25" s="3413"/>
      <c r="G25" s="3416" t="s">
        <v>1587</v>
      </c>
    </row>
    <row r="26" spans="1:7" s="3388" customFormat="1">
      <c r="A26" s="3411" t="s">
        <v>350</v>
      </c>
      <c r="B26" s="3390" t="s">
        <v>1510</v>
      </c>
      <c r="C26" s="3412">
        <f ca="1">ROUND(IF('数据-取费表'!B22&lt;=1,F21*F22*'数据-取费表'!B22/2,F21*(POWER((1+F22),'数据-取费表'!B22/2)-1)),4)</f>
        <v>2.9999999999999997E-4</v>
      </c>
      <c r="D26" s="3412"/>
      <c r="E26" s="3415"/>
      <c r="F26" s="3413"/>
      <c r="G26" s="3417"/>
    </row>
    <row r="27" spans="1:7" s="3388" customFormat="1" ht="24.75">
      <c r="A27" s="3384" t="s">
        <v>1511</v>
      </c>
      <c r="B27" s="3418" t="s">
        <v>1512</v>
      </c>
      <c r="C27" s="3419">
        <f ca="1">C28</f>
        <v>59868</v>
      </c>
      <c r="D27" s="3408">
        <f ca="1">C29</f>
        <v>1E-3</v>
      </c>
      <c r="E27" s="3409" t="s">
        <v>1513</v>
      </c>
      <c r="F27" s="3410">
        <f ca="1">IF(B1="",'数据-取费表'!Q16,INDIRECT("'数据-取费表'!q"&amp;$G$1))</f>
        <v>0.1</v>
      </c>
      <c r="G27" s="3420" t="s">
        <v>1514</v>
      </c>
    </row>
    <row r="28" spans="1:7" s="3388" customFormat="1" ht="13.5" customHeight="1">
      <c r="A28" s="3411" t="s">
        <v>346</v>
      </c>
      <c r="B28" s="3421" t="s">
        <v>1515</v>
      </c>
      <c r="C28" s="3422">
        <f ca="1">ROUND((C5+C19+C20)*F27,0)</f>
        <v>59868</v>
      </c>
      <c r="D28" s="3408"/>
      <c r="E28" s="3409"/>
      <c r="F28" s="3410"/>
      <c r="G28" s="3420"/>
    </row>
    <row r="29" spans="1:7" s="3388" customFormat="1" ht="13.5" customHeight="1">
      <c r="A29" s="3411" t="s">
        <v>347</v>
      </c>
      <c r="B29" s="3421" t="s">
        <v>1516</v>
      </c>
      <c r="C29" s="3412">
        <f ca="1">ROUND(C21*F27,4)</f>
        <v>1E-3</v>
      </c>
      <c r="D29" s="3408"/>
      <c r="E29" s="3409"/>
      <c r="F29" s="3410"/>
      <c r="G29" s="3420"/>
    </row>
    <row r="30" spans="1:7" s="3388" customFormat="1" ht="13.5" customHeight="1">
      <c r="A30" s="3384" t="s">
        <v>1517</v>
      </c>
      <c r="B30" s="3385" t="s">
        <v>1518</v>
      </c>
      <c r="C30" s="3408">
        <f>ROUND(F30/(1+'数据-取费表'!C42),4)</f>
        <v>5.5E-2</v>
      </c>
      <c r="D30" s="3409" t="s">
        <v>1513</v>
      </c>
      <c r="E30" s="3415"/>
      <c r="F30" s="3410">
        <f>'数据-取费表'!B41</f>
        <v>5.5000000000000007E-2</v>
      </c>
      <c r="G30" s="3407" t="s">
        <v>1519</v>
      </c>
    </row>
    <row r="31" spans="1:7" ht="16.5" customHeight="1">
      <c r="A31" s="3384">
        <v>1</v>
      </c>
      <c r="B31" s="3385" t="s">
        <v>1520</v>
      </c>
      <c r="C31" s="3386">
        <f ca="1">ROUND((C5+C19+C20+C22+C27)/(1-C21-D22-D27-C30),0)</f>
        <v>744352</v>
      </c>
      <c r="D31" s="3386"/>
      <c r="E31" s="3386"/>
      <c r="F31" s="3386"/>
      <c r="G31" s="3407" t="s">
        <v>1521</v>
      </c>
    </row>
    <row r="32" spans="1:7" s="3383" customFormat="1" ht="15.75">
      <c r="A32" s="3424" t="s">
        <v>1588</v>
      </c>
      <c r="B32" s="3425"/>
      <c r="C32" s="3425"/>
      <c r="D32" s="3425"/>
      <c r="E32" s="3425"/>
      <c r="F32" s="3425"/>
      <c r="G32" s="3426"/>
    </row>
    <row r="33" spans="1:7" s="3388" customFormat="1" ht="13.5" customHeight="1">
      <c r="A33" s="3384" t="s">
        <v>337</v>
      </c>
      <c r="B33" s="3385" t="s">
        <v>1589</v>
      </c>
      <c r="C33" s="3406">
        <f ca="1">SUM(C34:C38)</f>
        <v>112008</v>
      </c>
      <c r="D33" s="3406"/>
      <c r="E33" s="3386"/>
      <c r="F33" s="3415"/>
      <c r="G33" s="3407"/>
    </row>
    <row r="34" spans="1:7" s="3427" customFormat="1" ht="13.5" customHeight="1">
      <c r="A34" s="3411" t="s">
        <v>346</v>
      </c>
      <c r="B34" s="3390" t="s">
        <v>1524</v>
      </c>
      <c r="C34" s="3392">
        <f ca="1">ROUND(IF(B1="",SUMPRODUCT('数据-取费表'!K6:K14,'数据-取费表'!L6:L14),INDIRECT("'数据-取费表'!l"&amp;$G$1)*INDIRECT("'数据-取费表'!k"&amp;$G$1)+'数据-取费表'!L14*INDIRECT("'数据-取费表'!S"&amp;$G$1)),0)</f>
        <v>103896</v>
      </c>
      <c r="D34" s="3392"/>
      <c r="E34" s="3392"/>
      <c r="F34" s="3405"/>
      <c r="G34" s="3393"/>
    </row>
    <row r="35" spans="1:7" ht="13.5" customHeight="1">
      <c r="A35" s="3411" t="s">
        <v>351</v>
      </c>
      <c r="B35" s="3390" t="s">
        <v>1526</v>
      </c>
      <c r="C35" s="3392">
        <f ca="1">ROUND(C34*F35,0)</f>
        <v>3117</v>
      </c>
      <c r="D35" s="3392"/>
      <c r="E35" s="3392"/>
      <c r="F35" s="3428">
        <f>'数据-取费表'!B33</f>
        <v>0.03</v>
      </c>
      <c r="G35" s="3393" t="s">
        <v>1527</v>
      </c>
    </row>
    <row r="36" spans="1:7" ht="24">
      <c r="A36" s="3411" t="s">
        <v>352</v>
      </c>
      <c r="B36" s="3390" t="s">
        <v>1528</v>
      </c>
      <c r="C36" s="3392">
        <f ca="1">ROUND(IF(B1="",SUM('数据-取费表'!AP6:AP13)*F36,IF(INDIRECT("'数据-取费表'!c"&amp;$G$1)="住宅",INDIRECT("'数据-取费表'!k"&amp;$G$1)*INDIRECT("'数据-取费表'!l"&amp;$G$1)*F36,0)),0)</f>
        <v>1039</v>
      </c>
      <c r="D36" s="3392"/>
      <c r="E36" s="3392"/>
      <c r="F36" s="3428">
        <f>'数据-取费表'!B34</f>
        <v>0.01</v>
      </c>
      <c r="G36" s="3429" t="s">
        <v>1529</v>
      </c>
    </row>
    <row r="37" spans="1:7" s="3427" customFormat="1" ht="13.5" customHeight="1">
      <c r="A37" s="3411" t="s">
        <v>353</v>
      </c>
      <c r="B37" s="3390" t="s">
        <v>1530</v>
      </c>
      <c r="C37" s="3422">
        <f ca="1">ROUND(E37*D37,0)</f>
        <v>2398</v>
      </c>
      <c r="D37" s="3392">
        <f ca="1">D19</f>
        <v>79.92</v>
      </c>
      <c r="E37" s="3422">
        <f>'数据-取费表'!B35</f>
        <v>30</v>
      </c>
      <c r="F37" s="3428"/>
      <c r="G37" s="3430"/>
    </row>
    <row r="38" spans="1:7" ht="13.5" customHeight="1">
      <c r="A38" s="3411" t="s">
        <v>354</v>
      </c>
      <c r="B38" s="3390" t="s">
        <v>1532</v>
      </c>
      <c r="C38" s="3392">
        <f ca="1">ROUND(C34*F38,0)</f>
        <v>1558</v>
      </c>
      <c r="D38" s="3392"/>
      <c r="E38" s="3392"/>
      <c r="F38" s="3428">
        <f>'数据-取费表'!B36</f>
        <v>1.4999999999999999E-2</v>
      </c>
      <c r="G38" s="3393" t="s">
        <v>1527</v>
      </c>
    </row>
    <row r="39" spans="1:7" s="3388" customFormat="1" ht="13.5" customHeight="1">
      <c r="A39" s="3384" t="s">
        <v>1533</v>
      </c>
      <c r="B39" s="3385" t="s">
        <v>1534</v>
      </c>
      <c r="C39" s="3406">
        <f ca="1">ROUND(C33*F20,0)</f>
        <v>1120</v>
      </c>
      <c r="D39" s="3406"/>
      <c r="E39" s="3406"/>
      <c r="F39" s="3405">
        <f>F20</f>
        <v>0.01</v>
      </c>
      <c r="G39" s="3407" t="s">
        <v>1535</v>
      </c>
    </row>
    <row r="40" spans="1:7" s="3388" customFormat="1" ht="13.5" customHeight="1">
      <c r="A40" s="3384" t="s">
        <v>1536</v>
      </c>
      <c r="B40" s="3385" t="s">
        <v>1537</v>
      </c>
      <c r="C40" s="3408">
        <f>F21</f>
        <v>0.01</v>
      </c>
      <c r="D40" s="3409" t="s">
        <v>1538</v>
      </c>
      <c r="E40" s="3406"/>
      <c r="F40" s="3405">
        <f>F21</f>
        <v>0.01</v>
      </c>
      <c r="G40" s="3407" t="s">
        <v>1539</v>
      </c>
    </row>
    <row r="41" spans="1:7" s="3388" customFormat="1" ht="13.5" customHeight="1">
      <c r="A41" s="3384" t="s">
        <v>1540</v>
      </c>
      <c r="B41" s="3385" t="s">
        <v>1541</v>
      </c>
      <c r="C41" s="3406">
        <f ca="1">ROUND(SUM(C42:C43),0)</f>
        <v>3461</v>
      </c>
      <c r="D41" s="3408">
        <f ca="1">C44</f>
        <v>2.9999999999999997E-4</v>
      </c>
      <c r="E41" s="3409" t="s">
        <v>1538</v>
      </c>
      <c r="F41" s="3410">
        <f ca="1">F22</f>
        <v>6.1200000000000004E-2</v>
      </c>
      <c r="G41" s="3407" t="str">
        <f>IF('数据-取费表'!B22&lt;=1,"单利计息","复利计息")</f>
        <v>单利计息</v>
      </c>
    </row>
    <row r="42" spans="1:7" ht="13.5" customHeight="1">
      <c r="A42" s="3411" t="s">
        <v>346</v>
      </c>
      <c r="B42" s="3390" t="s">
        <v>1542</v>
      </c>
      <c r="C42" s="3412">
        <f ca="1">ROUND(IF('数据-取费表'!B22&lt;=1,C33*F22*'数据-取费表'!B20/2,C33*(POWER((1+F22),'数据-取费表'!B20/2)-1)),0)</f>
        <v>3427</v>
      </c>
      <c r="D42" s="3412"/>
      <c r="E42" s="3412"/>
      <c r="F42" s="3413"/>
      <c r="G42" s="4232" t="s">
        <v>1590</v>
      </c>
    </row>
    <row r="43" spans="1:7" ht="13.5" customHeight="1">
      <c r="A43" s="3411" t="s">
        <v>347</v>
      </c>
      <c r="B43" s="3390" t="s">
        <v>1544</v>
      </c>
      <c r="C43" s="3412">
        <f ca="1">ROUND(IF('数据-取费表'!B22&lt;=1,C39*F22*'数据-取费表'!B20/2,C39*(POWER((1+F22),'数据-取费表'!B20/2)-1)),0)</f>
        <v>34</v>
      </c>
      <c r="D43" s="3412"/>
      <c r="E43" s="3412"/>
      <c r="F43" s="3413"/>
      <c r="G43" s="4233"/>
    </row>
    <row r="44" spans="1:7" ht="13.5" customHeight="1">
      <c r="A44" s="3411" t="s">
        <v>348</v>
      </c>
      <c r="B44" s="3390" t="s">
        <v>1545</v>
      </c>
      <c r="C44" s="3412">
        <f ca="1">ROUND(IF('数据-取费表'!B22&lt;=1,C40*F22*'数据-取费表'!B20/2,C40*(POWER((1+F22),'数据-取费表'!B20/2)-1)),4)</f>
        <v>2.9999999999999997E-4</v>
      </c>
      <c r="D44" s="3412"/>
      <c r="E44" s="3412"/>
      <c r="F44" s="3413"/>
      <c r="G44" s="4234"/>
    </row>
    <row r="45" spans="1:7" s="3388" customFormat="1" ht="13.5" customHeight="1">
      <c r="A45" s="3384" t="s">
        <v>1546</v>
      </c>
      <c r="B45" s="3418" t="s">
        <v>1512</v>
      </c>
      <c r="C45" s="3419">
        <f ca="1">C46</f>
        <v>11313</v>
      </c>
      <c r="D45" s="3408">
        <f ca="1">C47</f>
        <v>1E-3</v>
      </c>
      <c r="E45" s="3409" t="s">
        <v>1538</v>
      </c>
      <c r="F45" s="3410">
        <f ca="1">F27</f>
        <v>0.1</v>
      </c>
      <c r="G45" s="3420" t="s">
        <v>1547</v>
      </c>
    </row>
    <row r="46" spans="1:7" s="3388" customFormat="1" ht="13.5" customHeight="1">
      <c r="A46" s="3411" t="s">
        <v>346</v>
      </c>
      <c r="B46" s="3421" t="s">
        <v>1548</v>
      </c>
      <c r="C46" s="3422">
        <f ca="1">ROUND((C33+C39)*F27,0)</f>
        <v>11313</v>
      </c>
      <c r="D46" s="3408"/>
      <c r="E46" s="3409"/>
      <c r="F46" s="3410"/>
      <c r="G46" s="3420"/>
    </row>
    <row r="47" spans="1:7" s="3388" customFormat="1" ht="13.5" customHeight="1">
      <c r="A47" s="3411" t="s">
        <v>347</v>
      </c>
      <c r="B47" s="3421" t="s">
        <v>1549</v>
      </c>
      <c r="C47" s="3412">
        <f ca="1">ROUND(C40*F27,4)</f>
        <v>1E-3</v>
      </c>
      <c r="D47" s="3408"/>
      <c r="E47" s="3409"/>
      <c r="F47" s="3410"/>
      <c r="G47" s="3420"/>
    </row>
    <row r="48" spans="1:7" s="3388" customFormat="1" ht="13.5" customHeight="1">
      <c r="A48" s="3384" t="s">
        <v>1511</v>
      </c>
      <c r="B48" s="3385" t="s">
        <v>1550</v>
      </c>
      <c r="C48" s="3408">
        <f>ROUND(F30/(1+'数据-取费表'!C42),4)</f>
        <v>5.5E-2</v>
      </c>
      <c r="D48" s="3409" t="s">
        <v>1538</v>
      </c>
      <c r="E48" s="3406"/>
      <c r="F48" s="3410">
        <f>F30</f>
        <v>5.5000000000000007E-2</v>
      </c>
      <c r="G48" s="3407" t="s">
        <v>1551</v>
      </c>
    </row>
    <row r="49" spans="1:7" ht="16.5" customHeight="1">
      <c r="A49" s="3384" t="s">
        <v>1517</v>
      </c>
      <c r="B49" s="3385" t="s">
        <v>1591</v>
      </c>
      <c r="C49" s="3406">
        <f ca="1">ROUND((C33+C39+C41+C45)/(1-C40-D41-D45-C48),0)</f>
        <v>136984</v>
      </c>
      <c r="D49" s="3406"/>
      <c r="E49" s="3406"/>
      <c r="F49" s="3419"/>
      <c r="G49" s="3407" t="s">
        <v>1553</v>
      </c>
    </row>
    <row r="50" spans="1:7" s="3427" customFormat="1">
      <c r="A50" s="3384" t="s">
        <v>1554</v>
      </c>
      <c r="B50" s="3385" t="s">
        <v>1555</v>
      </c>
      <c r="C50" s="3406"/>
      <c r="D50" s="3406"/>
      <c r="E50" s="3406"/>
      <c r="F50" s="3419">
        <f>IF('数据-取费表'!B24=0,'数据-取费表'!N16,1)</f>
        <v>0.8</v>
      </c>
      <c r="G50" s="3420"/>
    </row>
    <row r="51" spans="1:7" ht="16.5" customHeight="1">
      <c r="A51" s="3384" t="s">
        <v>1557</v>
      </c>
      <c r="B51" s="3385" t="s">
        <v>1592</v>
      </c>
      <c r="C51" s="3406">
        <f ca="1">ROUND(C49*F50,0)</f>
        <v>109587</v>
      </c>
      <c r="D51" s="3406"/>
      <c r="E51" s="3406"/>
      <c r="F51" s="3419"/>
      <c r="G51" s="3407" t="s">
        <v>1559</v>
      </c>
    </row>
    <row r="52" spans="1:7" s="3383" customFormat="1" ht="16.5" thickBot="1">
      <c r="A52" s="3431" t="s">
        <v>1560</v>
      </c>
      <c r="B52" s="3432"/>
      <c r="C52" s="3433">
        <f ca="1">C31+C51</f>
        <v>853939</v>
      </c>
      <c r="D52" s="3432"/>
      <c r="E52" s="3432"/>
      <c r="F52" s="3432"/>
      <c r="G52" s="3434"/>
    </row>
    <row r="55" spans="1:7" ht="15">
      <c r="B55" s="3436" t="s">
        <v>1561</v>
      </c>
      <c r="C55" s="3350"/>
    </row>
    <row r="56" spans="1:7">
      <c r="B56" s="3438" t="s">
        <v>802</v>
      </c>
      <c r="C56" s="3439">
        <f ca="1">1-C57</f>
        <v>0.872</v>
      </c>
    </row>
    <row r="57" spans="1:7">
      <c r="B57" s="3438" t="s">
        <v>803</v>
      </c>
      <c r="C57" s="3440">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4" customWidth="1"/>
    <col min="2" max="4" width="9" style="3464" customWidth="1"/>
    <col min="5" max="11" width="9" style="3464"/>
    <col min="12" max="13" width="6.5" style="3464" customWidth="1"/>
    <col min="14" max="15" width="9" style="3464"/>
    <col min="16" max="16" width="9" style="3464" customWidth="1"/>
    <col min="17" max="19" width="9" style="3464"/>
    <col min="20" max="58" width="9" style="3464" customWidth="1"/>
    <col min="59" max="59" width="15" style="3464" customWidth="1"/>
    <col min="60" max="61" width="9" style="3464"/>
    <col min="62" max="62" width="13.5" style="3464" customWidth="1"/>
    <col min="63" max="16384" width="9" style="3464"/>
  </cols>
  <sheetData>
    <row r="1" spans="1:73" s="3448" customFormat="1" ht="12">
      <c r="A1" s="3441"/>
      <c r="B1" s="3442"/>
      <c r="C1" s="3442"/>
      <c r="D1" s="3442"/>
      <c r="E1" s="3442"/>
      <c r="F1" s="3442"/>
      <c r="G1" s="3442"/>
      <c r="H1" s="3442"/>
      <c r="I1" s="3442"/>
      <c r="J1" s="3442"/>
      <c r="K1" s="3443"/>
      <c r="L1" s="3441"/>
      <c r="M1" s="3444"/>
      <c r="N1" s="3441"/>
      <c r="O1" s="3444"/>
      <c r="P1" s="3441"/>
      <c r="Q1" s="3444"/>
      <c r="R1" s="3444"/>
      <c r="S1" s="3441"/>
      <c r="T1" s="3441"/>
      <c r="U1" s="3441"/>
      <c r="V1" s="3443" t="s">
        <v>3448</v>
      </c>
      <c r="W1" s="3443"/>
      <c r="X1" s="3444"/>
      <c r="Y1" s="3441"/>
      <c r="Z1" s="3444" t="s">
        <v>3449</v>
      </c>
      <c r="AA1" s="3441"/>
      <c r="AB1" s="3441"/>
      <c r="AC1" s="3441"/>
      <c r="AD1" s="3441"/>
      <c r="AE1" s="3441"/>
      <c r="AF1" s="3442"/>
      <c r="AG1" s="3442"/>
      <c r="AH1" s="3443"/>
      <c r="AI1" s="3442"/>
      <c r="AJ1" s="3443"/>
      <c r="AK1" s="3442"/>
      <c r="AL1" s="4235" t="s">
        <v>3587</v>
      </c>
      <c r="AM1" s="4235"/>
      <c r="AN1" s="3445" t="s">
        <v>3588</v>
      </c>
      <c r="AO1" s="3445" t="s">
        <v>3589</v>
      </c>
      <c r="AP1" s="3445"/>
      <c r="AQ1" s="3445"/>
      <c r="AR1" s="3446"/>
      <c r="AS1" s="3446" t="s">
        <v>3590</v>
      </c>
      <c r="AT1" s="3446"/>
      <c r="AU1" s="3446"/>
      <c r="AV1" s="3445"/>
      <c r="AW1" s="3443"/>
      <c r="AX1" s="3443"/>
      <c r="AY1" s="3443"/>
      <c r="AZ1" s="3443"/>
      <c r="BA1" s="3443"/>
      <c r="BB1" s="3443"/>
      <c r="BC1" s="3443"/>
      <c r="BD1" s="3443"/>
      <c r="BE1" s="3443"/>
      <c r="BF1" s="3443"/>
      <c r="BG1" s="3443"/>
      <c r="BH1" s="3443"/>
      <c r="BI1" s="3443"/>
      <c r="BJ1" s="3445" t="s">
        <v>3591</v>
      </c>
      <c r="BK1" s="3447" t="s">
        <v>3592</v>
      </c>
      <c r="BL1" s="3443"/>
      <c r="BM1" s="3445"/>
      <c r="BN1" s="3445"/>
      <c r="BO1" s="3445"/>
      <c r="BP1" s="3445"/>
      <c r="BQ1" s="3446"/>
      <c r="BR1" s="3446"/>
    </row>
    <row r="2" spans="1:73" s="3449" customFormat="1" ht="15.75">
      <c r="A2" s="3445" t="s">
        <v>3593</v>
      </c>
      <c r="B2" s="3445" t="s">
        <v>3450</v>
      </c>
      <c r="C2" s="3445" t="s">
        <v>3451</v>
      </c>
      <c r="D2" s="3445" t="s">
        <v>3452</v>
      </c>
      <c r="E2" s="3445" t="s">
        <v>3453</v>
      </c>
      <c r="F2" s="3445" t="s">
        <v>3594</v>
      </c>
      <c r="G2" s="3445" t="s">
        <v>3595</v>
      </c>
      <c r="H2" s="3445" t="s">
        <v>3596</v>
      </c>
      <c r="I2" s="3445" t="s">
        <v>3597</v>
      </c>
      <c r="J2" s="3445" t="s">
        <v>3598</v>
      </c>
      <c r="K2" s="3445" t="s">
        <v>3454</v>
      </c>
      <c r="L2" s="3445" t="s">
        <v>3455</v>
      </c>
      <c r="M2" s="3445" t="s">
        <v>3599</v>
      </c>
      <c r="N2" s="3445" t="s">
        <v>3600</v>
      </c>
      <c r="O2" s="3445" t="s">
        <v>3601</v>
      </c>
      <c r="P2" s="3445" t="s">
        <v>3602</v>
      </c>
      <c r="Q2" s="3445" t="s">
        <v>3603</v>
      </c>
      <c r="R2" s="3445" t="s">
        <v>3604</v>
      </c>
      <c r="S2" s="3445" t="s">
        <v>3456</v>
      </c>
      <c r="T2" s="3445" t="s">
        <v>3457</v>
      </c>
      <c r="U2" s="3445" t="s">
        <v>3605</v>
      </c>
      <c r="V2" s="3445" t="s">
        <v>3458</v>
      </c>
      <c r="W2" s="3445" t="s">
        <v>3459</v>
      </c>
      <c r="X2" s="3445" t="s">
        <v>3460</v>
      </c>
      <c r="Y2" s="3445" t="s">
        <v>3606</v>
      </c>
      <c r="Z2" s="3445" t="s">
        <v>3461</v>
      </c>
      <c r="AA2" s="3445" t="s">
        <v>3462</v>
      </c>
      <c r="AB2" s="3445" t="s">
        <v>3463</v>
      </c>
      <c r="AC2" s="3445" t="s">
        <v>3464</v>
      </c>
      <c r="AD2" s="3445" t="s">
        <v>3465</v>
      </c>
      <c r="AE2" s="3445" t="s">
        <v>3466</v>
      </c>
      <c r="AF2" s="3445" t="s">
        <v>3467</v>
      </c>
      <c r="AG2" s="3445" t="s">
        <v>3468</v>
      </c>
      <c r="AH2" s="3445" t="s">
        <v>3469</v>
      </c>
      <c r="AI2" s="3445" t="s">
        <v>3470</v>
      </c>
      <c r="AJ2" s="3445" t="s">
        <v>3471</v>
      </c>
      <c r="AK2" s="3445" t="s">
        <v>3472</v>
      </c>
      <c r="AL2" s="3445" t="s">
        <v>3473</v>
      </c>
      <c r="AM2" s="3445" t="s">
        <v>3474</v>
      </c>
      <c r="AN2" s="3445" t="s">
        <v>3475</v>
      </c>
      <c r="AO2" s="3445" t="s">
        <v>3476</v>
      </c>
      <c r="AP2" s="3445" t="s">
        <v>3477</v>
      </c>
      <c r="AQ2" s="3445" t="s">
        <v>3478</v>
      </c>
      <c r="AR2" s="3446" t="s">
        <v>3479</v>
      </c>
      <c r="AS2" s="3446" t="s">
        <v>3461</v>
      </c>
      <c r="AT2" s="3446" t="s">
        <v>3462</v>
      </c>
      <c r="AU2" s="3446" t="s">
        <v>3480</v>
      </c>
      <c r="AV2" s="3447" t="s">
        <v>3481</v>
      </c>
      <c r="AW2" s="3445" t="s">
        <v>3482</v>
      </c>
      <c r="AX2" s="3445" t="s">
        <v>3483</v>
      </c>
      <c r="AY2" s="3445" t="s">
        <v>3484</v>
      </c>
      <c r="AZ2" s="3445" t="s">
        <v>3485</v>
      </c>
      <c r="BA2" s="3445" t="s">
        <v>3486</v>
      </c>
      <c r="BB2" s="3445" t="s">
        <v>3487</v>
      </c>
      <c r="BC2" s="3445" t="s">
        <v>3488</v>
      </c>
      <c r="BD2" s="3445" t="s">
        <v>3489</v>
      </c>
      <c r="BE2" s="3445" t="s">
        <v>3490</v>
      </c>
      <c r="BF2" s="3445" t="s">
        <v>3491</v>
      </c>
      <c r="BG2" s="3445" t="s">
        <v>3492</v>
      </c>
      <c r="BH2" s="3445" t="s">
        <v>3493</v>
      </c>
      <c r="BI2" s="3445" t="s">
        <v>3494</v>
      </c>
      <c r="BJ2" s="3445" t="s">
        <v>3495</v>
      </c>
      <c r="BK2" s="3447" t="s">
        <v>3496</v>
      </c>
      <c r="BL2" s="3446" t="s">
        <v>3497</v>
      </c>
      <c r="BM2" s="3445" t="s">
        <v>3498</v>
      </c>
      <c r="BN2" s="3445" t="s">
        <v>3499</v>
      </c>
      <c r="BO2" s="3445" t="s">
        <v>3500</v>
      </c>
      <c r="BP2" s="3445"/>
      <c r="BQ2" s="3446" t="s">
        <v>3501</v>
      </c>
      <c r="BR2" s="3446" t="s">
        <v>3502</v>
      </c>
    </row>
    <row r="3" spans="1:73" s="3448" customFormat="1" ht="12">
      <c r="A3" s="3450" t="s">
        <v>3503</v>
      </c>
      <c r="B3" s="3450" t="s">
        <v>3504</v>
      </c>
      <c r="C3" s="3450" t="s">
        <v>3505</v>
      </c>
      <c r="D3" s="3450" t="s">
        <v>3506</v>
      </c>
      <c r="E3" s="3450" t="s">
        <v>3507</v>
      </c>
      <c r="F3" s="3450" t="s">
        <v>3508</v>
      </c>
      <c r="G3" s="3450"/>
      <c r="H3" s="3450" t="s">
        <v>3509</v>
      </c>
      <c r="I3" s="3450" t="s">
        <v>3510</v>
      </c>
      <c r="J3" s="3450" t="s">
        <v>3511</v>
      </c>
      <c r="K3" s="3450" t="s">
        <v>3512</v>
      </c>
      <c r="L3" s="3450">
        <v>64.72</v>
      </c>
      <c r="M3" s="3450">
        <v>5</v>
      </c>
      <c r="N3" s="3450" t="s">
        <v>3513</v>
      </c>
      <c r="O3" s="3450"/>
      <c r="P3" s="3450" t="s">
        <v>3514</v>
      </c>
      <c r="Q3" s="3451">
        <v>520000</v>
      </c>
      <c r="R3" s="3450">
        <v>8035</v>
      </c>
      <c r="S3" s="3452">
        <v>43.13</v>
      </c>
      <c r="T3" s="3450">
        <v>431300</v>
      </c>
      <c r="U3" s="3450">
        <v>6665</v>
      </c>
      <c r="V3" s="3450">
        <v>0.05</v>
      </c>
      <c r="W3" s="3453">
        <v>40.97</v>
      </c>
      <c r="X3" s="3450">
        <v>409700</v>
      </c>
      <c r="Y3" s="3450">
        <v>2006</v>
      </c>
      <c r="Z3" s="3450">
        <v>1</v>
      </c>
      <c r="AA3" s="3454">
        <v>11</v>
      </c>
      <c r="AB3" s="3450">
        <v>1290</v>
      </c>
      <c r="AC3" s="3450" t="s">
        <v>3515</v>
      </c>
      <c r="AD3" s="3455"/>
      <c r="AE3" s="3450" t="s">
        <v>3516</v>
      </c>
      <c r="AF3" s="3450" t="s">
        <v>3517</v>
      </c>
      <c r="AG3" s="3450" t="s">
        <v>3518</v>
      </c>
      <c r="AH3" s="3455"/>
      <c r="AI3" s="3450" t="s">
        <v>3519</v>
      </c>
      <c r="AJ3" s="3455"/>
      <c r="AK3" s="3456" t="s">
        <v>3520</v>
      </c>
      <c r="AL3" s="3450">
        <v>67641700</v>
      </c>
      <c r="AM3" s="3454"/>
      <c r="AN3" s="3454" t="s">
        <v>3521</v>
      </c>
      <c r="AO3" s="3454"/>
      <c r="AP3" s="3454" t="s">
        <v>3522</v>
      </c>
      <c r="AQ3" s="3450" t="s">
        <v>3523</v>
      </c>
      <c r="AR3" s="3454">
        <v>2006</v>
      </c>
      <c r="AS3" s="3454">
        <v>1</v>
      </c>
      <c r="AT3" s="3454">
        <v>11</v>
      </c>
      <c r="AU3" s="3454"/>
      <c r="AV3" s="3454"/>
      <c r="AW3" s="3450" t="s">
        <v>3524</v>
      </c>
      <c r="AX3" s="3454"/>
      <c r="AY3" s="3454"/>
      <c r="AZ3" s="3454" t="s">
        <v>3512</v>
      </c>
      <c r="BA3" s="3454"/>
      <c r="BB3" s="3454"/>
      <c r="BC3" s="3454"/>
      <c r="BD3" s="3454"/>
      <c r="BE3" s="3454"/>
      <c r="BF3" s="3454"/>
      <c r="BG3" s="3450">
        <v>38700</v>
      </c>
      <c r="BH3" s="3454"/>
      <c r="BI3" s="3454" t="s">
        <v>3525</v>
      </c>
      <c r="BJ3" s="3456">
        <v>38700</v>
      </c>
      <c r="BK3" s="3454"/>
      <c r="BL3" s="3450" t="s">
        <v>3526</v>
      </c>
      <c r="BM3" s="3450" t="s">
        <v>3527</v>
      </c>
      <c r="BN3" s="3454" t="s">
        <v>3528</v>
      </c>
      <c r="BO3" s="3450" t="s">
        <v>3529</v>
      </c>
      <c r="BP3" s="3454"/>
      <c r="BQ3" s="3454" t="e">
        <v>#DIV/0!</v>
      </c>
      <c r="BR3" s="3454" t="e">
        <v>#DIV/0!</v>
      </c>
      <c r="BS3" s="3457"/>
      <c r="BT3" s="3457"/>
      <c r="BU3" s="3457"/>
    </row>
    <row r="4" spans="1:73" s="3461" customFormat="1" ht="12" hidden="1">
      <c r="A4" s="3455" t="s">
        <v>3530</v>
      </c>
      <c r="B4" s="3450" t="s">
        <v>3531</v>
      </c>
      <c r="C4" s="3450" t="s">
        <v>3532</v>
      </c>
      <c r="D4" s="3450" t="s">
        <v>3533</v>
      </c>
      <c r="E4" s="3450" t="s">
        <v>3507</v>
      </c>
      <c r="F4" s="3450" t="s">
        <v>3508</v>
      </c>
      <c r="G4" s="3450"/>
      <c r="H4" s="3450" t="s">
        <v>3534</v>
      </c>
      <c r="I4" s="3450"/>
      <c r="J4" s="3450" t="s">
        <v>3535</v>
      </c>
      <c r="K4" s="3450" t="s">
        <v>3536</v>
      </c>
      <c r="L4" s="3452">
        <v>66.900000000000006</v>
      </c>
      <c r="M4" s="3450">
        <v>4</v>
      </c>
      <c r="N4" s="3458" t="s">
        <v>3513</v>
      </c>
      <c r="O4" s="3450"/>
      <c r="P4" s="3450" t="s">
        <v>3514</v>
      </c>
      <c r="Q4" s="3452">
        <v>600000</v>
      </c>
      <c r="R4" s="3450">
        <v>8969</v>
      </c>
      <c r="S4" s="3452">
        <v>49.5</v>
      </c>
      <c r="T4" s="3450">
        <v>495000</v>
      </c>
      <c r="U4" s="3450">
        <v>7400</v>
      </c>
      <c r="V4" s="3450">
        <v>0.2</v>
      </c>
      <c r="W4" s="3453">
        <v>39.6</v>
      </c>
      <c r="X4" s="3453">
        <v>396000</v>
      </c>
      <c r="Y4" s="3454">
        <v>2006</v>
      </c>
      <c r="Z4" s="3454">
        <v>5</v>
      </c>
      <c r="AA4" s="3450">
        <v>8</v>
      </c>
      <c r="AB4" s="3450">
        <v>1485</v>
      </c>
      <c r="AC4" s="3450" t="s">
        <v>3537</v>
      </c>
      <c r="AD4" s="3450"/>
      <c r="AE4" s="3450" t="s">
        <v>3538</v>
      </c>
      <c r="AF4" s="3456" t="s">
        <v>3517</v>
      </c>
      <c r="AG4" s="3450" t="s">
        <v>3518</v>
      </c>
      <c r="AH4" s="3450"/>
      <c r="AI4" s="3451" t="s">
        <v>3539</v>
      </c>
      <c r="AJ4" s="3452"/>
      <c r="AK4" s="3459" t="s">
        <v>3540</v>
      </c>
      <c r="AL4" s="3454">
        <v>67641700</v>
      </c>
      <c r="AM4" s="3454"/>
      <c r="AN4" s="3451" t="s">
        <v>3521</v>
      </c>
      <c r="AO4" s="3454"/>
      <c r="AP4" s="3450" t="s">
        <v>3541</v>
      </c>
      <c r="AQ4" s="3450" t="s">
        <v>3523</v>
      </c>
      <c r="AR4" s="3454">
        <v>2006</v>
      </c>
      <c r="AS4" s="3454">
        <v>5</v>
      </c>
      <c r="AT4" s="3454">
        <v>19</v>
      </c>
      <c r="AU4" s="3450"/>
      <c r="AV4" s="3454"/>
      <c r="AW4" s="3454" t="s">
        <v>3542</v>
      </c>
      <c r="AX4" s="3454" t="s">
        <v>3543</v>
      </c>
      <c r="AY4" s="3454"/>
      <c r="AZ4" s="3450" t="s">
        <v>3536</v>
      </c>
      <c r="BA4" s="3454"/>
      <c r="BB4" s="3454"/>
      <c r="BC4" s="3454"/>
      <c r="BD4" s="3454"/>
      <c r="BE4" s="3454"/>
      <c r="BF4" s="3454"/>
      <c r="BG4" s="3460">
        <v>38831</v>
      </c>
      <c r="BH4" s="3454"/>
      <c r="BI4" s="3450" t="s">
        <v>3544</v>
      </c>
      <c r="BJ4" s="3450">
        <v>38832</v>
      </c>
      <c r="BK4" s="3454"/>
      <c r="BL4" s="3454" t="s">
        <v>3526</v>
      </c>
      <c r="BM4" s="3454" t="s">
        <v>3527</v>
      </c>
      <c r="BN4" s="3450" t="s">
        <v>3528</v>
      </c>
      <c r="BO4" s="3454" t="s">
        <v>3529</v>
      </c>
      <c r="BP4" s="3454"/>
      <c r="BQ4" s="3454" t="e">
        <v>#DIV/0!</v>
      </c>
      <c r="BR4" s="3454" t="e">
        <v>#DIV/0!</v>
      </c>
      <c r="BS4" s="3457"/>
      <c r="BT4" s="3457"/>
      <c r="BU4" s="3457"/>
    </row>
    <row r="5" spans="1:73" s="3448" customFormat="1" ht="12">
      <c r="A5" s="3450" t="s">
        <v>3545</v>
      </c>
      <c r="B5" s="3450" t="s">
        <v>3546</v>
      </c>
      <c r="C5" s="3450" t="s">
        <v>3547</v>
      </c>
      <c r="D5" s="3450" t="s">
        <v>3548</v>
      </c>
      <c r="E5" s="3458" t="s">
        <v>3507</v>
      </c>
      <c r="F5" s="3458" t="s">
        <v>3508</v>
      </c>
      <c r="G5" s="3450"/>
      <c r="H5" s="3455" t="s">
        <v>3549</v>
      </c>
      <c r="I5" s="3456" t="s">
        <v>3550</v>
      </c>
      <c r="J5" s="3450" t="s">
        <v>3551</v>
      </c>
      <c r="K5" s="3450" t="s">
        <v>3552</v>
      </c>
      <c r="L5" s="3450">
        <v>69.319999999999993</v>
      </c>
      <c r="M5" s="3450">
        <v>0</v>
      </c>
      <c r="N5" s="3450" t="s">
        <v>3553</v>
      </c>
      <c r="O5" s="3450"/>
      <c r="P5" s="3450" t="s">
        <v>3514</v>
      </c>
      <c r="Q5" s="3451">
        <v>550000</v>
      </c>
      <c r="R5" s="3450">
        <v>7934</v>
      </c>
      <c r="S5" s="3452">
        <v>43.81</v>
      </c>
      <c r="T5" s="3450">
        <v>438100</v>
      </c>
      <c r="U5" s="3450">
        <v>6320</v>
      </c>
      <c r="V5" s="3450">
        <v>0.2</v>
      </c>
      <c r="W5" s="3453">
        <v>35.04</v>
      </c>
      <c r="X5" s="3452">
        <v>350400</v>
      </c>
      <c r="Y5" s="3454">
        <v>2006</v>
      </c>
      <c r="Z5" s="3454">
        <v>12</v>
      </c>
      <c r="AA5" s="3454">
        <v>14</v>
      </c>
      <c r="AB5" s="3450">
        <v>1310</v>
      </c>
      <c r="AC5" s="3450" t="s">
        <v>3554</v>
      </c>
      <c r="AD5" s="3455" t="s">
        <v>3555</v>
      </c>
      <c r="AE5" s="3451" t="s">
        <v>3538</v>
      </c>
      <c r="AF5" s="3456" t="s">
        <v>3517</v>
      </c>
      <c r="AG5" s="3459" t="s">
        <v>3518</v>
      </c>
      <c r="AH5" s="3450"/>
      <c r="AI5" s="3451" t="s">
        <v>3556</v>
      </c>
      <c r="AJ5" s="3455"/>
      <c r="AK5" s="3456" t="s">
        <v>3557</v>
      </c>
      <c r="AL5" s="3454">
        <v>39</v>
      </c>
      <c r="AM5" s="3450"/>
      <c r="AN5" s="3451" t="s">
        <v>3558</v>
      </c>
      <c r="AO5" s="3450"/>
      <c r="AP5" s="3451" t="s">
        <v>3559</v>
      </c>
      <c r="AQ5" s="3454" t="s">
        <v>3560</v>
      </c>
      <c r="AR5" s="3454"/>
      <c r="AS5" s="3454"/>
      <c r="AT5" s="3454"/>
      <c r="AU5" s="3454"/>
      <c r="AV5" s="3454"/>
      <c r="AW5" s="3454" t="s">
        <v>3524</v>
      </c>
      <c r="AX5" s="3454"/>
      <c r="AY5" s="3454"/>
      <c r="AZ5" s="3450" t="s">
        <v>3552</v>
      </c>
      <c r="BA5" s="3462"/>
      <c r="BB5" s="3462"/>
      <c r="BC5" s="3462"/>
      <c r="BD5" s="3462"/>
      <c r="BE5" s="3454"/>
      <c r="BF5" s="3454"/>
      <c r="BG5" s="3460">
        <v>39016</v>
      </c>
      <c r="BH5" s="3450" t="s">
        <v>3526</v>
      </c>
      <c r="BI5" s="3463" t="s">
        <v>3559</v>
      </c>
      <c r="BJ5" s="3454">
        <v>39065</v>
      </c>
      <c r="BK5" s="3454"/>
      <c r="BL5" s="3450" t="s">
        <v>3561</v>
      </c>
      <c r="BM5" s="3454" t="s">
        <v>3527</v>
      </c>
      <c r="BN5" s="3454" t="s">
        <v>3562</v>
      </c>
      <c r="BO5" s="3454" t="s">
        <v>3563</v>
      </c>
      <c r="BP5" s="3454"/>
      <c r="BQ5" s="3454" t="e">
        <v>#DIV/0!</v>
      </c>
      <c r="BR5" s="3454" t="e">
        <v>#DIV/0!</v>
      </c>
      <c r="BS5" s="3457"/>
      <c r="BT5" s="3457"/>
      <c r="BU5" s="3457"/>
    </row>
    <row r="6" spans="1:73" s="3461" customFormat="1" ht="12">
      <c r="A6" s="3456" t="s">
        <v>3564</v>
      </c>
      <c r="B6" s="3450" t="s">
        <v>3565</v>
      </c>
      <c r="C6" s="3450" t="s">
        <v>3566</v>
      </c>
      <c r="D6" s="3450" t="s">
        <v>3567</v>
      </c>
      <c r="E6" s="3450" t="s">
        <v>3507</v>
      </c>
      <c r="F6" s="3450" t="s">
        <v>3568</v>
      </c>
      <c r="G6" s="3450"/>
      <c r="H6" s="3450" t="s">
        <v>3569</v>
      </c>
      <c r="I6" s="3452"/>
      <c r="J6" s="3450" t="s">
        <v>3570</v>
      </c>
      <c r="K6" s="3450" t="s">
        <v>3571</v>
      </c>
      <c r="L6" s="3450">
        <v>102.48</v>
      </c>
      <c r="M6" s="3450">
        <v>3</v>
      </c>
      <c r="N6" s="3456" t="s">
        <v>3572</v>
      </c>
      <c r="O6" s="3450"/>
      <c r="P6" s="3450" t="s">
        <v>3573</v>
      </c>
      <c r="Q6" s="3451">
        <v>783000</v>
      </c>
      <c r="R6" s="3450">
        <f t="shared" ref="R6" si="0">ROUND(Q6/L6,0)</f>
        <v>7641</v>
      </c>
      <c r="S6" s="3452">
        <f>ROUNDDOWN(U6*L6/10000,2)</f>
        <v>78.52</v>
      </c>
      <c r="T6" s="3450">
        <f t="shared" ref="T6" si="1">S6*10000</f>
        <v>785200</v>
      </c>
      <c r="U6" s="3450">
        <v>7662</v>
      </c>
      <c r="V6" s="3452">
        <v>0.3</v>
      </c>
      <c r="W6" s="3453">
        <f t="shared" ref="W6" si="2">ROUNDDOWN(S6*(1-V6),2)</f>
        <v>54.96</v>
      </c>
      <c r="X6" s="3453">
        <f t="shared" ref="X6" si="3">W6*10000</f>
        <v>549600</v>
      </c>
      <c r="Y6" s="3454">
        <v>2006</v>
      </c>
      <c r="Z6" s="3454">
        <v>11</v>
      </c>
      <c r="AA6" s="3454">
        <v>20</v>
      </c>
      <c r="AB6" s="3450">
        <f>IF(0&lt;S6&lt;10,300,IF(S6&lt;50,AVERAGE(ROUNDDOWN($S6*30,-1),ROUND($S6*30,-1)),1500))</f>
        <v>1500</v>
      </c>
      <c r="AC6" s="3450" t="s">
        <v>3574</v>
      </c>
      <c r="AD6" s="3455"/>
      <c r="AE6" s="3454" t="s">
        <v>3516</v>
      </c>
      <c r="AF6" s="3456" t="s">
        <v>3575</v>
      </c>
      <c r="AG6" s="3459" t="s">
        <v>3518</v>
      </c>
      <c r="AH6" s="3455" t="s">
        <v>3576</v>
      </c>
      <c r="AI6" s="3456" t="s">
        <v>3577</v>
      </c>
      <c r="AJ6" s="3455"/>
      <c r="AK6" s="3450" t="s">
        <v>3578</v>
      </c>
      <c r="AL6" s="3454">
        <v>25</v>
      </c>
      <c r="AM6" s="3454"/>
      <c r="AN6" s="3451" t="s">
        <v>3579</v>
      </c>
      <c r="AO6" s="3454"/>
      <c r="AP6" s="3454" t="s">
        <v>3580</v>
      </c>
      <c r="AQ6" s="3450" t="s">
        <v>3581</v>
      </c>
      <c r="AR6" s="3454"/>
      <c r="AS6" s="3454"/>
      <c r="AT6" s="3454"/>
      <c r="AU6" s="3454" t="s">
        <v>3576</v>
      </c>
      <c r="AV6" s="3454"/>
      <c r="AW6" s="3454" t="s">
        <v>3582</v>
      </c>
      <c r="AX6" s="3454"/>
      <c r="AY6" s="3454"/>
      <c r="AZ6" s="3450" t="s">
        <v>3583</v>
      </c>
      <c r="BA6" s="3454"/>
      <c r="BB6" s="3454"/>
      <c r="BC6" s="3454"/>
      <c r="BD6" s="3454"/>
      <c r="BE6" s="3454">
        <v>13801376551</v>
      </c>
      <c r="BF6" s="3454"/>
      <c r="BG6" s="3460">
        <v>39037</v>
      </c>
      <c r="BH6" s="3454" t="s">
        <v>3584</v>
      </c>
      <c r="BI6" s="3454" t="s">
        <v>3585</v>
      </c>
      <c r="BJ6" s="3450"/>
      <c r="BK6" s="3454"/>
      <c r="BL6" s="3450" t="s">
        <v>3526</v>
      </c>
      <c r="BM6" s="3450" t="s">
        <v>3586</v>
      </c>
      <c r="BN6" s="3450" t="s">
        <v>3562</v>
      </c>
      <c r="BO6" s="3450" t="s">
        <v>3529</v>
      </c>
      <c r="BP6" s="3454"/>
      <c r="BQ6" s="3454" t="e">
        <f>ROUND(U6*L6/O6,0)</f>
        <v>#DIV/0!</v>
      </c>
      <c r="BR6" s="3454" t="e">
        <f>ROUND(Q6/O6,0)</f>
        <v>#DIV/0!</v>
      </c>
      <c r="BS6" s="3457"/>
      <c r="BT6" s="3457"/>
      <c r="BU6" s="3457"/>
    </row>
    <row r="16" spans="1:73">
      <c r="C16" s="3465"/>
      <c r="D16" s="3466" t="s">
        <v>3628</v>
      </c>
      <c r="E16" s="3466" t="s">
        <v>3634</v>
      </c>
      <c r="F16" s="3466" t="s">
        <v>3635</v>
      </c>
      <c r="G16" s="3466" t="s">
        <v>3629</v>
      </c>
      <c r="H16" s="3466" t="s">
        <v>3630</v>
      </c>
      <c r="I16" s="3467"/>
    </row>
    <row r="17" spans="3:8">
      <c r="C17" s="3466" t="s">
        <v>3627</v>
      </c>
      <c r="D17" s="3465">
        <f>'比较法-住宅'!C48</f>
        <v>7952</v>
      </c>
      <c r="E17" s="3468">
        <v>0.8</v>
      </c>
      <c r="F17" s="4236">
        <f ca="1">ROUND(D17*E17+D18*E18,0)</f>
        <v>8499</v>
      </c>
      <c r="G17" s="4236">
        <f>'比较法-住宅'!D3</f>
        <v>79.92</v>
      </c>
      <c r="H17" s="4236">
        <f ca="1">ROUND(F17*G17/10000,2)</f>
        <v>67.92</v>
      </c>
    </row>
    <row r="18" spans="3:8">
      <c r="C18" s="3466" t="s">
        <v>3631</v>
      </c>
      <c r="D18" s="3465">
        <f ca="1">'成本法 (元)'!B3</f>
        <v>10685</v>
      </c>
      <c r="E18" s="3469">
        <v>0.2</v>
      </c>
      <c r="F18" s="4237"/>
      <c r="G18" s="4237"/>
      <c r="H18" s="4237"/>
    </row>
    <row r="19" spans="3:8">
      <c r="C19" s="3467" t="s">
        <v>3632</v>
      </c>
      <c r="D19" s="3470">
        <f ca="1">D18/D17-1</f>
        <v>0.34368712273641844</v>
      </c>
      <c r="E19" s="3470"/>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7" t="str">
        <f>项目基本情况!B1</f>
        <v>北京市朝阳区农丰里4号楼6门309号房地产市场价值预评估</v>
      </c>
      <c r="C37" s="4097"/>
      <c r="D37" s="4097"/>
      <c r="E37" s="4097"/>
      <c r="F37" s="4097"/>
      <c r="G37" s="4097"/>
      <c r="H37" s="4097"/>
      <c r="I37" s="4097"/>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2" sqref="B12"/>
    </sheetView>
  </sheetViews>
  <sheetFormatPr defaultColWidth="9" defaultRowHeight="13.5"/>
  <cols>
    <col min="1" max="1" width="25" style="3024" customWidth="1"/>
    <col min="2" max="9" width="15.75" style="3024" customWidth="1"/>
    <col min="10" max="16384" width="9" style="3024"/>
  </cols>
  <sheetData>
    <row r="1" spans="1:11" ht="16.5">
      <c r="A1" s="3020" t="s">
        <v>665</v>
      </c>
      <c r="B1" s="3020">
        <f>SUM(B14:B23)</f>
        <v>79.92</v>
      </c>
      <c r="C1" s="3021"/>
      <c r="D1" s="3021"/>
      <c r="E1" s="3021"/>
      <c r="F1" s="3021"/>
      <c r="G1" s="3022"/>
      <c r="H1" s="3023"/>
      <c r="I1" s="3023"/>
      <c r="J1" s="3023"/>
      <c r="K1" s="3023"/>
    </row>
    <row r="2" spans="1:11" ht="16.5">
      <c r="A2" s="3020" t="s">
        <v>653</v>
      </c>
      <c r="B2" s="3020">
        <f>SUM(C14:C23)</f>
        <v>0</v>
      </c>
      <c r="C2" s="3021"/>
      <c r="D2" s="3021"/>
      <c r="E2" s="3021"/>
      <c r="F2" s="3021"/>
      <c r="G2" s="3022"/>
      <c r="H2" s="3023"/>
      <c r="I2" s="3023"/>
      <c r="J2" s="3023"/>
      <c r="K2" s="3023"/>
    </row>
    <row r="3" spans="1:11" ht="16.5">
      <c r="A3" s="3020" t="s">
        <v>662</v>
      </c>
      <c r="B3" s="4096">
        <f>项目基本情况!D3</f>
        <v>39034</v>
      </c>
      <c r="C3" s="3021"/>
      <c r="D3" s="3021"/>
      <c r="E3" s="3021"/>
      <c r="F3" s="3021"/>
      <c r="G3" s="3022"/>
      <c r="H3" s="3023"/>
      <c r="I3" s="3023"/>
      <c r="J3" s="3023"/>
      <c r="K3" s="3023"/>
    </row>
    <row r="4" spans="1:11" ht="33">
      <c r="A4" s="3020" t="s">
        <v>661</v>
      </c>
      <c r="B4" s="3020" t="s">
        <v>660</v>
      </c>
      <c r="C4" s="3020" t="s">
        <v>659</v>
      </c>
      <c r="D4" s="3020" t="s">
        <v>658</v>
      </c>
      <c r="E4" s="3021"/>
      <c r="F4" s="3022"/>
      <c r="G4" s="3022"/>
      <c r="H4" s="3023"/>
      <c r="I4" s="3023"/>
      <c r="J4" s="3023"/>
      <c r="K4" s="3023"/>
    </row>
    <row r="5" spans="1:11" ht="16.5">
      <c r="A5" s="3020" t="s">
        <v>657</v>
      </c>
      <c r="B5" s="3020">
        <f ca="1">SUM(D14:D23)</f>
        <v>67.92</v>
      </c>
      <c r="C5" s="3020">
        <f ca="1">IF(B5=D14,结果表!H102,ROUND(B5*10000/$B$1,0))</f>
        <v>0</v>
      </c>
      <c r="D5" s="3020" t="e">
        <f ca="1">ROUND(B5*10000/$B$2,0)</f>
        <v>#DIV/0!</v>
      </c>
      <c r="E5" s="3021"/>
      <c r="F5" s="3022"/>
      <c r="G5" s="3022"/>
      <c r="H5" s="3023"/>
      <c r="I5" s="3023"/>
      <c r="J5" s="3023"/>
      <c r="K5" s="3023"/>
    </row>
    <row r="6" spans="1:11" ht="16.5">
      <c r="A6" s="3020" t="s">
        <v>656</v>
      </c>
      <c r="B6" s="3020">
        <f>SUM(G14:G23)</f>
        <v>0</v>
      </c>
      <c r="C6" s="3020">
        <f ca="1">IF(B6=G14,结果表!H108,ROUND(B6*10000/$B$1,0))</f>
        <v>0</v>
      </c>
      <c r="D6" s="3020" t="e">
        <f>ROUND(B6*10000/$B$2,0)</f>
        <v>#DIV/0!</v>
      </c>
      <c r="E6" s="3021"/>
      <c r="F6" s="3022"/>
      <c r="G6" s="3022"/>
      <c r="H6" s="3023"/>
      <c r="I6" s="3023"/>
      <c r="J6" s="3023"/>
      <c r="K6" s="3023"/>
    </row>
    <row r="7" spans="1:11" ht="16.5">
      <c r="A7" s="3020" t="s">
        <v>664</v>
      </c>
      <c r="B7" s="3020">
        <f>SUM(H14:H23)</f>
        <v>0</v>
      </c>
      <c r="C7" s="3020" t="str">
        <f>IF(B7=H14,结果表!H110,ROUND(B7*10000/$B$1,0))</f>
        <v>——</v>
      </c>
      <c r="D7" s="3020" t="e">
        <f>ROUND(B7*10000/$B$2,0)</f>
        <v>#DIV/0!</v>
      </c>
      <c r="E7" s="3021"/>
      <c r="F7" s="3022"/>
      <c r="G7" s="3022"/>
      <c r="H7" s="3023"/>
      <c r="I7" s="3023"/>
      <c r="J7" s="3023"/>
      <c r="K7" s="3023"/>
    </row>
    <row r="8" spans="1:11" ht="16.5">
      <c r="A8" s="3020" t="s">
        <v>587</v>
      </c>
      <c r="B8" s="3020">
        <f>SUM(I14:I23)</f>
        <v>0</v>
      </c>
      <c r="C8" s="3020" t="str">
        <f>IF(B8=I14,结果表!H112,ROUND(B8*10000/$B$1,0))</f>
        <v>——</v>
      </c>
      <c r="D8" s="3020" t="e">
        <f>ROUND(B8*10000/$B$2,0)</f>
        <v>#DIV/0!</v>
      </c>
      <c r="E8" s="3021"/>
      <c r="F8" s="3022"/>
      <c r="G8" s="3022"/>
      <c r="H8" s="3023"/>
      <c r="I8" s="3023"/>
      <c r="J8" s="3023"/>
      <c r="K8" s="3023"/>
    </row>
    <row r="9" spans="1:11" ht="16.5">
      <c r="A9" s="3020" t="s">
        <v>655</v>
      </c>
      <c r="B9" s="3025"/>
      <c r="C9" s="3021"/>
      <c r="D9" s="3021"/>
      <c r="E9" s="3021"/>
      <c r="F9" s="3022"/>
      <c r="G9" s="3022"/>
      <c r="H9" s="3023"/>
      <c r="I9" s="3023"/>
      <c r="J9" s="3023"/>
      <c r="K9" s="3023"/>
    </row>
    <row r="10" spans="1:11" ht="16.5">
      <c r="A10" s="3020" t="s">
        <v>654</v>
      </c>
      <c r="B10" s="3020" t="e">
        <f>IF(E10="",0,ROUND(B1*(E10*365/G10)/10000,0))</f>
        <v>#REF!</v>
      </c>
      <c r="C10" s="3020" t="s">
        <v>3357</v>
      </c>
      <c r="D10" s="3020" t="s">
        <v>3358</v>
      </c>
      <c r="E10" s="3026" t="e">
        <f>#REF!</f>
        <v>#REF!</v>
      </c>
      <c r="F10" s="3027" t="s">
        <v>3359</v>
      </c>
      <c r="G10" s="3028"/>
      <c r="H10" s="3023"/>
      <c r="I10" s="3023"/>
      <c r="J10" s="3023"/>
      <c r="K10" s="3023"/>
    </row>
    <row r="11" spans="1:11" ht="16.5">
      <c r="A11" s="3020" t="s">
        <v>670</v>
      </c>
      <c r="B11" s="3025">
        <f ca="1">D14</f>
        <v>67.92</v>
      </c>
      <c r="C11" s="3021"/>
      <c r="D11" s="3021"/>
      <c r="E11" s="3021"/>
      <c r="F11" s="3022"/>
      <c r="G11" s="3022"/>
      <c r="H11" s="3023"/>
      <c r="I11" s="3023"/>
      <c r="J11" s="3023"/>
      <c r="K11" s="3023"/>
    </row>
    <row r="12" spans="1:11" ht="16.5">
      <c r="A12" s="3021"/>
      <c r="B12" s="3021"/>
      <c r="C12" s="3021"/>
      <c r="D12" s="3021"/>
      <c r="E12" s="3021"/>
      <c r="F12" s="3022"/>
      <c r="G12" s="3022"/>
      <c r="H12" s="3023"/>
      <c r="I12" s="3023"/>
      <c r="J12" s="3023"/>
      <c r="K12" s="3023"/>
    </row>
    <row r="13" spans="1:11" ht="33">
      <c r="A13" s="3029" t="s">
        <v>669</v>
      </c>
      <c r="B13" s="3030" t="s">
        <v>666</v>
      </c>
      <c r="C13" s="3030" t="s">
        <v>668</v>
      </c>
      <c r="D13" s="3030" t="s">
        <v>667</v>
      </c>
      <c r="E13" s="3020" t="s">
        <v>659</v>
      </c>
      <c r="F13" s="3020" t="s">
        <v>658</v>
      </c>
      <c r="G13" s="3030" t="s">
        <v>652</v>
      </c>
      <c r="H13" s="3030" t="s">
        <v>663</v>
      </c>
      <c r="I13" s="3030" t="s">
        <v>651</v>
      </c>
      <c r="J13" s="3022"/>
      <c r="K13" s="3023"/>
    </row>
    <row r="14" spans="1:11" ht="16.5">
      <c r="A14" s="3031" t="s">
        <v>650</v>
      </c>
      <c r="B14" s="3032">
        <f>'数据-汇总表'!F27</f>
        <v>79.92</v>
      </c>
      <c r="C14" s="3032"/>
      <c r="D14" s="3032">
        <f ca="1">案例及结果!H17</f>
        <v>67.92</v>
      </c>
      <c r="E14" s="3032">
        <f ca="1">ROUND(D14*10000/B14,0)</f>
        <v>8498</v>
      </c>
      <c r="F14" s="3032" t="e">
        <f ca="1">ROUND(D14*10000/C14,0)</f>
        <v>#DIV/0!</v>
      </c>
      <c r="G14" s="3032"/>
      <c r="H14" s="3032"/>
      <c r="I14" s="3032"/>
      <c r="J14" s="3022"/>
      <c r="K14" s="3023"/>
    </row>
    <row r="15" spans="1:11" ht="16.5">
      <c r="A15" s="3031" t="s">
        <v>649</v>
      </c>
      <c r="B15" s="3033"/>
      <c r="C15" s="3033"/>
      <c r="D15" s="3033"/>
      <c r="E15" s="3032" t="e">
        <f t="shared" ref="E15:E23" si="0">ROUND(D15*10000/B15,0)</f>
        <v>#DIV/0!</v>
      </c>
      <c r="F15" s="3032" t="e">
        <f t="shared" ref="F15:F23" si="1">ROUND(D15*10000/C15,0)</f>
        <v>#DIV/0!</v>
      </c>
      <c r="G15" s="3034"/>
      <c r="H15" s="3034"/>
      <c r="I15" s="3033"/>
      <c r="J15" s="3022"/>
      <c r="K15" s="3023"/>
    </row>
    <row r="16" spans="1:11" ht="16.5">
      <c r="A16" s="3031" t="s">
        <v>648</v>
      </c>
      <c r="B16" s="3033"/>
      <c r="C16" s="3033"/>
      <c r="D16" s="3033"/>
      <c r="E16" s="3032" t="e">
        <f t="shared" si="0"/>
        <v>#DIV/0!</v>
      </c>
      <c r="F16" s="3032" t="e">
        <f t="shared" si="1"/>
        <v>#DIV/0!</v>
      </c>
      <c r="G16" s="3034"/>
      <c r="H16" s="3034"/>
      <c r="I16" s="3033"/>
      <c r="J16" s="3023"/>
      <c r="K16" s="3023"/>
    </row>
    <row r="17" spans="1:11" ht="16.5">
      <c r="A17" s="3031" t="s">
        <v>647</v>
      </c>
      <c r="B17" s="3033"/>
      <c r="C17" s="3033"/>
      <c r="D17" s="3033"/>
      <c r="E17" s="3032" t="e">
        <f t="shared" si="0"/>
        <v>#DIV/0!</v>
      </c>
      <c r="F17" s="3032" t="e">
        <f t="shared" si="1"/>
        <v>#DIV/0!</v>
      </c>
      <c r="G17" s="3034"/>
      <c r="H17" s="3034"/>
      <c r="I17" s="3033"/>
      <c r="J17" s="3023"/>
      <c r="K17" s="3023"/>
    </row>
    <row r="18" spans="1:11" ht="16.5">
      <c r="A18" s="3031" t="s">
        <v>646</v>
      </c>
      <c r="B18" s="3033"/>
      <c r="C18" s="3033"/>
      <c r="D18" s="3033"/>
      <c r="E18" s="3032" t="e">
        <f t="shared" si="0"/>
        <v>#DIV/0!</v>
      </c>
      <c r="F18" s="3032" t="e">
        <f t="shared" si="1"/>
        <v>#DIV/0!</v>
      </c>
      <c r="G18" s="3033"/>
      <c r="H18" s="3033"/>
      <c r="I18" s="3033"/>
      <c r="J18" s="3023"/>
      <c r="K18" s="3023"/>
    </row>
    <row r="19" spans="1:11" ht="16.5">
      <c r="A19" s="3031" t="s">
        <v>645</v>
      </c>
      <c r="B19" s="3033"/>
      <c r="C19" s="3033"/>
      <c r="D19" s="3033"/>
      <c r="E19" s="3032" t="e">
        <f t="shared" si="0"/>
        <v>#DIV/0!</v>
      </c>
      <c r="F19" s="3032" t="e">
        <f t="shared" si="1"/>
        <v>#DIV/0!</v>
      </c>
      <c r="G19" s="3033"/>
      <c r="H19" s="3033"/>
      <c r="I19" s="3033"/>
      <c r="J19" s="3023"/>
      <c r="K19" s="3023"/>
    </row>
    <row r="20" spans="1:11" ht="16.5">
      <c r="A20" s="3031" t="s">
        <v>644</v>
      </c>
      <c r="B20" s="3033"/>
      <c r="C20" s="3033"/>
      <c r="D20" s="3033"/>
      <c r="E20" s="3032" t="e">
        <f t="shared" si="0"/>
        <v>#DIV/0!</v>
      </c>
      <c r="F20" s="3032" t="e">
        <f t="shared" si="1"/>
        <v>#DIV/0!</v>
      </c>
      <c r="G20" s="3033"/>
      <c r="H20" s="3033"/>
      <c r="I20" s="3033"/>
      <c r="J20" s="3023"/>
      <c r="K20" s="3023"/>
    </row>
    <row r="21" spans="1:11" ht="16.5">
      <c r="A21" s="3031" t="s">
        <v>643</v>
      </c>
      <c r="B21" s="3033"/>
      <c r="C21" s="3033"/>
      <c r="D21" s="3033"/>
      <c r="E21" s="3032" t="e">
        <f t="shared" si="0"/>
        <v>#DIV/0!</v>
      </c>
      <c r="F21" s="3032" t="e">
        <f t="shared" si="1"/>
        <v>#DIV/0!</v>
      </c>
      <c r="G21" s="3033"/>
      <c r="H21" s="3033"/>
      <c r="I21" s="3033"/>
      <c r="J21" s="3023"/>
      <c r="K21" s="3023"/>
    </row>
    <row r="22" spans="1:11" ht="16.5">
      <c r="A22" s="3031" t="s">
        <v>642</v>
      </c>
      <c r="B22" s="3033"/>
      <c r="C22" s="3033"/>
      <c r="D22" s="3033"/>
      <c r="E22" s="3032" t="e">
        <f t="shared" si="0"/>
        <v>#DIV/0!</v>
      </c>
      <c r="F22" s="3032" t="e">
        <f t="shared" si="1"/>
        <v>#DIV/0!</v>
      </c>
      <c r="G22" s="3033"/>
      <c r="H22" s="3033"/>
      <c r="I22" s="3033"/>
      <c r="J22" s="3023"/>
      <c r="K22" s="3023"/>
    </row>
    <row r="23" spans="1:11" ht="16.5">
      <c r="A23" s="3031" t="s">
        <v>641</v>
      </c>
      <c r="B23" s="3033"/>
      <c r="C23" s="3033"/>
      <c r="D23" s="3033"/>
      <c r="E23" s="3025" t="e">
        <f t="shared" si="0"/>
        <v>#DIV/0!</v>
      </c>
      <c r="F23" s="3025" t="e">
        <f t="shared" si="1"/>
        <v>#DIV/0!</v>
      </c>
      <c r="G23" s="3033"/>
      <c r="H23" s="3033"/>
      <c r="I23" s="3033"/>
      <c r="J23" s="3023"/>
      <c r="K23" s="3023"/>
    </row>
    <row r="24" spans="1:11">
      <c r="A24" s="3023"/>
      <c r="B24" s="3023"/>
      <c r="C24" s="3023"/>
      <c r="D24" s="3023"/>
      <c r="E24" s="3023"/>
      <c r="F24" s="3023"/>
      <c r="G24" s="3023"/>
      <c r="H24" s="3023"/>
      <c r="I24" s="3023"/>
      <c r="J24" s="3023"/>
      <c r="K24" s="3023"/>
    </row>
    <row r="25" spans="1:11">
      <c r="A25" s="3023"/>
      <c r="B25" s="3023"/>
      <c r="C25" s="3023"/>
      <c r="D25" s="3023"/>
      <c r="E25" s="3023"/>
      <c r="F25" s="3023"/>
      <c r="G25" s="3023"/>
      <c r="H25" s="3023"/>
      <c r="I25" s="3023"/>
      <c r="J25" s="3023"/>
      <c r="K25" s="3023"/>
    </row>
    <row r="26" spans="1:11">
      <c r="A26" s="3023"/>
      <c r="B26" s="3023"/>
      <c r="C26" s="3023"/>
      <c r="D26" s="3023"/>
      <c r="E26" s="3023"/>
      <c r="F26" s="3023"/>
      <c r="G26" s="3023"/>
      <c r="H26" s="3023"/>
      <c r="I26" s="3023"/>
      <c r="J26" s="3023"/>
      <c r="K26" s="302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1" sqref="I1"/>
    </sheetView>
  </sheetViews>
  <sheetFormatPr defaultColWidth="12.625" defaultRowHeight="21.75" customHeight="1"/>
  <cols>
    <col min="1" max="2" width="12.625" style="3872"/>
    <col min="3" max="4" width="12.625" style="3872" customWidth="1"/>
    <col min="5" max="9" width="12.625" style="3872"/>
    <col min="10" max="11" width="12.625" style="3870" customWidth="1"/>
    <col min="12" max="12" width="12.625" style="3870"/>
    <col min="13" max="13" width="14.125" style="3870" bestFit="1" customWidth="1"/>
    <col min="14" max="26" width="12.625" style="3870"/>
    <col min="27" max="35" width="12.625" style="3871"/>
    <col min="36" max="16384" width="12.625" style="3872"/>
  </cols>
  <sheetData>
    <row r="1" spans="1:12" ht="21.75" customHeight="1" thickBot="1">
      <c r="A1" s="3614" t="s">
        <v>1261</v>
      </c>
      <c r="B1" s="3012"/>
      <c r="C1" s="3866" t="s">
        <v>3432</v>
      </c>
      <c r="D1" s="3012"/>
      <c r="E1" s="3012"/>
      <c r="F1" s="3867" t="s">
        <v>1262</v>
      </c>
      <c r="G1" s="3868" t="s">
        <v>3641</v>
      </c>
      <c r="H1" s="3867" t="str">
        <f>IF(G1="现房","——","估价对象范围")</f>
        <v>——</v>
      </c>
      <c r="I1" s="3869" t="s">
        <v>3642</v>
      </c>
    </row>
    <row r="2" spans="1:12" ht="21.75" customHeight="1" thickBot="1">
      <c r="A2" s="4269" t="str">
        <f>项目基本情况!S2</f>
        <v>北京市朝阳区农丰里4号楼6门309号房地产</v>
      </c>
      <c r="B2" s="4270"/>
      <c r="C2" s="4270"/>
      <c r="D2" s="4270"/>
      <c r="E2" s="4270"/>
      <c r="F2" s="4270"/>
      <c r="G2" s="4270"/>
      <c r="H2" s="4270"/>
      <c r="I2" s="4271"/>
    </row>
    <row r="3" spans="1:12" ht="12.75">
      <c r="A3" s="4273" t="s">
        <v>1263</v>
      </c>
      <c r="B3" s="4274"/>
      <c r="C3" s="4274"/>
      <c r="D3" s="4274"/>
      <c r="E3" s="4274"/>
      <c r="F3" s="4274"/>
      <c r="G3" s="4274"/>
      <c r="H3" s="4274"/>
      <c r="I3" s="4274"/>
    </row>
    <row r="4" spans="1:12" ht="14.25">
      <c r="A4" s="3873" t="s">
        <v>1264</v>
      </c>
      <c r="B4" s="3874" t="s">
        <v>1265</v>
      </c>
      <c r="C4" s="3875" t="s">
        <v>3639</v>
      </c>
      <c r="D4" s="3875" t="s">
        <v>3625</v>
      </c>
      <c r="E4" s="4275" t="s">
        <v>1266</v>
      </c>
      <c r="F4" s="4276"/>
      <c r="G4" s="4276"/>
      <c r="H4" s="4276"/>
      <c r="I4" s="4277"/>
      <c r="K4" s="3876" t="str">
        <f>IF(ISNUMBER(FIND("比较法",结果表!C4)),"比较法",IF(ISNUMBER(FIND("成本法",结果表!C4)),"成本法",IF(ISNUMBER(FIND("假设开发法",结果表!C4)),"假设开发法",IF(ISNUMBER(FIND("收益法",结果表!C4)),"收益法","基准地价系数修正法"))))</f>
        <v>比较法</v>
      </c>
      <c r="L4" s="3876" t="str">
        <f>IF(ISNUMBER(FIND("比较法",结果表!D4)),"比较法",IF(ISNUMBER(FIND("成本法",结果表!D4)),"成本法",IF(ISNUMBER(FIND("假设开发法",结果表!D4)),"假设开发法",IF(ISNUMBER(FIND("收益法",结果表!D4)),"收益法","基准地价系数修正法"))))</f>
        <v>成本法</v>
      </c>
    </row>
    <row r="5" spans="1:12" ht="12.75">
      <c r="A5" s="4250" t="s">
        <v>1267</v>
      </c>
      <c r="B5" s="4200">
        <v>25</v>
      </c>
      <c r="C5" s="4253">
        <v>22</v>
      </c>
      <c r="D5" s="4272">
        <v>3</v>
      </c>
      <c r="E5" s="2981" t="s">
        <v>1268</v>
      </c>
      <c r="F5" s="2982"/>
      <c r="G5" s="2982"/>
      <c r="H5" s="2982"/>
      <c r="I5" s="2983"/>
    </row>
    <row r="6" spans="1:12" ht="12.75">
      <c r="A6" s="4250"/>
      <c r="B6" s="4200"/>
      <c r="C6" s="4254"/>
      <c r="D6" s="4272"/>
      <c r="E6" s="2981" t="s">
        <v>1269</v>
      </c>
      <c r="F6" s="2982"/>
      <c r="G6" s="2982"/>
      <c r="H6" s="2982"/>
      <c r="I6" s="2983"/>
    </row>
    <row r="7" spans="1:12" ht="12.75">
      <c r="A7" s="4250"/>
      <c r="B7" s="4200"/>
      <c r="C7" s="4255"/>
      <c r="D7" s="4272"/>
      <c r="E7" s="2981" t="s">
        <v>1270</v>
      </c>
      <c r="F7" s="2982"/>
      <c r="G7" s="2982"/>
      <c r="H7" s="2982"/>
      <c r="I7" s="2983"/>
    </row>
    <row r="8" spans="1:12" ht="12.75">
      <c r="A8" s="4250" t="s">
        <v>1271</v>
      </c>
      <c r="B8" s="4200">
        <v>15</v>
      </c>
      <c r="C8" s="4253">
        <v>10</v>
      </c>
      <c r="D8" s="4272">
        <v>5</v>
      </c>
      <c r="E8" s="2981" t="s">
        <v>1272</v>
      </c>
      <c r="F8" s="2982"/>
      <c r="G8" s="2982"/>
      <c r="H8" s="2982"/>
      <c r="I8" s="2983"/>
    </row>
    <row r="9" spans="1:12" ht="12.75">
      <c r="A9" s="4250"/>
      <c r="B9" s="4200"/>
      <c r="C9" s="4255"/>
      <c r="D9" s="4272"/>
      <c r="E9" s="2981" t="s">
        <v>1273</v>
      </c>
      <c r="F9" s="2982"/>
      <c r="G9" s="2982"/>
      <c r="H9" s="2982"/>
      <c r="I9" s="2983"/>
    </row>
    <row r="10" spans="1:12" ht="12.75">
      <c r="A10" s="4250" t="s">
        <v>1274</v>
      </c>
      <c r="B10" s="4200">
        <v>15</v>
      </c>
      <c r="C10" s="4253">
        <v>10</v>
      </c>
      <c r="D10" s="4272">
        <v>5</v>
      </c>
      <c r="E10" s="2981" t="s">
        <v>1275</v>
      </c>
      <c r="F10" s="2982"/>
      <c r="G10" s="2982"/>
      <c r="H10" s="2982"/>
      <c r="I10" s="2983"/>
    </row>
    <row r="11" spans="1:12" ht="12.75">
      <c r="A11" s="4250"/>
      <c r="B11" s="4200"/>
      <c r="C11" s="4255"/>
      <c r="D11" s="4272"/>
      <c r="E11" s="2981" t="s">
        <v>1276</v>
      </c>
      <c r="F11" s="2982"/>
      <c r="G11" s="2982"/>
      <c r="H11" s="2982"/>
      <c r="I11" s="2983"/>
    </row>
    <row r="12" spans="1:12" ht="12.75">
      <c r="A12" s="4250" t="s">
        <v>1277</v>
      </c>
      <c r="B12" s="4200">
        <v>15</v>
      </c>
      <c r="C12" s="4253">
        <v>10</v>
      </c>
      <c r="D12" s="4272">
        <v>5</v>
      </c>
      <c r="E12" s="2981" t="s">
        <v>1278</v>
      </c>
      <c r="F12" s="2982"/>
      <c r="G12" s="2982"/>
      <c r="H12" s="2982"/>
      <c r="I12" s="2983"/>
    </row>
    <row r="13" spans="1:12" ht="12.75">
      <c r="A13" s="4250"/>
      <c r="B13" s="4200"/>
      <c r="C13" s="4255"/>
      <c r="D13" s="4272"/>
      <c r="E13" s="2981" t="s">
        <v>1279</v>
      </c>
      <c r="F13" s="2982"/>
      <c r="G13" s="2982"/>
      <c r="H13" s="2982"/>
      <c r="I13" s="2983"/>
    </row>
    <row r="14" spans="1:12" ht="12.75">
      <c r="A14" s="4250" t="s">
        <v>1280</v>
      </c>
      <c r="B14" s="4200">
        <v>30</v>
      </c>
      <c r="C14" s="4253">
        <v>28</v>
      </c>
      <c r="D14" s="4272">
        <v>2</v>
      </c>
      <c r="E14" s="2981" t="s">
        <v>1281</v>
      </c>
      <c r="F14" s="2982"/>
      <c r="G14" s="2982"/>
      <c r="H14" s="2982"/>
      <c r="I14" s="2983"/>
    </row>
    <row r="15" spans="1:12" ht="12.75">
      <c r="A15" s="4250"/>
      <c r="B15" s="4200"/>
      <c r="C15" s="4254"/>
      <c r="D15" s="4272"/>
      <c r="E15" s="2981" t="s">
        <v>1282</v>
      </c>
      <c r="F15" s="2982"/>
      <c r="G15" s="2982"/>
      <c r="H15" s="2982"/>
      <c r="I15" s="2983"/>
    </row>
    <row r="16" spans="1:12" ht="12.75">
      <c r="A16" s="4250"/>
      <c r="B16" s="4200"/>
      <c r="C16" s="4255"/>
      <c r="D16" s="4272"/>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5"/>
      <c r="L17" s="3485" t="s">
        <v>1285</v>
      </c>
      <c r="M17" s="3485" t="s">
        <v>1286</v>
      </c>
    </row>
    <row r="18" spans="1:36" ht="31.9" customHeight="1" thickBot="1">
      <c r="A18" s="2988" t="s">
        <v>1287</v>
      </c>
      <c r="B18" s="2989"/>
      <c r="C18" s="4095">
        <f>ROUND(C17/SUM(C17:D17),2)</f>
        <v>0.8</v>
      </c>
      <c r="D18" s="4095">
        <f>1-C18</f>
        <v>0.19999999999999996</v>
      </c>
      <c r="E18" s="4260" t="s">
        <v>2128</v>
      </c>
      <c r="F18" s="4261"/>
      <c r="G18" s="4261"/>
      <c r="H18" s="4261"/>
      <c r="I18" s="4261"/>
      <c r="K18" s="3485" t="s">
        <v>1288</v>
      </c>
      <c r="L18" s="3485">
        <f>IF(C1="",'数据-汇总表'!E3,SUMIF(项目类型,C1,'数据-汇总表'!E17:E26)+SUMIF(项目类型,C1,'数据-汇总表'!I17:I26))</f>
        <v>79.92</v>
      </c>
      <c r="M18" s="3485">
        <f>IF(C1="",'数据-汇总表'!E3,SUMIF(项目类型,C1,'数据-汇总表'!E17:E26))</f>
        <v>79.92</v>
      </c>
    </row>
    <row r="19" spans="1:36" ht="15">
      <c r="A19" s="2990" t="s">
        <v>1289</v>
      </c>
      <c r="B19" s="2991" t="s">
        <v>1290</v>
      </c>
      <c r="C19" s="2992">
        <f ca="1">SUMIF(INDIRECT("'"&amp;C4&amp;"'"&amp;"!A:A"),结果表!B19,INDIRECT("'"&amp;C4&amp;"'"&amp;"!B:B"))</f>
        <v>63.552399999999999</v>
      </c>
      <c r="D19" s="2993">
        <f ca="1">SUMIF(INDIRECT("'"&amp;D4&amp;"'"&amp;"!A:A"),结果表!B19,INDIRECT("'"&amp;D4&amp;"'"&amp;"!B:B"))</f>
        <v>85.393900000000002</v>
      </c>
      <c r="E19" s="2990" t="s">
        <v>1291</v>
      </c>
      <c r="F19" s="2991" t="s">
        <v>1290</v>
      </c>
      <c r="G19" s="2994">
        <f ca="1">ROUND(C19*$C$18+D19*$D$18,0)</f>
        <v>68</v>
      </c>
      <c r="H19" s="2995" t="s">
        <v>1292</v>
      </c>
      <c r="I19" s="2987"/>
      <c r="K19" s="3485" t="s">
        <v>1293</v>
      </c>
      <c r="L19" s="3485">
        <f>IF(C1="",'数据-汇总表'!D3,SUMIF(项目类型,C1,'数据-汇总表'!D17:D26)+SUMIF(项目类型,C1,'数据-汇总表'!H17:H27))</f>
        <v>0</v>
      </c>
      <c r="M19" s="3485">
        <f>IF(C1="",'数据-汇总表'!D3,SUMIF(项目类型,C1,'数据-汇总表'!D17:D26))</f>
        <v>0</v>
      </c>
    </row>
    <row r="20" spans="1:36" ht="15">
      <c r="A20" s="2996"/>
      <c r="B20" s="2997" t="s">
        <v>1294</v>
      </c>
      <c r="C20" s="2998">
        <f ca="1">SUMIF(INDIRECT("'"&amp;C4&amp;"'"&amp;"!A:A"),结果表!B20,INDIRECT("'"&amp;C4&amp;"'"&amp;"!B:B"))</f>
        <v>7952</v>
      </c>
      <c r="D20" s="2999">
        <f ca="1">SUMIF(INDIRECT("'"&amp;D4&amp;"'"&amp;"!A:A"),结果表!B20,INDIRECT("'"&amp;D4&amp;"'"&amp;"!B:B"))</f>
        <v>10685</v>
      </c>
      <c r="E20" s="2996"/>
      <c r="F20" s="2997" t="s">
        <v>1294</v>
      </c>
      <c r="G20" s="3000">
        <f ca="1">ROUND(C20*$C$18+D20*$D$18,0)</f>
        <v>8499</v>
      </c>
      <c r="H20" s="3001" t="s">
        <v>1295</v>
      </c>
      <c r="I20" s="2987"/>
    </row>
    <row r="21" spans="1:36" ht="15" customHeight="1" thickBot="1">
      <c r="A21" s="3002"/>
      <c r="B21" s="3003" t="s">
        <v>1296</v>
      </c>
      <c r="C21" s="3004" t="e">
        <f ca="1">ROUND(C19*10000/L19,0)</f>
        <v>#DIV/0!</v>
      </c>
      <c r="D21" s="3005" t="e">
        <f ca="1">ROUND(D19*10000/L19,0)</f>
        <v>#DIV/0!</v>
      </c>
      <c r="E21" s="3002"/>
      <c r="F21" s="3003" t="s">
        <v>1296</v>
      </c>
      <c r="G21" s="3006" t="e">
        <f ca="1">ROUND(G19*10000/L19,0)</f>
        <v>#DIV/0!</v>
      </c>
      <c r="H21" s="3007" t="s">
        <v>1295</v>
      </c>
      <c r="I21" s="2987"/>
    </row>
    <row r="22" spans="1:36" ht="15" thickBot="1">
      <c r="A22" s="3008" t="s">
        <v>1297</v>
      </c>
      <c r="B22" s="3009"/>
      <c r="C22" s="3010"/>
      <c r="D22" s="3011">
        <f ca="1">IF(C19&lt;D19,D19/C19-1,C19/D19-1)</f>
        <v>0.34367702871960781</v>
      </c>
      <c r="E22" s="2987"/>
      <c r="F22" s="2987"/>
      <c r="G22" s="2987"/>
      <c r="H22" s="2987"/>
      <c r="I22" s="2987"/>
    </row>
    <row r="23" spans="1:36" ht="13.5" thickBot="1">
      <c r="A23" s="3012"/>
      <c r="B23" s="3012"/>
      <c r="C23" s="3012"/>
      <c r="D23" s="3012"/>
      <c r="E23" s="2987"/>
      <c r="F23" s="2987"/>
      <c r="G23" s="2987"/>
      <c r="H23" s="2987"/>
      <c r="I23" s="2987"/>
    </row>
    <row r="24" spans="1:36" ht="14.25">
      <c r="A24" s="4245" t="s">
        <v>1298</v>
      </c>
      <c r="B24" s="2991" t="s">
        <v>1290</v>
      </c>
      <c r="C24" s="2994">
        <f>IF(B30=0,0,D30)</f>
        <v>0</v>
      </c>
      <c r="D24" s="3013"/>
      <c r="E24" s="2987"/>
      <c r="F24" s="2987"/>
      <c r="G24" s="2987"/>
      <c r="H24" s="2987"/>
      <c r="I24" s="2987"/>
    </row>
    <row r="25" spans="1:36" ht="14.25">
      <c r="A25" s="4246"/>
      <c r="B25" s="2997" t="s">
        <v>1294</v>
      </c>
      <c r="C25" s="3014">
        <f>IF(B30=0,0,C30)</f>
        <v>0</v>
      </c>
      <c r="D25" s="3015"/>
      <c r="E25" s="2987"/>
      <c r="F25" s="2987"/>
      <c r="G25" s="2987"/>
      <c r="H25" s="2987"/>
      <c r="I25" s="2987"/>
    </row>
    <row r="26" spans="1:36" ht="13.5" customHeight="1">
      <c r="A26" s="3016" t="s">
        <v>1299</v>
      </c>
      <c r="B26" s="3017" t="s">
        <v>1300</v>
      </c>
      <c r="C26" s="3017" t="s">
        <v>1301</v>
      </c>
      <c r="D26" s="3018" t="s">
        <v>1302</v>
      </c>
      <c r="E26" s="2987"/>
      <c r="F26" s="2987"/>
      <c r="G26" s="2987"/>
      <c r="H26" s="2987"/>
      <c r="I26" s="2987"/>
    </row>
    <row r="27" spans="1:36" ht="14.25">
      <c r="A27" s="3016"/>
      <c r="B27" s="3017">
        <v>0</v>
      </c>
      <c r="C27" s="3017">
        <v>0</v>
      </c>
      <c r="D27" s="3018">
        <f>ROUND(C27*B27/10000,0)</f>
        <v>0</v>
      </c>
      <c r="E27" s="2987"/>
      <c r="F27" s="2987"/>
      <c r="G27" s="2987"/>
      <c r="H27" s="2987"/>
      <c r="I27" s="2987"/>
    </row>
    <row r="28" spans="1:36" ht="14.25">
      <c r="A28" s="3016"/>
      <c r="B28" s="3017"/>
      <c r="C28" s="3017"/>
      <c r="D28" s="3018"/>
      <c r="E28" s="2987"/>
      <c r="F28" s="2987"/>
      <c r="G28" s="2987"/>
      <c r="H28" s="2987"/>
      <c r="I28" s="2987"/>
    </row>
    <row r="29" spans="1:36" ht="14.25">
      <c r="A29" s="3016"/>
      <c r="B29" s="3017"/>
      <c r="C29" s="3017"/>
      <c r="D29" s="3018"/>
      <c r="E29" s="2987"/>
      <c r="F29" s="2987"/>
      <c r="G29" s="2987"/>
      <c r="H29" s="2987"/>
      <c r="I29" s="2987"/>
    </row>
    <row r="30" spans="1:36" ht="15" thickBot="1">
      <c r="A30" s="3017" t="s">
        <v>1303</v>
      </c>
      <c r="B30" s="3017"/>
      <c r="C30" s="3017"/>
      <c r="D30" s="3017"/>
      <c r="E30" s="3019" t="s">
        <v>2129</v>
      </c>
      <c r="F30" s="2987"/>
      <c r="G30" s="2987"/>
      <c r="H30" s="2987"/>
      <c r="I30" s="2987"/>
    </row>
    <row r="31" spans="1:36" s="3883" customFormat="1" ht="26.45" customHeight="1" thickTop="1" thickBot="1">
      <c r="A31" s="3877"/>
      <c r="B31" s="3878"/>
      <c r="C31" s="3878"/>
      <c r="D31" s="3878"/>
      <c r="E31" s="3878"/>
      <c r="F31" s="3878"/>
      <c r="G31" s="3878"/>
      <c r="H31" s="3878"/>
      <c r="I31" s="3879" t="s">
        <v>2130</v>
      </c>
      <c r="J31" s="3880"/>
      <c r="K31" s="3881"/>
      <c r="L31" s="3881"/>
      <c r="M31" s="3881"/>
      <c r="N31" s="3881"/>
      <c r="O31" s="3881"/>
      <c r="P31" s="3881"/>
      <c r="Q31" s="3881"/>
      <c r="R31" s="3881"/>
      <c r="S31" s="3881"/>
      <c r="T31" s="3881"/>
      <c r="U31" s="3881"/>
      <c r="V31" s="3881"/>
      <c r="W31" s="3881"/>
      <c r="X31" s="3881"/>
      <c r="Y31" s="3881"/>
      <c r="Z31" s="3881"/>
      <c r="AA31" s="3881"/>
      <c r="AB31" s="3882"/>
      <c r="AC31" s="3882"/>
      <c r="AD31" s="3882"/>
      <c r="AE31" s="3882"/>
      <c r="AF31" s="3882"/>
      <c r="AG31" s="3882"/>
      <c r="AH31" s="3882"/>
      <c r="AI31" s="3882"/>
      <c r="AJ31" s="3882"/>
    </row>
    <row r="32" spans="1:36" ht="16.5" thickTop="1" thickBot="1">
      <c r="A32" s="3884" t="s">
        <v>1304</v>
      </c>
      <c r="B32" s="3885"/>
      <c r="C32" s="3886">
        <f ca="1">IF(D32="总价",G19-C24,G20-C25)</f>
        <v>8499</v>
      </c>
      <c r="D32" s="3887"/>
      <c r="E32" s="2987"/>
      <c r="F32" s="2987"/>
      <c r="G32" s="2987"/>
      <c r="H32" s="2987"/>
      <c r="I32" s="2987"/>
    </row>
    <row r="33" spans="1:15" ht="15">
      <c r="A33" s="3888" t="s">
        <v>1305</v>
      </c>
      <c r="B33" s="3889"/>
      <c r="C33" s="3890"/>
      <c r="D33" s="3891"/>
      <c r="E33" s="3892" t="s">
        <v>1306</v>
      </c>
      <c r="F33" s="3893" t="str">
        <f>IF(D32="楼面单价","取值（单价）","取值（总价）")</f>
        <v>取值（总价）</v>
      </c>
      <c r="G33" s="2987"/>
      <c r="H33" s="2987"/>
      <c r="I33" s="2987"/>
    </row>
    <row r="34" spans="1:15" ht="15">
      <c r="A34" s="3894"/>
      <c r="B34" s="3895" t="s">
        <v>1307</v>
      </c>
      <c r="C34" s="3896" t="e">
        <f ca="1">IF(C33="自定义",F34,C32-C35)</f>
        <v>#REF!</v>
      </c>
      <c r="D34" s="3897" t="e">
        <f ca="1">IF(C33="自定义",ROUND(C34/C32,3),IF(C33="收益比率",SUMIF(INDIRECT("'"&amp;D33&amp;"'"&amp;"!b:b"),"土地收益比率",INDIRECT("'"&amp;D33&amp;"'"&amp;"!c:c")),SUMIF(INDIRECT("'"&amp;D33&amp;"'"&amp;"!b:b"),"土地成本比率",INDIRECT("'"&amp;D33&amp;"'"&amp;"!c:c"))))</f>
        <v>#REF!</v>
      </c>
      <c r="E34" s="3898" t="s">
        <v>1308</v>
      </c>
      <c r="F34" s="3899"/>
      <c r="G34" s="2987"/>
      <c r="H34" s="2987"/>
      <c r="I34" s="2987"/>
    </row>
    <row r="35" spans="1:15" ht="15.75" thickBot="1">
      <c r="A35" s="3900"/>
      <c r="B35" s="3901" t="s">
        <v>1309</v>
      </c>
      <c r="C35" s="3902" t="e">
        <f ca="1">IF(C33="自定义",F35,ROUND(C32*D35,0))</f>
        <v>#REF!</v>
      </c>
      <c r="D35" s="3692" t="e">
        <f ca="1">IF(C33="自定义",ROUND(C35/C32,3),IF(C33="收益比率",SUMIF(INDIRECT("'"&amp;D33&amp;"'"&amp;"!b:b"),"建筑物收益比率",INDIRECT("'"&amp;D33&amp;"'"&amp;"!c:c")),SUMIF(INDIRECT("'"&amp;D33&amp;"'"&amp;"!b:b"),"建筑物成本比率",INDIRECT("'"&amp;D33&amp;"'"&amp;"!c:c"))))</f>
        <v>#REF!</v>
      </c>
      <c r="E35" s="3903" t="s">
        <v>1310</v>
      </c>
      <c r="F35" s="3904"/>
      <c r="G35" s="2987"/>
      <c r="H35" s="2987"/>
      <c r="I35" s="2987"/>
    </row>
    <row r="36" spans="1:15" ht="15.75" thickBot="1">
      <c r="A36" s="4263" t="s">
        <v>1311</v>
      </c>
      <c r="B36" s="3905" t="s">
        <v>1312</v>
      </c>
      <c r="C36" s="3906"/>
      <c r="D36" s="3907"/>
      <c r="E36" s="3908"/>
      <c r="F36" s="3909"/>
      <c r="G36" s="2987"/>
      <c r="H36" s="2987"/>
      <c r="I36" s="2987"/>
    </row>
    <row r="37" spans="1:15" ht="15.75" thickBot="1">
      <c r="A37" s="4264"/>
      <c r="B37" s="3696" t="s">
        <v>1313</v>
      </c>
      <c r="C37" s="3910"/>
      <c r="D37" s="3615"/>
      <c r="E37" s="3615"/>
      <c r="F37" s="3909"/>
      <c r="G37" s="2987"/>
      <c r="H37" s="2987"/>
      <c r="I37" s="2987"/>
    </row>
    <row r="38" spans="1:15" ht="15.75" thickBot="1">
      <c r="A38" s="4265"/>
      <c r="B38" s="3911" t="s">
        <v>1314</v>
      </c>
      <c r="C38" s="3912"/>
      <c r="D38" s="3913" t="s">
        <v>1315</v>
      </c>
      <c r="E38" s="3615"/>
      <c r="F38" s="3909"/>
      <c r="G38" s="2987"/>
      <c r="H38" s="2987"/>
      <c r="I38" s="2987"/>
    </row>
    <row r="39" spans="1:15" ht="15">
      <c r="A39" s="2996" t="s">
        <v>1316</v>
      </c>
      <c r="B39" s="3914" t="s">
        <v>1317</v>
      </c>
      <c r="C39" s="3915" t="s">
        <v>1318</v>
      </c>
      <c r="D39" s="3915" t="s">
        <v>1319</v>
      </c>
      <c r="E39" s="3916" t="s">
        <v>1320</v>
      </c>
      <c r="F39" s="3909"/>
      <c r="G39" s="2987"/>
      <c r="H39" s="2987"/>
      <c r="I39" s="2987"/>
    </row>
    <row r="40" spans="1:15" ht="14.25">
      <c r="A40" s="3917" t="s">
        <v>1321</v>
      </c>
      <c r="B40" s="3918"/>
      <c r="C40" s="3919"/>
      <c r="D40" s="3919"/>
      <c r="E40" s="3832"/>
      <c r="F40" s="3909"/>
      <c r="G40" s="2987"/>
      <c r="H40" s="2987"/>
      <c r="I40" s="2987"/>
    </row>
    <row r="41" spans="1:15" ht="14.25">
      <c r="A41" s="3917" t="s">
        <v>1322</v>
      </c>
      <c r="B41" s="3918"/>
      <c r="C41" s="3919"/>
      <c r="D41" s="3919"/>
      <c r="E41" s="3832"/>
      <c r="F41" s="3909"/>
      <c r="G41" s="2987"/>
      <c r="H41" s="2987"/>
      <c r="I41" s="2987"/>
    </row>
    <row r="42" spans="1:15" ht="15" thickBot="1">
      <c r="A42" s="3920"/>
      <c r="B42" s="3921"/>
      <c r="C42" s="3922"/>
      <c r="D42" s="3922"/>
      <c r="E42" s="3904"/>
      <c r="F42" s="3909"/>
      <c r="G42" s="2987"/>
      <c r="H42" s="2987"/>
      <c r="I42" s="2987"/>
    </row>
    <row r="43" spans="1:15" ht="12.75">
      <c r="A43" s="3923"/>
      <c r="B43" s="3923"/>
      <c r="C43" s="3923"/>
      <c r="D43" s="3923"/>
      <c r="E43" s="3923"/>
      <c r="F43" s="3924"/>
      <c r="G43" s="3924"/>
      <c r="H43" s="3924"/>
      <c r="I43" s="3925"/>
    </row>
    <row r="44" spans="1:15" ht="18.75">
      <c r="A44" s="3926" t="s">
        <v>1323</v>
      </c>
      <c r="B44" s="3927"/>
      <c r="C44" s="3927"/>
      <c r="D44" s="3928"/>
      <c r="E44" s="3928"/>
      <c r="F44" s="3929"/>
      <c r="G44" s="3929"/>
      <c r="H44" s="3929"/>
      <c r="I44" s="3929"/>
      <c r="J44" s="3930" t="s">
        <v>1324</v>
      </c>
      <c r="K44" s="3931"/>
      <c r="L44" s="3931"/>
      <c r="M44" s="3931"/>
      <c r="N44" s="3931"/>
      <c r="O44" s="3931"/>
    </row>
    <row r="45" spans="1:15" ht="14.25" customHeight="1" thickBot="1">
      <c r="A45" s="4242" t="s">
        <v>1325</v>
      </c>
      <c r="B45" s="4243"/>
      <c r="C45" s="4244"/>
      <c r="D45" s="3932" t="e">
        <f ca="1">ROUND(H101*F45,0)</f>
        <v>#REF!</v>
      </c>
      <c r="E45" s="3933" t="s">
        <v>1326</v>
      </c>
      <c r="F45" s="3934">
        <v>1</v>
      </c>
      <c r="G45" s="3935" t="s">
        <v>1327</v>
      </c>
      <c r="H45" s="2987"/>
      <c r="I45" s="2987"/>
      <c r="J45" s="4317" t="s">
        <v>1328</v>
      </c>
      <c r="K45" s="4317"/>
      <c r="L45" s="4317"/>
      <c r="M45" s="4317"/>
      <c r="N45" s="4317"/>
      <c r="O45" s="4317"/>
    </row>
    <row r="46" spans="1:15" ht="14.25" customHeight="1">
      <c r="A46" s="4239" t="s">
        <v>1329</v>
      </c>
      <c r="B46" s="4240"/>
      <c r="C46" s="4240"/>
      <c r="D46" s="4240"/>
      <c r="E46" s="4240"/>
      <c r="F46" s="4240"/>
      <c r="G46" s="4241"/>
      <c r="H46" s="3709"/>
      <c r="I46" s="3709"/>
      <c r="J46" s="3936">
        <v>1</v>
      </c>
      <c r="K46" s="4298" t="s">
        <v>1330</v>
      </c>
      <c r="L46" s="4298"/>
      <c r="M46" s="4318"/>
      <c r="N46" s="4318"/>
      <c r="O46" s="4318"/>
    </row>
    <row r="47" spans="1:15" ht="12" customHeight="1">
      <c r="A47" s="3937" t="s">
        <v>1331</v>
      </c>
      <c r="B47" s="3938"/>
      <c r="C47" s="3939"/>
      <c r="D47" s="3940" t="s">
        <v>1332</v>
      </c>
      <c r="E47" s="3485" t="s">
        <v>1333</v>
      </c>
      <c r="F47" s="3941" t="s">
        <v>1334</v>
      </c>
      <c r="G47" s="3942" t="s">
        <v>1335</v>
      </c>
      <c r="H47" s="3943"/>
      <c r="I47" s="3709"/>
      <c r="J47" s="3936">
        <v>2</v>
      </c>
      <c r="K47" s="4298" t="s">
        <v>1336</v>
      </c>
      <c r="L47" s="4298"/>
      <c r="M47" s="4319">
        <f>'数据-取费表'!B2</f>
        <v>39034</v>
      </c>
      <c r="N47" s="4319"/>
      <c r="O47" s="4319"/>
    </row>
    <row r="48" spans="1:15" ht="25.5">
      <c r="A48" s="4268" t="s">
        <v>1337</v>
      </c>
      <c r="B48" s="4252"/>
      <c r="C48" s="4252"/>
      <c r="D48" s="3582" t="b">
        <f>IF(H48="情况1",0,IF(H48="情况2",D52,IF(H48="情况3",D53,IF(H48="情况4",D54))))</f>
        <v>0</v>
      </c>
      <c r="E48" s="3544" t="str">
        <f>IF(H48="情况4","(销售额-原购置价)×税（费）率","销售额×税（费）率")</f>
        <v>销售额×税（费）率</v>
      </c>
      <c r="F48" s="3540">
        <f>IF(H48="情况1","免征",'数据-取费表'!B41)</f>
        <v>5.5000000000000007E-2</v>
      </c>
      <c r="G48" s="3944" t="s">
        <v>1338</v>
      </c>
      <c r="H48" s="3945"/>
      <c r="I48" s="3709"/>
      <c r="J48" s="3936">
        <v>3</v>
      </c>
      <c r="K48" s="4298" t="s">
        <v>1339</v>
      </c>
      <c r="L48" s="4298"/>
      <c r="M48" s="4319" t="e">
        <f ca="1">H101</f>
        <v>#REF!</v>
      </c>
      <c r="N48" s="4319"/>
      <c r="O48" s="4319"/>
    </row>
    <row r="49" spans="1:35" ht="25.5" customHeight="1">
      <c r="A49" s="3946" t="s">
        <v>1340</v>
      </c>
      <c r="B49" s="4238" t="s">
        <v>1341</v>
      </c>
      <c r="C49" s="4238"/>
      <c r="D49" s="3585">
        <v>0</v>
      </c>
      <c r="E49" s="3947" t="s">
        <v>1342</v>
      </c>
      <c r="F49" s="3948" t="s">
        <v>28</v>
      </c>
      <c r="G49" s="4304"/>
      <c r="H49" s="3949" t="s">
        <v>2131</v>
      </c>
      <c r="I49" s="3950"/>
      <c r="J49" s="3936">
        <v>4</v>
      </c>
      <c r="K49" s="4298" t="str">
        <f>IF(项目基本情况!E8="房地产抵押价值","房地产抵押价值","抵押担保权已注销时的房地产抵押价值")</f>
        <v>抵押担保权已注销时的房地产抵押价值</v>
      </c>
      <c r="L49" s="4298"/>
      <c r="M49" s="4319" t="str">
        <f>IF(项目基本情况!E8="房地产抵押价值",H107,H109)</f>
        <v>——</v>
      </c>
      <c r="N49" s="4319"/>
      <c r="O49" s="4319"/>
    </row>
    <row r="50" spans="1:35" ht="25.5" customHeight="1">
      <c r="A50" s="3951"/>
      <c r="B50" s="4238" t="s">
        <v>1343</v>
      </c>
      <c r="C50" s="4238"/>
      <c r="D50" s="3491"/>
      <c r="E50" s="3542"/>
      <c r="F50" s="3948"/>
      <c r="G50" s="4305"/>
      <c r="H50" s="3950" t="s">
        <v>2132</v>
      </c>
      <c r="I50" s="3950"/>
      <c r="J50" s="4317" t="s">
        <v>1344</v>
      </c>
      <c r="K50" s="4317"/>
      <c r="L50" s="4317"/>
      <c r="M50" s="4317"/>
      <c r="N50" s="4317"/>
      <c r="O50" s="4317"/>
    </row>
    <row r="51" spans="1:35" ht="20.45" customHeight="1">
      <c r="A51" s="3952"/>
      <c r="B51" s="4238" t="s">
        <v>1345</v>
      </c>
      <c r="C51" s="4238"/>
      <c r="D51" s="3940"/>
      <c r="E51" s="3518"/>
      <c r="F51" s="3948"/>
      <c r="G51" s="4306"/>
      <c r="H51" s="3950" t="s">
        <v>2133</v>
      </c>
      <c r="I51" s="3950"/>
      <c r="J51" s="3953" t="s">
        <v>1346</v>
      </c>
      <c r="K51" s="4298" t="s">
        <v>1347</v>
      </c>
      <c r="L51" s="4298"/>
      <c r="M51" s="3953" t="s">
        <v>1348</v>
      </c>
      <c r="N51" s="3953" t="s">
        <v>1349</v>
      </c>
      <c r="O51" s="3953" t="s">
        <v>1350</v>
      </c>
    </row>
    <row r="52" spans="1:35" ht="24" customHeight="1">
      <c r="A52" s="3954" t="s">
        <v>1351</v>
      </c>
      <c r="B52" s="4238" t="s">
        <v>1352</v>
      </c>
      <c r="C52" s="4238"/>
      <c r="D52" s="3940" t="e">
        <f ca="1">ROUND(D45*'数据-取费表'!B41/(1+'数据-取费表'!C42),0)</f>
        <v>#REF!</v>
      </c>
      <c r="E52" s="3544" t="s">
        <v>1353</v>
      </c>
      <c r="F52" s="3485">
        <f>'数据-取费表'!B41</f>
        <v>5.5000000000000007E-2</v>
      </c>
      <c r="G52" s="3942"/>
      <c r="H52" s="3943"/>
      <c r="I52" s="3709"/>
      <c r="J52" s="3936">
        <v>1</v>
      </c>
      <c r="K52" s="4299" t="s">
        <v>1354</v>
      </c>
      <c r="L52" s="4299"/>
      <c r="M52" s="3955" t="b">
        <f>D48</f>
        <v>0</v>
      </c>
      <c r="N52" s="3936" t="str">
        <f>E48</f>
        <v>销售额×税（费）率</v>
      </c>
      <c r="O52" s="3956">
        <f>F48</f>
        <v>5.5000000000000007E-2</v>
      </c>
    </row>
    <row r="53" spans="1:35" ht="12" customHeight="1">
      <c r="A53" s="3954" t="s">
        <v>1355</v>
      </c>
      <c r="B53" s="4247" t="s">
        <v>2284</v>
      </c>
      <c r="C53" s="4262"/>
      <c r="D53" s="3940" t="e">
        <f ca="1">ROUND(D45*'数据-取费表'!B41/(1+'数据-取费表'!C42),0)</f>
        <v>#REF!</v>
      </c>
      <c r="E53" s="3544" t="s">
        <v>1353</v>
      </c>
      <c r="F53" s="3485">
        <f>'数据-取费表'!B41</f>
        <v>5.5000000000000007E-2</v>
      </c>
      <c r="G53" s="3942"/>
      <c r="H53" s="3943"/>
      <c r="I53" s="3709"/>
      <c r="J53" s="3936">
        <v>2</v>
      </c>
      <c r="K53" s="4299" t="s">
        <v>1356</v>
      </c>
      <c r="L53" s="4299"/>
      <c r="M53" s="3955" t="e">
        <f t="shared" ref="M53:O54" ca="1" si="0">D55</f>
        <v>#REF!</v>
      </c>
      <c r="N53" s="3936" t="str">
        <f t="shared" si="0"/>
        <v>销售额×税（费）率</v>
      </c>
      <c r="O53" s="3956" t="str">
        <f t="shared" si="0"/>
        <v>免征</v>
      </c>
    </row>
    <row r="54" spans="1:35" ht="12" customHeight="1">
      <c r="A54" s="3954" t="s">
        <v>1357</v>
      </c>
      <c r="B54" s="4247" t="s">
        <v>2285</v>
      </c>
      <c r="C54" s="4262"/>
      <c r="D54" s="3940" t="e">
        <f ca="1">C68</f>
        <v>#REF!</v>
      </c>
      <c r="E54" s="3518" t="s">
        <v>1358</v>
      </c>
      <c r="F54" s="3485">
        <f>'数据-取费表'!B41</f>
        <v>5.5000000000000007E-2</v>
      </c>
      <c r="G54" s="3942"/>
      <c r="H54" s="3957"/>
      <c r="I54" s="3709"/>
      <c r="J54" s="3936">
        <v>3</v>
      </c>
      <c r="K54" s="4299" t="s">
        <v>1359</v>
      </c>
      <c r="L54" s="4299"/>
      <c r="M54" s="3955" t="e">
        <f t="shared" ca="1" si="0"/>
        <v>#REF!</v>
      </c>
      <c r="N54" s="3936" t="str">
        <f t="shared" si="0"/>
        <v>增值额×税（费）率</v>
      </c>
      <c r="O54" s="3956" t="str">
        <f t="shared" si="0"/>
        <v>免征</v>
      </c>
    </row>
    <row r="55" spans="1:35" ht="24" customHeight="1">
      <c r="A55" s="4251" t="s">
        <v>1360</v>
      </c>
      <c r="B55" s="4252"/>
      <c r="C55" s="4252"/>
      <c r="D55" s="3582" t="e">
        <f ca="1">IF(H55="个人住宅",0,ROUND(D45*I55,0))</f>
        <v>#REF!</v>
      </c>
      <c r="E55" s="3544" t="s">
        <v>1361</v>
      </c>
      <c r="F55" s="3485" t="str">
        <f>IF(H55="正常",I55,"免征")</f>
        <v>免征</v>
      </c>
      <c r="G55" s="3942"/>
      <c r="H55" s="3945"/>
      <c r="I55" s="3958">
        <f>'数据-取费表'!B49</f>
        <v>5.0000000000000001E-4</v>
      </c>
      <c r="J55" s="3936">
        <f>IF(H59="非个人房产","",4)</f>
        <v>4</v>
      </c>
      <c r="K55" s="4299" t="str">
        <f>IF(H59="非个人房产","——","个人所得税")</f>
        <v>个人所得税</v>
      </c>
      <c r="L55" s="4299"/>
      <c r="M55" s="3959" t="e">
        <f ca="1">D59</f>
        <v>#REF!</v>
      </c>
      <c r="N55" s="3960" t="str">
        <f>E59</f>
        <v>差额计税</v>
      </c>
      <c r="O55" s="3961">
        <f>F59</f>
        <v>0.01</v>
      </c>
    </row>
    <row r="56" spans="1:35" ht="24.75">
      <c r="A56" s="4251" t="s">
        <v>1362</v>
      </c>
      <c r="B56" s="4252"/>
      <c r="C56" s="4252"/>
      <c r="D56" s="3582" t="e">
        <f ca="1">IF(H56="个人住宅",D57,D58)</f>
        <v>#REF!</v>
      </c>
      <c r="E56" s="3544" t="s">
        <v>1363</v>
      </c>
      <c r="F56" s="3485" t="str">
        <f>IF(H56="正常",F58,"免征")</f>
        <v>免征</v>
      </c>
      <c r="G56" s="3962" t="s">
        <v>1364</v>
      </c>
      <c r="H56" s="3963"/>
      <c r="I56" s="3528"/>
      <c r="J56" s="3936" t="str">
        <f>IF(项目基本情况!K6="上海银行",IF(J55="",4,J55+1),"")</f>
        <v/>
      </c>
      <c r="K56" s="4321" t="str">
        <f>IF(项目基本情况!K6="上海银行","其他处置费用","")</f>
        <v/>
      </c>
      <c r="L56" s="4322"/>
      <c r="M56" s="3955" t="str">
        <f>IF(项目基本情况!K6="上海银行",M69,"")</f>
        <v/>
      </c>
      <c r="N56" s="4321" t="str">
        <f>IF(项目基本情况!K6="上海银行","包含处置中涉及的律师、诉讼、拍卖、评估等费用","")</f>
        <v/>
      </c>
      <c r="O56" s="4324"/>
    </row>
    <row r="57" spans="1:35" ht="12.75">
      <c r="A57" s="3954" t="s">
        <v>1340</v>
      </c>
      <c r="B57" s="4247" t="s">
        <v>1365</v>
      </c>
      <c r="C57" s="4262"/>
      <c r="D57" s="3585">
        <v>0</v>
      </c>
      <c r="E57" s="3947" t="s">
        <v>1342</v>
      </c>
      <c r="F57" s="3485"/>
      <c r="G57" s="3942"/>
      <c r="H57" s="3964"/>
      <c r="I57" s="3528"/>
      <c r="J57" s="4299">
        <f>IF(AND(J55="",J56=""),4,IF(项目基本情况!K6="上海银行",结果表!J56+1,结果表!J55+1))</f>
        <v>5</v>
      </c>
      <c r="K57" s="4299" t="s">
        <v>1366</v>
      </c>
      <c r="L57" s="3965" t="s">
        <v>1367</v>
      </c>
      <c r="M57" s="3966"/>
      <c r="N57" s="3967">
        <f ca="1">SUMIF(M52:M56,"&lt;9e307")</f>
        <v>0</v>
      </c>
      <c r="O57" s="3968"/>
      <c r="P57" s="2987" t="e">
        <f ca="1">N57/M49</f>
        <v>#VALUE!</v>
      </c>
    </row>
    <row r="58" spans="1:35" ht="24.75">
      <c r="A58" s="3954" t="s">
        <v>1351</v>
      </c>
      <c r="B58" s="4247" t="s">
        <v>1368</v>
      </c>
      <c r="C58" s="4238"/>
      <c r="D58" s="3582" t="e">
        <f ca="1">IF(H58="转让取得",C81,C97)</f>
        <v>#REF!</v>
      </c>
      <c r="E58" s="3544" t="s">
        <v>1363</v>
      </c>
      <c r="F58" s="3485" t="s">
        <v>28</v>
      </c>
      <c r="G58" s="3942"/>
      <c r="H58" s="3963"/>
      <c r="I58" s="3528"/>
      <c r="J58" s="4299"/>
      <c r="K58" s="4299"/>
      <c r="L58" s="3965" t="s">
        <v>1369</v>
      </c>
      <c r="M58" s="3969"/>
      <c r="N58" s="3970" t="str">
        <f ca="1">NUMBERSTRING(INT(N57*10000),2)&amp;"元整"</f>
        <v>零元整</v>
      </c>
      <c r="O58" s="3971"/>
    </row>
    <row r="59" spans="1:35" ht="24.75" thickBot="1">
      <c r="A59" s="4302" t="s">
        <v>1370</v>
      </c>
      <c r="B59" s="4303"/>
      <c r="C59" s="4303"/>
      <c r="D59" s="3972" t="e">
        <f ca="1">IF(H59="非个人房产","——",IF(H59="个人住宅（满五唯一有凭证）",0,IF(H59="个人其他（无凭证）",ROUND(D45*F59,0),ROUND(C67*F59,0))))</f>
        <v>#REF!</v>
      </c>
      <c r="E59" s="3973" t="str">
        <f>IF(H59="非个人房产","——",IF(H59="个人其他（无凭证）","销售额×税（费）率",IF(H59="个人住宅（满五唯一有凭证）","免征","差额计税")))</f>
        <v>差额计税</v>
      </c>
      <c r="F59" s="3974">
        <f>IF(OR(H59="非个人房产",H59="个人住宅（满五唯一有凭证）"),"——",IF(H59="个人其他（有凭证）",20%,1%))</f>
        <v>0.01</v>
      </c>
      <c r="G59" s="3975" t="s">
        <v>1364</v>
      </c>
      <c r="H59" s="3976"/>
      <c r="I59" s="3977" t="s">
        <v>2134</v>
      </c>
      <c r="J59" s="4300">
        <f>J57+1</f>
        <v>6</v>
      </c>
      <c r="K59" s="4299" t="s">
        <v>1371</v>
      </c>
      <c r="L59" s="3936" t="s">
        <v>1367</v>
      </c>
      <c r="M59" s="3978"/>
      <c r="N59" s="3979" t="e">
        <f ca="1">M49-N57</f>
        <v>#VALUE!</v>
      </c>
      <c r="O59" s="3980"/>
    </row>
    <row r="60" spans="1:35" ht="12" customHeight="1">
      <c r="A60" s="3981"/>
      <c r="B60" s="3012"/>
      <c r="C60" s="3012"/>
      <c r="D60" s="3012"/>
      <c r="E60" s="3602"/>
      <c r="F60" s="3528"/>
      <c r="G60" s="3528"/>
      <c r="H60" s="3982"/>
      <c r="I60" s="2987"/>
      <c r="J60" s="4301"/>
      <c r="K60" s="4299"/>
      <c r="L60" s="3965" t="s">
        <v>1369</v>
      </c>
      <c r="M60" s="3969"/>
      <c r="N60" s="3970" t="e">
        <f ca="1">NUMBERSTRING(INT(N59*10000),2)&amp;"元整"</f>
        <v>#VALUE!</v>
      </c>
      <c r="O60" s="3971"/>
    </row>
    <row r="61" spans="1:35" ht="13.5" thickBot="1">
      <c r="A61" s="4249" t="s">
        <v>1372</v>
      </c>
      <c r="B61" s="4249"/>
      <c r="C61" s="4249"/>
      <c r="D61" s="4249"/>
      <c r="E61" s="4249"/>
      <c r="F61" s="3528"/>
      <c r="G61" s="3528"/>
      <c r="H61" s="3982"/>
      <c r="I61" s="2987"/>
      <c r="J61" s="3936">
        <f>J59+1</f>
        <v>7</v>
      </c>
      <c r="K61" s="4299" t="s">
        <v>1373</v>
      </c>
      <c r="L61" s="4299"/>
      <c r="M61" s="3983"/>
      <c r="N61" s="3984" t="e">
        <f ca="1">ROUND(N59*10000/'数据-汇总表'!E3,0)</f>
        <v>#VALUE!</v>
      </c>
      <c r="O61" s="3985"/>
    </row>
    <row r="62" spans="1:35" ht="12.75">
      <c r="A62" s="4266" t="s">
        <v>1374</v>
      </c>
      <c r="B62" s="4267"/>
      <c r="C62" s="3986"/>
      <c r="D62" s="3986" t="s">
        <v>1375</v>
      </c>
      <c r="E62" s="3987" t="s">
        <v>1376</v>
      </c>
      <c r="F62" s="3528"/>
      <c r="G62" s="3528"/>
      <c r="H62" s="3982"/>
      <c r="I62" s="2987"/>
    </row>
    <row r="63" spans="1:35" ht="12.75">
      <c r="A63" s="3988" t="s">
        <v>330</v>
      </c>
      <c r="B63" s="3989" t="s">
        <v>1377</v>
      </c>
      <c r="C63" s="3989" t="e">
        <f ca="1">ROUND((C64+C65)/(1+'数据-取费表'!C42),0)</f>
        <v>#REF!</v>
      </c>
      <c r="D63" s="3989"/>
      <c r="E63" s="3990"/>
      <c r="F63" s="3528"/>
      <c r="G63" s="3528"/>
      <c r="H63" s="3982"/>
      <c r="I63" s="2987"/>
      <c r="J63" s="4323" t="s">
        <v>1378</v>
      </c>
      <c r="K63" s="3991" t="s">
        <v>1379</v>
      </c>
      <c r="L63" s="3991" t="e">
        <f>IF(M49&gt;10000,M49*0.5%,IF(AND(M49&gt;1000,M49&lt;=10000),M49*1%,IF(AND(M49&gt;100,M49&lt;=1000),M49*3%,IF(AND(M49&gt;10,M49&lt;=100),M49*5%,M49*8%))))</f>
        <v>#VALUE!</v>
      </c>
      <c r="M63" s="3485" t="e">
        <f>ROUND(L63,1)</f>
        <v>#VALUE!</v>
      </c>
      <c r="N63" s="3992"/>
      <c r="Z63" s="3871"/>
      <c r="AI63" s="3872"/>
    </row>
    <row r="64" spans="1:35" ht="14.25" customHeight="1">
      <c r="A64" s="3954" t="s">
        <v>325</v>
      </c>
      <c r="B64" s="3993" t="s">
        <v>1380</v>
      </c>
      <c r="C64" s="3993" t="e">
        <f ca="1">D45</f>
        <v>#REF!</v>
      </c>
      <c r="D64" s="3993" t="s">
        <v>26</v>
      </c>
      <c r="E64" s="3994"/>
      <c r="F64" s="3528"/>
      <c r="G64" s="3528"/>
      <c r="H64" s="3982"/>
      <c r="I64" s="2987"/>
      <c r="J64" s="4323"/>
      <c r="K64" s="3991" t="s">
        <v>1381</v>
      </c>
      <c r="L64" s="3991" t="e">
        <f>IF(M49&gt;2000,M49*0.5%,IF(AND(M49&gt;1000,M49&lt;=2000),M49*0.6%,IF(AND(M49&gt;500,M49&lt;=1000),M49*0.7%,IF(AND(M49&gt;200,M49&lt;=500),M49*0.8%,IF(AND(M49&gt;100,M49&lt;=200),M49*0.9%,IF(AND(M49&gt;50,M49&lt;=100),M49*1%,IF(AND(M49&gt;20,M49&lt;=50),M49*1.5%,IF(AND(M49&gt;10,M49&lt;=20),M49*2%,IF(AND(M49&gt;1,M49&lt;=10),M49*2.5%)))))))))</f>
        <v>#VALUE!</v>
      </c>
      <c r="M64" s="3485" t="e">
        <f t="shared" ref="M64:M65" si="1">ROUND(L64,1)</f>
        <v>#VALUE!</v>
      </c>
      <c r="N64" s="3943" t="s">
        <v>1382</v>
      </c>
      <c r="Z64" s="3871"/>
      <c r="AI64" s="3872"/>
    </row>
    <row r="65" spans="1:35" ht="14.25" customHeight="1">
      <c r="A65" s="3954" t="s">
        <v>326</v>
      </c>
      <c r="B65" s="3993" t="s">
        <v>1383</v>
      </c>
      <c r="C65" s="3995"/>
      <c r="D65" s="3993"/>
      <c r="E65" s="3994"/>
      <c r="F65" s="3528"/>
      <c r="G65" s="3528"/>
      <c r="H65" s="3982"/>
      <c r="I65" s="2987"/>
      <c r="J65" s="4323"/>
      <c r="K65" s="3991" t="s">
        <v>1384</v>
      </c>
      <c r="L65" s="3991" t="e">
        <f>IF(M49&gt;1000,M49*0.1%,IF(AND(M49&gt;500,M49&lt;=1000),M49*0.5%,IF(AND(M49&gt;50,M49&lt;=500),M49*1%,IF(AND(M49&gt;1,M49&lt;=50),M49*1.5%))))</f>
        <v>#VALUE!</v>
      </c>
      <c r="M65" s="3485" t="e">
        <f t="shared" si="1"/>
        <v>#VALUE!</v>
      </c>
      <c r="N65" s="3943" t="s">
        <v>1382</v>
      </c>
      <c r="Z65" s="3871"/>
      <c r="AI65" s="3872"/>
    </row>
    <row r="66" spans="1:35" ht="14.25" customHeight="1">
      <c r="A66" s="3988" t="s">
        <v>327</v>
      </c>
      <c r="B66" s="3996" t="s">
        <v>1385</v>
      </c>
      <c r="C66" s="3997"/>
      <c r="D66" s="3996" t="s">
        <v>26</v>
      </c>
      <c r="E66" s="3998" t="s">
        <v>671</v>
      </c>
      <c r="F66" s="3528"/>
      <c r="G66" s="3528"/>
      <c r="H66" s="3982"/>
      <c r="I66" s="2987"/>
      <c r="J66" s="4323"/>
      <c r="K66" s="3991" t="s">
        <v>1386</v>
      </c>
      <c r="L66" s="3991" t="e">
        <f>M49*0.5%</f>
        <v>#VALUE!</v>
      </c>
      <c r="M66" s="3485" t="e">
        <f>IF(L66&gt;0.5,0.5,ROUND(L66,0))</f>
        <v>#VALUE!</v>
      </c>
      <c r="N66" s="3943" t="s">
        <v>1387</v>
      </c>
      <c r="Z66" s="3871"/>
      <c r="AI66" s="3872"/>
    </row>
    <row r="67" spans="1:35" ht="14.25" customHeight="1">
      <c r="A67" s="3988" t="s">
        <v>328</v>
      </c>
      <c r="B67" s="3996" t="s">
        <v>1388</v>
      </c>
      <c r="C67" s="3996" t="e">
        <f ca="1">C63-C66</f>
        <v>#REF!</v>
      </c>
      <c r="D67" s="3993" t="s">
        <v>26</v>
      </c>
      <c r="E67" s="3994"/>
      <c r="F67" s="3528"/>
      <c r="G67" s="3528"/>
      <c r="H67" s="3982"/>
      <c r="I67" s="2987"/>
      <c r="J67" s="4323"/>
      <c r="K67" s="3991" t="s">
        <v>1389</v>
      </c>
      <c r="L67" s="3991" t="e">
        <f>IF(M49&gt;=10000,(8.25+(M49-10000)*0.01%),IF(AND(M49&gt;=8000,M49&lt;10000),(7.85+(M49-8000)*0.02%),IF(AND(M49&gt;=5000,M49&lt;8000),(6.65+(M49-5000)*0.04%),IF(AND(M49&gt;=2000,M49&lt;5000),(4.25+(PM49-2000)*0.08%),IF(AND(M49&gt;=1000,M49&lt;2000),(2.75+(M49-1000)*0.15%),IF(AND(M49&gt;=100,M49&lt;1000),(0.5+(M49-100)*0.25%),IF(AND(M49&gt;0,M49&lt;100),M49*0.5%)))))))</f>
        <v>#VALUE!</v>
      </c>
      <c r="M67" s="3485" t="e">
        <f>ROUND(L67*0.9,1)</f>
        <v>#VALUE!</v>
      </c>
      <c r="N67" s="3992"/>
      <c r="Z67" s="3871"/>
      <c r="AI67" s="3872"/>
    </row>
    <row r="68" spans="1:35" ht="14.25" customHeight="1" thickBot="1">
      <c r="A68" s="3999" t="s">
        <v>329</v>
      </c>
      <c r="B68" s="4000" t="s">
        <v>1390</v>
      </c>
      <c r="C68" s="4000" t="e">
        <f ca="1">IF(C67&lt;=0,0,ROUND(C67*D68,0))</f>
        <v>#REF!</v>
      </c>
      <c r="D68" s="4001">
        <f>'数据-取费表'!B41</f>
        <v>5.5000000000000007E-2</v>
      </c>
      <c r="E68" s="4002"/>
      <c r="F68" s="3528"/>
      <c r="G68" s="3528"/>
      <c r="H68" s="3982"/>
      <c r="I68" s="2987"/>
      <c r="J68" s="4323"/>
      <c r="K68" s="3991" t="s">
        <v>1391</v>
      </c>
      <c r="L68" s="3991" t="e">
        <f>IF(M49&gt;10000,M49*0.5%,IF(AND(M49&gt;5000,M49&lt;=10000),M49*1%,IF(AND(M49&gt;1000,M49&lt;=5000),M49*2%,IF(AND(M49&gt;200,M49&lt;=1000),M49*3%,M49*5%))))</f>
        <v>#VALUE!</v>
      </c>
      <c r="M68" s="3485" t="e">
        <f>ROUND(L68,1)</f>
        <v>#VALUE!</v>
      </c>
      <c r="N68" s="3992"/>
      <c r="Z68" s="3871"/>
      <c r="AI68" s="3872"/>
    </row>
    <row r="69" spans="1:35" s="4008" customFormat="1" ht="16.5" customHeight="1">
      <c r="A69" s="3937"/>
      <c r="B69" s="4003"/>
      <c r="C69" s="4004"/>
      <c r="D69" s="4005"/>
      <c r="E69" s="4006"/>
      <c r="F69" s="3602"/>
      <c r="G69" s="3602"/>
      <c r="H69" s="3923"/>
      <c r="I69" s="3012"/>
      <c r="J69" s="4323"/>
      <c r="K69" s="3991" t="s">
        <v>1392</v>
      </c>
      <c r="L69" s="3991"/>
      <c r="M69" s="3485" t="e">
        <f>ROUND(SUM(M63:M68),0)</f>
        <v>#VALUE!</v>
      </c>
      <c r="N69" s="4007" t="e">
        <f>M69/M49</f>
        <v>#VALUE!</v>
      </c>
      <c r="O69" s="3870"/>
      <c r="P69" s="3870"/>
      <c r="Q69" s="3870"/>
      <c r="R69" s="3870"/>
      <c r="S69" s="3870"/>
      <c r="T69" s="3870"/>
      <c r="U69" s="3870"/>
      <c r="V69" s="3870"/>
      <c r="W69" s="3870"/>
      <c r="X69" s="3870"/>
      <c r="Y69" s="3870"/>
      <c r="Z69" s="3871"/>
      <c r="AA69" s="3871"/>
      <c r="AB69" s="3871"/>
      <c r="AC69" s="3871"/>
      <c r="AD69" s="3871"/>
      <c r="AE69" s="3871"/>
      <c r="AF69" s="3871"/>
      <c r="AG69" s="3871"/>
      <c r="AH69" s="3871"/>
    </row>
    <row r="70" spans="1:35" s="4013" customFormat="1" ht="15" thickBot="1">
      <c r="A70" s="4286" t="s">
        <v>1393</v>
      </c>
      <c r="B70" s="4287"/>
      <c r="C70" s="4287"/>
      <c r="D70" s="4287"/>
      <c r="E70" s="4287"/>
      <c r="F70" s="4287"/>
      <c r="G70" s="4287"/>
      <c r="H70" s="4287"/>
      <c r="I70" s="4009"/>
      <c r="J70" s="4010"/>
      <c r="K70" s="4010"/>
      <c r="L70" s="4010"/>
      <c r="M70" s="4010"/>
      <c r="N70" s="4011"/>
      <c r="O70" s="4011"/>
      <c r="P70" s="4011"/>
      <c r="Q70" s="4011"/>
      <c r="R70" s="4011"/>
      <c r="S70" s="4011"/>
      <c r="T70" s="4011"/>
      <c r="U70" s="4011"/>
      <c r="V70" s="4011"/>
      <c r="W70" s="4011"/>
      <c r="X70" s="4011"/>
      <c r="Y70" s="4011"/>
      <c r="Z70" s="4011"/>
      <c r="AA70" s="4012"/>
      <c r="AB70" s="4012"/>
      <c r="AC70" s="4012"/>
      <c r="AD70" s="4012"/>
      <c r="AE70" s="4012"/>
      <c r="AF70" s="4012"/>
      <c r="AG70" s="4012"/>
      <c r="AH70" s="4012"/>
      <c r="AI70" s="4012"/>
    </row>
    <row r="71" spans="1:35" s="4013" customFormat="1" ht="14.25">
      <c r="A71" s="4266" t="s">
        <v>1374</v>
      </c>
      <c r="B71" s="4267"/>
      <c r="C71" s="3986"/>
      <c r="D71" s="3986" t="s">
        <v>1375</v>
      </c>
      <c r="E71" s="4014" t="s">
        <v>1376</v>
      </c>
      <c r="F71" s="4015"/>
      <c r="G71" s="4015"/>
      <c r="H71" s="4016"/>
      <c r="I71" s="4017"/>
      <c r="J71" s="4010"/>
      <c r="K71" s="4010"/>
      <c r="L71" s="4010"/>
      <c r="M71" s="4010"/>
      <c r="N71" s="4011"/>
      <c r="O71" s="4011"/>
      <c r="P71" s="4011"/>
      <c r="Q71" s="4011"/>
      <c r="R71" s="4011"/>
      <c r="S71" s="4011"/>
      <c r="T71" s="4011"/>
      <c r="U71" s="4011"/>
      <c r="V71" s="4011"/>
      <c r="W71" s="4011"/>
      <c r="X71" s="4011"/>
      <c r="Y71" s="4011"/>
      <c r="Z71" s="4011"/>
      <c r="AA71" s="4012"/>
      <c r="AB71" s="4012"/>
      <c r="AC71" s="4012"/>
      <c r="AD71" s="4012"/>
      <c r="AE71" s="4012"/>
      <c r="AF71" s="4012"/>
      <c r="AG71" s="4012"/>
      <c r="AH71" s="4012"/>
      <c r="AI71" s="4012"/>
    </row>
    <row r="72" spans="1:35" s="4013" customFormat="1" ht="14.25">
      <c r="A72" s="3988" t="s">
        <v>330</v>
      </c>
      <c r="B72" s="3996" t="s">
        <v>1394</v>
      </c>
      <c r="C72" s="3996" t="e">
        <f ca="1">ROUND(D45/(1+'数据-取费表'!C42),0)</f>
        <v>#REF!</v>
      </c>
      <c r="D72" s="3993" t="s">
        <v>26</v>
      </c>
      <c r="E72" s="4018"/>
      <c r="F72" s="4019"/>
      <c r="G72" s="4019"/>
      <c r="H72" s="4020"/>
      <c r="I72" s="4017"/>
      <c r="J72" s="4010"/>
      <c r="K72" s="4010"/>
      <c r="L72" s="4010"/>
      <c r="M72" s="4010"/>
      <c r="N72" s="4011"/>
      <c r="O72" s="4011"/>
      <c r="P72" s="4011"/>
      <c r="Q72" s="4011"/>
      <c r="R72" s="4011"/>
      <c r="S72" s="4011"/>
      <c r="T72" s="4011"/>
      <c r="U72" s="4011"/>
      <c r="V72" s="4011"/>
      <c r="W72" s="4011"/>
      <c r="X72" s="4011"/>
      <c r="Y72" s="4011"/>
      <c r="Z72" s="4011"/>
      <c r="AA72" s="4012"/>
      <c r="AB72" s="4012"/>
      <c r="AC72" s="4012"/>
      <c r="AD72" s="4012"/>
      <c r="AE72" s="4012"/>
      <c r="AF72" s="4012"/>
      <c r="AG72" s="4012"/>
      <c r="AH72" s="4012"/>
      <c r="AI72" s="4012"/>
    </row>
    <row r="73" spans="1:35" s="4013" customFormat="1" ht="14.25">
      <c r="A73" s="3988" t="s">
        <v>327</v>
      </c>
      <c r="B73" s="3941" t="s">
        <v>1395</v>
      </c>
      <c r="C73" s="3996" t="e">
        <f ca="1">C74+C78</f>
        <v>#REF!</v>
      </c>
      <c r="D73" s="3993" t="s">
        <v>26</v>
      </c>
      <c r="E73" s="4018"/>
      <c r="F73" s="4019"/>
      <c r="G73" s="4019"/>
      <c r="H73" s="4020"/>
      <c r="I73" s="4017"/>
      <c r="J73" s="4011"/>
      <c r="K73" s="4011"/>
      <c r="L73" s="4011"/>
      <c r="M73" s="4011"/>
      <c r="N73" s="4011"/>
      <c r="O73" s="4011"/>
      <c r="P73" s="4011"/>
      <c r="Q73" s="4011"/>
      <c r="R73" s="4011"/>
      <c r="S73" s="4011"/>
      <c r="T73" s="4011"/>
      <c r="U73" s="4011"/>
      <c r="V73" s="4011"/>
      <c r="W73" s="4011"/>
      <c r="X73" s="4011"/>
      <c r="Y73" s="4011"/>
      <c r="Z73" s="4011"/>
      <c r="AA73" s="4012"/>
      <c r="AB73" s="4012"/>
      <c r="AC73" s="4012"/>
      <c r="AD73" s="4012"/>
      <c r="AE73" s="4012"/>
      <c r="AF73" s="4012"/>
      <c r="AG73" s="4012"/>
      <c r="AH73" s="4012"/>
      <c r="AI73" s="4012"/>
    </row>
    <row r="74" spans="1:35" s="4013" customFormat="1" ht="24">
      <c r="A74" s="3954" t="s">
        <v>325</v>
      </c>
      <c r="B74" s="3993" t="s">
        <v>1396</v>
      </c>
      <c r="C74" s="3993">
        <f>ROUND(IF(G77="2016年5月1日后购买",C75/(1+'数据-取费表'!C42)+C76+C77,C75+C76+C77),0)</f>
        <v>0</v>
      </c>
      <c r="D74" s="3993" t="s">
        <v>26</v>
      </c>
      <c r="E74" s="4018"/>
      <c r="F74" s="4019"/>
      <c r="G74" s="4019"/>
      <c r="H74" s="4020"/>
      <c r="I74" s="4017"/>
      <c r="J74" s="4011"/>
      <c r="K74" s="4011"/>
      <c r="L74" s="4011"/>
      <c r="M74" s="4011"/>
      <c r="N74" s="4011"/>
      <c r="O74" s="4011"/>
      <c r="P74" s="4011"/>
      <c r="Q74" s="4011"/>
      <c r="R74" s="4011"/>
      <c r="S74" s="4011"/>
      <c r="T74" s="4011"/>
      <c r="U74" s="4011"/>
      <c r="V74" s="4011"/>
      <c r="W74" s="4011"/>
      <c r="X74" s="4011"/>
      <c r="Y74" s="4011"/>
      <c r="Z74" s="4011"/>
      <c r="AA74" s="4012"/>
      <c r="AB74" s="4012"/>
      <c r="AC74" s="4012"/>
      <c r="AD74" s="4012"/>
      <c r="AE74" s="4012"/>
      <c r="AF74" s="4012"/>
      <c r="AG74" s="4012"/>
      <c r="AH74" s="4012"/>
      <c r="AI74" s="4012"/>
    </row>
    <row r="75" spans="1:35" s="4013" customFormat="1" ht="14.25">
      <c r="A75" s="3954" t="s">
        <v>331</v>
      </c>
      <c r="B75" s="3993" t="s">
        <v>1397</v>
      </c>
      <c r="C75" s="3995"/>
      <c r="D75" s="3993" t="s">
        <v>26</v>
      </c>
      <c r="E75" s="4021" t="s">
        <v>1398</v>
      </c>
      <c r="F75" s="4022"/>
      <c r="G75" s="4021" t="s">
        <v>1399</v>
      </c>
      <c r="H75" s="4023"/>
      <c r="I75" s="4024"/>
      <c r="J75" s="4011"/>
      <c r="K75" s="4011"/>
      <c r="L75" s="4011"/>
      <c r="M75" s="4011"/>
      <c r="N75" s="4011"/>
      <c r="O75" s="4011"/>
      <c r="P75" s="4011"/>
      <c r="Q75" s="4011"/>
      <c r="R75" s="4011"/>
      <c r="S75" s="4011"/>
      <c r="T75" s="4011"/>
      <c r="U75" s="4011"/>
      <c r="V75" s="4011"/>
      <c r="W75" s="4011"/>
      <c r="X75" s="4011"/>
      <c r="Y75" s="4011"/>
      <c r="Z75" s="4011"/>
      <c r="AA75" s="4012"/>
      <c r="AB75" s="4012"/>
      <c r="AC75" s="4012"/>
      <c r="AD75" s="4012"/>
      <c r="AE75" s="4012"/>
      <c r="AF75" s="4012"/>
      <c r="AG75" s="4012"/>
      <c r="AH75" s="4012"/>
      <c r="AI75" s="4012"/>
    </row>
    <row r="76" spans="1:35" s="4013" customFormat="1" ht="24.75" customHeight="1">
      <c r="A76" s="3954" t="s">
        <v>332</v>
      </c>
      <c r="B76" s="4025" t="s">
        <v>1400</v>
      </c>
      <c r="C76" s="3993">
        <f>IF(F75="购房发票",ROUND(C75*H75*D76,0),0)</f>
        <v>0</v>
      </c>
      <c r="D76" s="4026">
        <v>0.05</v>
      </c>
      <c r="E76" s="4247" t="s">
        <v>1401</v>
      </c>
      <c r="F76" s="4238"/>
      <c r="G76" s="4238"/>
      <c r="H76" s="4256"/>
      <c r="I76" s="4017"/>
      <c r="J76" s="4011"/>
      <c r="K76" s="4011"/>
      <c r="L76" s="4011"/>
      <c r="M76" s="4011"/>
      <c r="N76" s="4011"/>
      <c r="O76" s="4011"/>
      <c r="P76" s="4011"/>
      <c r="Q76" s="4011"/>
      <c r="R76" s="4011"/>
      <c r="S76" s="4011"/>
      <c r="T76" s="4011"/>
      <c r="U76" s="4011"/>
      <c r="V76" s="4011"/>
      <c r="W76" s="4011"/>
      <c r="X76" s="4011"/>
      <c r="Y76" s="4011"/>
      <c r="Z76" s="4011"/>
      <c r="AA76" s="4012"/>
      <c r="AB76" s="4012"/>
      <c r="AC76" s="4012"/>
      <c r="AD76" s="4012"/>
      <c r="AE76" s="4012"/>
      <c r="AF76" s="4012"/>
      <c r="AG76" s="4012"/>
      <c r="AH76" s="4012"/>
      <c r="AI76" s="4012"/>
    </row>
    <row r="77" spans="1:35" s="4013" customFormat="1" ht="24.75" customHeight="1">
      <c r="A77" s="3954" t="s">
        <v>333</v>
      </c>
      <c r="B77" s="3993" t="s">
        <v>1402</v>
      </c>
      <c r="C77" s="3993">
        <f>ROUND(IF(G77="个人住宅",0,IF(G77="2016年5月1日前购买",C75*D77,C75*D77/(1+'数据-取费表'!C42))),0)</f>
        <v>0</v>
      </c>
      <c r="D77" s="3993">
        <f>'数据-取费表'!B48+'数据-取费表'!B49</f>
        <v>3.0499999999999999E-2</v>
      </c>
      <c r="E77" s="3582" t="s">
        <v>1403</v>
      </c>
      <c r="F77" s="4027"/>
      <c r="G77" s="4028"/>
      <c r="H77" s="4029" t="str">
        <f>IF(G77="个人买卖住房","免征印花税"," ")</f>
        <v xml:space="preserve"> </v>
      </c>
      <c r="I77" s="4017"/>
      <c r="J77" s="4011"/>
      <c r="K77" s="4011"/>
      <c r="L77" s="4011"/>
      <c r="M77" s="4011"/>
      <c r="N77" s="4011"/>
      <c r="O77" s="4011"/>
      <c r="P77" s="4011"/>
      <c r="Q77" s="4011"/>
      <c r="R77" s="4011"/>
      <c r="S77" s="4011"/>
      <c r="T77" s="4011"/>
      <c r="U77" s="4011"/>
      <c r="V77" s="4011"/>
      <c r="W77" s="4011"/>
      <c r="X77" s="4011"/>
      <c r="Y77" s="4011"/>
      <c r="Z77" s="4011"/>
      <c r="AA77" s="4012"/>
      <c r="AB77" s="4012"/>
      <c r="AC77" s="4012"/>
      <c r="AD77" s="4012"/>
      <c r="AE77" s="4012"/>
      <c r="AF77" s="4012"/>
      <c r="AG77" s="4012"/>
      <c r="AH77" s="4012"/>
      <c r="AI77" s="4012"/>
    </row>
    <row r="78" spans="1:35" s="4013" customFormat="1" ht="24.75" customHeight="1">
      <c r="A78" s="3954" t="s">
        <v>326</v>
      </c>
      <c r="B78" s="3993" t="s">
        <v>1404</v>
      </c>
      <c r="C78" s="3993" t="e">
        <f ca="1">ROUND(D45*D78/(1+'数据-取费表'!C42),0)</f>
        <v>#REF!</v>
      </c>
      <c r="D78" s="4030">
        <f>'数据-取费表'!B43</f>
        <v>5.000000000000001E-3</v>
      </c>
      <c r="E78" s="4247" t="s">
        <v>1405</v>
      </c>
      <c r="F78" s="4238"/>
      <c r="G78" s="4238"/>
      <c r="H78" s="4256"/>
      <c r="I78" s="4031"/>
      <c r="J78" s="4011"/>
      <c r="K78" s="4011"/>
      <c r="L78" s="4011"/>
      <c r="M78" s="4011"/>
      <c r="N78" s="4011"/>
      <c r="O78" s="4011"/>
      <c r="P78" s="4011"/>
      <c r="Q78" s="4011"/>
      <c r="R78" s="4011"/>
      <c r="S78" s="4011"/>
      <c r="T78" s="4011"/>
      <c r="U78" s="4011"/>
      <c r="V78" s="4011"/>
      <c r="W78" s="4011"/>
      <c r="X78" s="4011"/>
      <c r="Y78" s="4011"/>
      <c r="Z78" s="4011"/>
      <c r="AA78" s="4012"/>
      <c r="AB78" s="4012"/>
      <c r="AC78" s="4012"/>
      <c r="AD78" s="4012"/>
      <c r="AE78" s="4012"/>
      <c r="AF78" s="4012"/>
      <c r="AG78" s="4012"/>
      <c r="AH78" s="4012"/>
      <c r="AI78" s="4012"/>
    </row>
    <row r="79" spans="1:35" s="4013" customFormat="1" ht="14.25">
      <c r="A79" s="3988" t="s">
        <v>334</v>
      </c>
      <c r="B79" s="3996" t="s">
        <v>1406</v>
      </c>
      <c r="C79" s="3996" t="e">
        <f ca="1">C72-C73</f>
        <v>#REF!</v>
      </c>
      <c r="D79" s="3993" t="s">
        <v>26</v>
      </c>
      <c r="E79" s="4018"/>
      <c r="F79" s="4019"/>
      <c r="G79" s="4019"/>
      <c r="H79" s="4020"/>
      <c r="I79" s="4017"/>
      <c r="J79" s="4011"/>
      <c r="K79" s="4011"/>
      <c r="L79" s="4011"/>
      <c r="M79" s="4011"/>
      <c r="N79" s="4011"/>
      <c r="O79" s="4011"/>
      <c r="P79" s="4011"/>
      <c r="Q79" s="4011"/>
      <c r="R79" s="4011"/>
      <c r="S79" s="4011"/>
      <c r="T79" s="4011"/>
      <c r="U79" s="4011"/>
      <c r="V79" s="4011"/>
      <c r="W79" s="4011"/>
      <c r="X79" s="4011"/>
      <c r="Y79" s="4011"/>
      <c r="Z79" s="4011"/>
      <c r="AA79" s="4012"/>
      <c r="AB79" s="4012"/>
      <c r="AC79" s="4012"/>
      <c r="AD79" s="4012"/>
      <c r="AE79" s="4012"/>
      <c r="AF79" s="4012"/>
      <c r="AG79" s="4012"/>
      <c r="AH79" s="4012"/>
      <c r="AI79" s="4012"/>
    </row>
    <row r="80" spans="1:35" s="4013" customFormat="1" ht="24">
      <c r="A80" s="3988" t="s">
        <v>335</v>
      </c>
      <c r="B80" s="3996" t="s">
        <v>1407</v>
      </c>
      <c r="C80" s="3996" t="e">
        <f ca="1">IF(C79&lt;=0,0,C79/C73)</f>
        <v>#REF!</v>
      </c>
      <c r="D80" s="3993" t="s">
        <v>26</v>
      </c>
      <c r="E80" s="3582" t="e">
        <f ca="1">IF(C80&gt;=200%,"增值额超过扣除项目金额200%",IF(C80&gt;=100%,"增值额超过扣除项目金额100%，未超过200%",IF(C80&gt;=50%,"增值额超过扣除项目金额50%，未超过100%",IF(C80&lt;50%,"增值额未超过扣除项目金额50%"))))</f>
        <v>#REF!</v>
      </c>
      <c r="F80" s="4019"/>
      <c r="G80" s="4019"/>
      <c r="H80" s="4020"/>
      <c r="I80" s="4017"/>
      <c r="J80" s="4011"/>
      <c r="K80" s="4011"/>
      <c r="L80" s="4011"/>
      <c r="M80" s="4011"/>
      <c r="N80" s="4011"/>
      <c r="O80" s="4011"/>
      <c r="P80" s="4011"/>
      <c r="Q80" s="4011"/>
      <c r="R80" s="4011"/>
      <c r="S80" s="4011"/>
      <c r="T80" s="4011"/>
      <c r="U80" s="4011"/>
      <c r="V80" s="4011"/>
      <c r="W80" s="4011"/>
      <c r="X80" s="4011"/>
      <c r="Y80" s="4011"/>
      <c r="Z80" s="4011"/>
      <c r="AA80" s="4012"/>
      <c r="AB80" s="4012"/>
      <c r="AC80" s="4012"/>
      <c r="AD80" s="4012"/>
      <c r="AE80" s="4012"/>
      <c r="AF80" s="4012"/>
      <c r="AG80" s="4012"/>
      <c r="AH80" s="4012"/>
      <c r="AI80" s="4012"/>
    </row>
    <row r="81" spans="1:35" s="4013" customFormat="1" ht="24.75" thickBot="1">
      <c r="A81" s="3999" t="s">
        <v>336</v>
      </c>
      <c r="B81" s="4000" t="s">
        <v>1408</v>
      </c>
      <c r="C81" s="4032" t="e">
        <f ca="1">ROUND(IF(C79&lt;=0,0,IF(C80&gt;=200%,C79*60%-C73*35%,IF(C80&gt;=100%,C79*50%-C73*15%,IF(C80&gt;=50%,C79*40%-C73*5%,IF(C80&lt;50%,C79*30%,0))))),0)</f>
        <v>#REF!</v>
      </c>
      <c r="D81" s="4001" t="s">
        <v>26</v>
      </c>
      <c r="E81" s="403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4"/>
      <c r="G81" s="4034"/>
      <c r="H81" s="4035"/>
      <c r="I81" s="4017"/>
      <c r="J81" s="4011"/>
      <c r="K81" s="4011"/>
      <c r="L81" s="4011"/>
      <c r="M81" s="4011"/>
      <c r="N81" s="4011"/>
      <c r="O81" s="4011"/>
      <c r="P81" s="4011"/>
      <c r="Q81" s="4011"/>
      <c r="R81" s="4011"/>
      <c r="S81" s="4011"/>
      <c r="T81" s="4011"/>
      <c r="U81" s="4011"/>
      <c r="V81" s="4011"/>
      <c r="W81" s="4011"/>
      <c r="X81" s="4011"/>
      <c r="Y81" s="4011"/>
      <c r="Z81" s="4011"/>
      <c r="AA81" s="4012"/>
      <c r="AB81" s="4012"/>
      <c r="AC81" s="4012"/>
      <c r="AD81" s="4012"/>
      <c r="AE81" s="4012"/>
      <c r="AF81" s="4012"/>
      <c r="AG81" s="4012"/>
      <c r="AH81" s="4012"/>
      <c r="AI81" s="4012"/>
    </row>
    <row r="82" spans="1:35" s="4013" customFormat="1" ht="7.5" customHeight="1">
      <c r="A82" s="4036"/>
      <c r="B82" s="4037"/>
      <c r="C82" s="4038"/>
      <c r="D82" s="4038"/>
      <c r="E82" s="4037"/>
      <c r="F82" s="4037"/>
      <c r="G82" s="4037"/>
      <c r="H82" s="4039"/>
      <c r="I82" s="4031"/>
      <c r="J82" s="4011"/>
      <c r="K82" s="4011"/>
      <c r="L82" s="4011"/>
      <c r="M82" s="4011"/>
      <c r="N82" s="4011"/>
      <c r="O82" s="4011"/>
      <c r="P82" s="4011"/>
      <c r="Q82" s="4011"/>
      <c r="R82" s="4011"/>
      <c r="S82" s="4011"/>
      <c r="T82" s="4011"/>
      <c r="U82" s="4011"/>
      <c r="V82" s="4011"/>
      <c r="W82" s="4011"/>
      <c r="X82" s="4011"/>
      <c r="Y82" s="4011"/>
      <c r="Z82" s="4011"/>
      <c r="AA82" s="4012"/>
      <c r="AB82" s="4012"/>
      <c r="AC82" s="4012"/>
      <c r="AD82" s="4012"/>
      <c r="AE82" s="4012"/>
      <c r="AF82" s="4012"/>
      <c r="AG82" s="4012"/>
      <c r="AH82" s="4012"/>
      <c r="AI82" s="4012"/>
    </row>
    <row r="83" spans="1:35" s="4013" customFormat="1" ht="15" thickBot="1">
      <c r="A83" s="4286" t="s">
        <v>1409</v>
      </c>
      <c r="B83" s="4287"/>
      <c r="C83" s="4287"/>
      <c r="D83" s="4287"/>
      <c r="E83" s="4287"/>
      <c r="F83" s="4287"/>
      <c r="G83" s="4287"/>
      <c r="H83" s="4287"/>
      <c r="I83" s="4024"/>
      <c r="J83" s="4011"/>
      <c r="K83" s="4011"/>
      <c r="L83" s="4011"/>
      <c r="M83" s="4011"/>
      <c r="N83" s="4011"/>
      <c r="O83" s="4011"/>
      <c r="P83" s="4011"/>
      <c r="Q83" s="4011"/>
      <c r="R83" s="4011"/>
      <c r="S83" s="4011"/>
      <c r="T83" s="4011"/>
      <c r="U83" s="4011"/>
      <c r="V83" s="4011"/>
      <c r="W83" s="4011"/>
      <c r="X83" s="4011"/>
      <c r="Y83" s="4011"/>
      <c r="Z83" s="4011"/>
      <c r="AA83" s="4012"/>
      <c r="AB83" s="4012"/>
      <c r="AC83" s="4012"/>
      <c r="AD83" s="4012"/>
      <c r="AE83" s="4012"/>
      <c r="AF83" s="4012"/>
      <c r="AG83" s="4012"/>
      <c r="AH83" s="4012"/>
      <c r="AI83" s="4012"/>
    </row>
    <row r="84" spans="1:35" s="4013" customFormat="1" ht="14.25">
      <c r="A84" s="4266" t="s">
        <v>1374</v>
      </c>
      <c r="B84" s="4267"/>
      <c r="C84" s="3986"/>
      <c r="D84" s="3986" t="s">
        <v>1375</v>
      </c>
      <c r="E84" s="4014" t="s">
        <v>1376</v>
      </c>
      <c r="F84" s="4015"/>
      <c r="G84" s="4015"/>
      <c r="H84" s="4040"/>
      <c r="I84" s="4024"/>
      <c r="J84" s="4011"/>
      <c r="K84" s="4011"/>
      <c r="L84" s="4011"/>
      <c r="M84" s="4011"/>
      <c r="N84" s="4011"/>
      <c r="O84" s="4011"/>
      <c r="P84" s="4011"/>
      <c r="Q84" s="4011"/>
      <c r="R84" s="4011"/>
      <c r="S84" s="4011"/>
      <c r="T84" s="4011"/>
      <c r="U84" s="4011"/>
      <c r="V84" s="4011"/>
      <c r="W84" s="4011"/>
      <c r="X84" s="4011"/>
      <c r="Y84" s="4011"/>
      <c r="Z84" s="4011"/>
      <c r="AA84" s="4012"/>
      <c r="AB84" s="4012"/>
      <c r="AC84" s="4012"/>
      <c r="AD84" s="4012"/>
      <c r="AE84" s="4012"/>
      <c r="AF84" s="4012"/>
      <c r="AG84" s="4012"/>
      <c r="AH84" s="4012"/>
      <c r="AI84" s="4012"/>
    </row>
    <row r="85" spans="1:35" s="4013" customFormat="1" ht="14.25">
      <c r="A85" s="3988" t="s">
        <v>330</v>
      </c>
      <c r="B85" s="3996" t="s">
        <v>1394</v>
      </c>
      <c r="C85" s="3996" t="e">
        <f ca="1">ROUND(D45/(1+'数据-取费表'!C42),0)</f>
        <v>#REF!</v>
      </c>
      <c r="D85" s="3993" t="s">
        <v>26</v>
      </c>
      <c r="E85" s="4018"/>
      <c r="F85" s="4019"/>
      <c r="G85" s="4019"/>
      <c r="H85" s="4041"/>
      <c r="I85" s="4024"/>
      <c r="J85" s="4011"/>
      <c r="K85" s="4011"/>
      <c r="L85" s="4011"/>
      <c r="M85" s="4011"/>
      <c r="N85" s="4011"/>
      <c r="O85" s="4011"/>
      <c r="P85" s="4011"/>
      <c r="Q85" s="4011"/>
      <c r="R85" s="4011"/>
      <c r="S85" s="4011"/>
      <c r="T85" s="4011"/>
      <c r="U85" s="4011"/>
      <c r="V85" s="4011"/>
      <c r="W85" s="4011"/>
      <c r="X85" s="4011"/>
      <c r="Y85" s="4011"/>
      <c r="Z85" s="4011"/>
      <c r="AA85" s="4012"/>
      <c r="AB85" s="4012"/>
      <c r="AC85" s="4012"/>
      <c r="AD85" s="4012"/>
      <c r="AE85" s="4012"/>
      <c r="AF85" s="4012"/>
      <c r="AG85" s="4012"/>
      <c r="AH85" s="4012"/>
      <c r="AI85" s="4012"/>
    </row>
    <row r="86" spans="1:35" s="4013" customFormat="1" ht="14.25">
      <c r="A86" s="3988" t="s">
        <v>327</v>
      </c>
      <c r="B86" s="3941" t="s">
        <v>1395</v>
      </c>
      <c r="C86" s="3996" t="e">
        <f ca="1">IF(H88="仅含出让金",C87+C90+C91+C92+C93+C94,C87+C91+C92+C93+C94)</f>
        <v>#REF!</v>
      </c>
      <c r="D86" s="4042"/>
      <c r="E86" s="4018"/>
      <c r="F86" s="4019"/>
      <c r="G86" s="4019"/>
      <c r="H86" s="4041"/>
      <c r="I86" s="4024"/>
      <c r="J86" s="4011"/>
      <c r="K86" s="4011"/>
      <c r="L86" s="4011"/>
      <c r="M86" s="4011"/>
      <c r="N86" s="4011"/>
      <c r="O86" s="4011"/>
      <c r="P86" s="4011"/>
      <c r="Q86" s="4011"/>
      <c r="R86" s="4011"/>
      <c r="S86" s="4011"/>
      <c r="T86" s="4011"/>
      <c r="U86" s="4011"/>
      <c r="V86" s="4011"/>
      <c r="W86" s="4011"/>
      <c r="X86" s="4011"/>
      <c r="Y86" s="4011"/>
      <c r="Z86" s="4011"/>
      <c r="AA86" s="4012"/>
      <c r="AB86" s="4012"/>
      <c r="AC86" s="4012"/>
      <c r="AD86" s="4012"/>
      <c r="AE86" s="4012"/>
      <c r="AF86" s="4012"/>
      <c r="AG86" s="4012"/>
      <c r="AH86" s="4012"/>
      <c r="AI86" s="4012"/>
    </row>
    <row r="87" spans="1:35" s="4013" customFormat="1" ht="14.25">
      <c r="A87" s="3954" t="s">
        <v>325</v>
      </c>
      <c r="B87" s="3993" t="s">
        <v>1410</v>
      </c>
      <c r="C87" s="3993">
        <f>C88+C89</f>
        <v>0</v>
      </c>
      <c r="D87" s="4030"/>
      <c r="E87" s="4018"/>
      <c r="F87" s="4019"/>
      <c r="G87" s="4019"/>
      <c r="H87" s="4029"/>
      <c r="I87" s="4024"/>
      <c r="J87" s="4011"/>
      <c r="K87" s="4011"/>
      <c r="L87" s="4011"/>
      <c r="M87" s="4011"/>
      <c r="N87" s="4011"/>
      <c r="O87" s="4011"/>
      <c r="P87" s="4011"/>
      <c r="Q87" s="4011"/>
      <c r="R87" s="4011"/>
      <c r="S87" s="4011"/>
      <c r="T87" s="4011"/>
      <c r="U87" s="4011"/>
      <c r="V87" s="4011"/>
      <c r="W87" s="4011"/>
      <c r="X87" s="4011"/>
      <c r="Y87" s="4011"/>
      <c r="Z87" s="4011"/>
      <c r="AA87" s="4012"/>
      <c r="AB87" s="4012"/>
      <c r="AC87" s="4012"/>
      <c r="AD87" s="4012"/>
      <c r="AE87" s="4012"/>
      <c r="AF87" s="4012"/>
      <c r="AG87" s="4012"/>
      <c r="AH87" s="4012"/>
      <c r="AI87" s="4012"/>
    </row>
    <row r="88" spans="1:35" s="4013" customFormat="1" ht="14.25">
      <c r="A88" s="3954" t="s">
        <v>331</v>
      </c>
      <c r="B88" s="3993" t="s">
        <v>1411</v>
      </c>
      <c r="C88" s="3995"/>
      <c r="D88" s="4030"/>
      <c r="E88" s="3582" t="s">
        <v>1412</v>
      </c>
      <c r="F88" s="4019"/>
      <c r="G88" s="4043" t="s">
        <v>1413</v>
      </c>
      <c r="H88" s="4044"/>
      <c r="I88" s="4024"/>
      <c r="J88" s="4045" t="s">
        <v>2281</v>
      </c>
      <c r="K88" s="4011"/>
      <c r="L88" s="4011"/>
      <c r="M88" s="4011"/>
      <c r="N88" s="4011"/>
      <c r="O88" s="4011"/>
      <c r="P88" s="4011"/>
      <c r="Q88" s="4011"/>
      <c r="R88" s="4011"/>
      <c r="S88" s="4011"/>
      <c r="T88" s="4011"/>
      <c r="U88" s="4011"/>
      <c r="V88" s="4011"/>
      <c r="W88" s="4011"/>
      <c r="X88" s="4011"/>
      <c r="Y88" s="4011"/>
      <c r="Z88" s="4011"/>
      <c r="AA88" s="4012"/>
      <c r="AB88" s="4012"/>
      <c r="AC88" s="4012"/>
      <c r="AD88" s="4012"/>
      <c r="AE88" s="4012"/>
      <c r="AF88" s="4012"/>
      <c r="AG88" s="4012"/>
      <c r="AH88" s="4012"/>
      <c r="AI88" s="4012"/>
    </row>
    <row r="89" spans="1:35" s="4013" customFormat="1" ht="14.25">
      <c r="A89" s="3954" t="s">
        <v>332</v>
      </c>
      <c r="B89" s="3993" t="s">
        <v>1402</v>
      </c>
      <c r="C89" s="3993">
        <f>ROUND(C88*D89,0)</f>
        <v>0</v>
      </c>
      <c r="D89" s="4030">
        <f>'数据-取费表'!B48+'数据-取费表'!B49</f>
        <v>3.0499999999999999E-2</v>
      </c>
      <c r="E89" s="3582" t="s">
        <v>1414</v>
      </c>
      <c r="F89" s="4019"/>
      <c r="G89" s="4019"/>
      <c r="H89" s="4029"/>
      <c r="I89" s="4024"/>
      <c r="J89" s="4011"/>
      <c r="K89" s="4011"/>
      <c r="L89" s="4011"/>
      <c r="M89" s="4011"/>
      <c r="N89" s="4011"/>
      <c r="O89" s="4011"/>
      <c r="P89" s="4011"/>
      <c r="Q89" s="4011"/>
      <c r="R89" s="4011"/>
      <c r="S89" s="4011"/>
      <c r="T89" s="4011"/>
      <c r="U89" s="4011"/>
      <c r="V89" s="4011"/>
      <c r="W89" s="4011"/>
      <c r="X89" s="4011"/>
      <c r="Y89" s="4011"/>
      <c r="Z89" s="4011"/>
      <c r="AA89" s="4012"/>
      <c r="AB89" s="4012"/>
      <c r="AC89" s="4012"/>
      <c r="AD89" s="4012"/>
      <c r="AE89" s="4012"/>
      <c r="AF89" s="4012"/>
      <c r="AG89" s="4012"/>
      <c r="AH89" s="4012"/>
      <c r="AI89" s="4012"/>
    </row>
    <row r="90" spans="1:35" s="4013" customFormat="1" ht="14.25">
      <c r="A90" s="3954" t="s">
        <v>326</v>
      </c>
      <c r="B90" s="3993" t="s">
        <v>1415</v>
      </c>
      <c r="C90" s="3995"/>
      <c r="D90" s="4030"/>
      <c r="E90" s="3582" t="str">
        <f>IF(H88="-","土地取得成本中已包含该笔费用"," ")</f>
        <v xml:space="preserve"> </v>
      </c>
      <c r="F90" s="4019"/>
      <c r="G90" s="4325" t="s">
        <v>2126</v>
      </c>
      <c r="H90" s="4252"/>
      <c r="I90" s="4024"/>
      <c r="J90" s="4045" t="s">
        <v>2282</v>
      </c>
      <c r="K90" s="4011"/>
      <c r="L90" s="4011"/>
      <c r="M90" s="4011"/>
      <c r="N90" s="4011"/>
      <c r="O90" s="4011"/>
      <c r="P90" s="4011"/>
      <c r="Q90" s="4011"/>
      <c r="R90" s="4011"/>
      <c r="S90" s="4011"/>
      <c r="T90" s="4011"/>
      <c r="U90" s="4011"/>
      <c r="V90" s="4011"/>
      <c r="W90" s="4011"/>
      <c r="X90" s="4011"/>
      <c r="Y90" s="4011"/>
      <c r="Z90" s="4011"/>
      <c r="AA90" s="4012"/>
      <c r="AB90" s="4012"/>
      <c r="AC90" s="4012"/>
      <c r="AD90" s="4012"/>
      <c r="AE90" s="4012"/>
      <c r="AF90" s="4012"/>
      <c r="AG90" s="4012"/>
      <c r="AH90" s="4012"/>
      <c r="AI90" s="4012"/>
    </row>
    <row r="91" spans="1:35" s="4013" customFormat="1" ht="27.75" customHeight="1">
      <c r="A91" s="3954" t="s">
        <v>1416</v>
      </c>
      <c r="B91" s="3993" t="s">
        <v>1417</v>
      </c>
      <c r="C91" s="3993">
        <f>IF(H91="——",成本法!C33,I91)</f>
        <v>0</v>
      </c>
      <c r="D91" s="4030"/>
      <c r="E91" s="4247" t="s">
        <v>1418</v>
      </c>
      <c r="F91" s="4238"/>
      <c r="G91" s="4238"/>
      <c r="H91" s="4046"/>
      <c r="I91" s="4047"/>
      <c r="J91" s="4011"/>
      <c r="K91" s="4011"/>
      <c r="L91" s="4011"/>
      <c r="M91" s="4011"/>
      <c r="N91" s="4011"/>
      <c r="O91" s="4011"/>
      <c r="P91" s="4011"/>
      <c r="Q91" s="4011"/>
      <c r="R91" s="4011"/>
      <c r="S91" s="4011"/>
      <c r="T91" s="4011"/>
      <c r="U91" s="4011"/>
      <c r="V91" s="4011"/>
      <c r="W91" s="4011"/>
      <c r="X91" s="4011"/>
      <c r="Y91" s="4011"/>
      <c r="Z91" s="4011"/>
      <c r="AA91" s="4012"/>
      <c r="AB91" s="4012"/>
      <c r="AC91" s="4012"/>
      <c r="AD91" s="4012"/>
      <c r="AE91" s="4012"/>
      <c r="AF91" s="4012"/>
      <c r="AG91" s="4012"/>
      <c r="AH91" s="4012"/>
      <c r="AI91" s="4012"/>
    </row>
    <row r="92" spans="1:35" s="4013" customFormat="1" ht="25.5" customHeight="1">
      <c r="A92" s="3954" t="s">
        <v>1419</v>
      </c>
      <c r="B92" s="3993" t="s">
        <v>1420</v>
      </c>
      <c r="C92" s="3993">
        <f>ROUND((C87+C90+C91)*D92,0)</f>
        <v>0</v>
      </c>
      <c r="D92" s="4048"/>
      <c r="E92" s="4247" t="s">
        <v>1421</v>
      </c>
      <c r="F92" s="4238"/>
      <c r="G92" s="4238"/>
      <c r="H92" s="4256"/>
      <c r="I92" s="4024"/>
      <c r="J92" s="4049" t="s">
        <v>2283</v>
      </c>
      <c r="K92" s="4011"/>
      <c r="L92" s="4011"/>
      <c r="M92" s="4011"/>
      <c r="N92" s="4011"/>
      <c r="O92" s="4011"/>
      <c r="P92" s="4011"/>
      <c r="Q92" s="4011"/>
      <c r="R92" s="4011"/>
      <c r="S92" s="4011"/>
      <c r="T92" s="4011"/>
      <c r="U92" s="4011"/>
      <c r="V92" s="4011"/>
      <c r="W92" s="4011"/>
      <c r="X92" s="4011"/>
      <c r="Y92" s="4011"/>
      <c r="Z92" s="4011"/>
      <c r="AA92" s="4012"/>
      <c r="AB92" s="4012"/>
      <c r="AC92" s="4012"/>
      <c r="AD92" s="4012"/>
      <c r="AE92" s="4012"/>
      <c r="AF92" s="4012"/>
      <c r="AG92" s="4012"/>
      <c r="AH92" s="4012"/>
      <c r="AI92" s="4012"/>
    </row>
    <row r="93" spans="1:35" s="4013" customFormat="1" ht="25.5" customHeight="1">
      <c r="A93" s="3954" t="s">
        <v>1422</v>
      </c>
      <c r="B93" s="3993" t="s">
        <v>1404</v>
      </c>
      <c r="C93" s="3993" t="e">
        <f ca="1">ROUND(D45*D93/(1+'数据-取费表'!C42),0)</f>
        <v>#REF!</v>
      </c>
      <c r="D93" s="4030">
        <f>'数据-取费表'!B43</f>
        <v>5.000000000000001E-3</v>
      </c>
      <c r="E93" s="4247" t="s">
        <v>1405</v>
      </c>
      <c r="F93" s="4238"/>
      <c r="G93" s="4238"/>
      <c r="H93" s="4256"/>
      <c r="I93" s="4024"/>
      <c r="J93" s="4011"/>
      <c r="K93" s="4011"/>
      <c r="L93" s="4011"/>
      <c r="M93" s="4011"/>
      <c r="N93" s="4011"/>
      <c r="O93" s="4011"/>
      <c r="P93" s="4011"/>
      <c r="Q93" s="4011"/>
      <c r="R93" s="4011"/>
      <c r="S93" s="4011"/>
      <c r="T93" s="4011"/>
      <c r="U93" s="4011"/>
      <c r="V93" s="4011"/>
      <c r="W93" s="4011"/>
      <c r="X93" s="4011"/>
      <c r="Y93" s="4011"/>
      <c r="Z93" s="4011"/>
      <c r="AA93" s="4012"/>
      <c r="AB93" s="4012"/>
      <c r="AC93" s="4012"/>
      <c r="AD93" s="4012"/>
      <c r="AE93" s="4012"/>
      <c r="AF93" s="4012"/>
      <c r="AG93" s="4012"/>
      <c r="AH93" s="4012"/>
      <c r="AI93" s="4012"/>
    </row>
    <row r="94" spans="1:35" s="4013" customFormat="1" ht="36.75" customHeight="1">
      <c r="A94" s="3954" t="s">
        <v>1423</v>
      </c>
      <c r="B94" s="3993" t="s">
        <v>1424</v>
      </c>
      <c r="C94" s="3995">
        <f>ROUND((C87+C90+C91)*D94,0)</f>
        <v>0</v>
      </c>
      <c r="D94" s="4030">
        <v>0.2</v>
      </c>
      <c r="E94" s="4257" t="s">
        <v>1425</v>
      </c>
      <c r="F94" s="4258"/>
      <c r="G94" s="4258"/>
      <c r="H94" s="4259"/>
      <c r="I94" s="4024"/>
      <c r="J94" s="4011"/>
      <c r="K94" s="4011"/>
      <c r="L94" s="4011"/>
      <c r="M94" s="4011"/>
      <c r="N94" s="4011"/>
      <c r="O94" s="4011"/>
      <c r="P94" s="4011"/>
      <c r="Q94" s="4011"/>
      <c r="R94" s="4011"/>
      <c r="S94" s="4011"/>
      <c r="T94" s="4011"/>
      <c r="U94" s="4011"/>
      <c r="V94" s="4011"/>
      <c r="W94" s="4011"/>
      <c r="X94" s="4011"/>
      <c r="Y94" s="4011"/>
      <c r="Z94" s="4011"/>
      <c r="AA94" s="4012"/>
      <c r="AB94" s="4012"/>
      <c r="AC94" s="4012"/>
      <c r="AD94" s="4012"/>
      <c r="AE94" s="4012"/>
      <c r="AF94" s="4012"/>
      <c r="AG94" s="4012"/>
      <c r="AH94" s="4012"/>
      <c r="AI94" s="4012"/>
    </row>
    <row r="95" spans="1:35" s="4013" customFormat="1" ht="14.25">
      <c r="A95" s="3988" t="s">
        <v>334</v>
      </c>
      <c r="B95" s="3996" t="s">
        <v>1406</v>
      </c>
      <c r="C95" s="3996" t="e">
        <f ca="1">ROUND(C85-C86,0)</f>
        <v>#REF!</v>
      </c>
      <c r="D95" s="3993" t="s">
        <v>26</v>
      </c>
      <c r="E95" s="4018"/>
      <c r="F95" s="4019"/>
      <c r="G95" s="4019"/>
      <c r="H95" s="4041"/>
      <c r="I95" s="4024"/>
      <c r="J95" s="4011"/>
      <c r="K95" s="4011"/>
      <c r="L95" s="4011"/>
      <c r="M95" s="4011"/>
      <c r="N95" s="4011"/>
      <c r="O95" s="4011"/>
      <c r="P95" s="4011"/>
      <c r="Q95" s="4011"/>
      <c r="R95" s="4011"/>
      <c r="S95" s="4011"/>
      <c r="T95" s="4011"/>
      <c r="U95" s="4011"/>
      <c r="V95" s="4011"/>
      <c r="W95" s="4011"/>
      <c r="X95" s="4011"/>
      <c r="Y95" s="4011"/>
      <c r="Z95" s="4011"/>
      <c r="AA95" s="4012"/>
      <c r="AB95" s="4012"/>
      <c r="AC95" s="4012"/>
      <c r="AD95" s="4012"/>
      <c r="AE95" s="4012"/>
      <c r="AF95" s="4012"/>
      <c r="AG95" s="4012"/>
      <c r="AH95" s="4012"/>
      <c r="AI95" s="4012"/>
    </row>
    <row r="96" spans="1:35" s="4013" customFormat="1" ht="24">
      <c r="A96" s="3988" t="s">
        <v>335</v>
      </c>
      <c r="B96" s="3996" t="s">
        <v>1407</v>
      </c>
      <c r="C96" s="3996" t="e">
        <f ca="1">IF(C95&lt;=0,0,C95/C86)</f>
        <v>#REF!</v>
      </c>
      <c r="D96" s="3993" t="s">
        <v>26</v>
      </c>
      <c r="E96" s="3582" t="e">
        <f ca="1">IF(C96&gt;=200%,"增值额超过扣除项目金额200%",IF(C96&gt;=100%,"增值额超过扣除项目金额100%，未超过200%",IF(C96&gt;=50%,"增值额超过扣除项目金额50%，未超过100%",IF(C96&lt;50%,"增值额未超过扣除项目金额50%"))))</f>
        <v>#REF!</v>
      </c>
      <c r="F96" s="4019"/>
      <c r="G96" s="4019"/>
      <c r="H96" s="4041"/>
      <c r="I96" s="4024"/>
      <c r="J96" s="4011"/>
      <c r="K96" s="4011"/>
      <c r="L96" s="4011"/>
      <c r="M96" s="4011"/>
      <c r="N96" s="4011"/>
      <c r="O96" s="4011"/>
      <c r="P96" s="4011"/>
      <c r="Q96" s="4011"/>
      <c r="R96" s="4011"/>
      <c r="S96" s="4011"/>
      <c r="T96" s="4011"/>
      <c r="U96" s="4011"/>
      <c r="V96" s="4011"/>
      <c r="W96" s="4011"/>
      <c r="X96" s="4011"/>
      <c r="Y96" s="4011"/>
      <c r="Z96" s="4011"/>
      <c r="AA96" s="4012"/>
      <c r="AB96" s="4012"/>
      <c r="AC96" s="4012"/>
      <c r="AD96" s="4012"/>
      <c r="AE96" s="4012"/>
      <c r="AF96" s="4012"/>
      <c r="AG96" s="4012"/>
      <c r="AH96" s="4012"/>
      <c r="AI96" s="4012"/>
    </row>
    <row r="97" spans="1:35" s="4013" customFormat="1" ht="24.75" thickBot="1">
      <c r="A97" s="3999" t="s">
        <v>336</v>
      </c>
      <c r="B97" s="4000" t="s">
        <v>1408</v>
      </c>
      <c r="C97" s="4032" t="e">
        <f ca="1">ROUND(IF(C95&lt;=0,0,IF(C96&gt;=200%,C95*60%-C86*35%,IF(C96&gt;=100%,C95*50%-C86*15%,IF(C96&gt;=50%,C95*40%-C86*5%,IF(C96&lt;50%,C95*30%,0))))),0)</f>
        <v>#REF!</v>
      </c>
      <c r="D97" s="4001" t="s">
        <v>26</v>
      </c>
      <c r="E97" s="403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4"/>
      <c r="G97" s="4034"/>
      <c r="H97" s="4050"/>
      <c r="I97" s="4024"/>
      <c r="J97" s="4011"/>
      <c r="K97" s="4011"/>
      <c r="L97" s="4011"/>
      <c r="M97" s="4011"/>
      <c r="N97" s="4011"/>
      <c r="O97" s="4011"/>
      <c r="P97" s="4011"/>
      <c r="Q97" s="4011"/>
      <c r="R97" s="4011"/>
      <c r="S97" s="4011"/>
      <c r="T97" s="4011"/>
      <c r="U97" s="4011"/>
      <c r="V97" s="4011"/>
      <c r="W97" s="4011"/>
      <c r="X97" s="4011"/>
      <c r="Y97" s="4011"/>
      <c r="Z97" s="4011"/>
      <c r="AA97" s="4012"/>
      <c r="AB97" s="4012"/>
      <c r="AC97" s="4012"/>
      <c r="AD97" s="4012"/>
      <c r="AE97" s="4012"/>
      <c r="AF97" s="4012"/>
      <c r="AG97" s="4012"/>
      <c r="AH97" s="4012"/>
      <c r="AI97" s="4012"/>
    </row>
    <row r="98" spans="1:35" ht="21.75" customHeight="1">
      <c r="A98" s="3981"/>
      <c r="B98" s="3012"/>
      <c r="C98" s="3012"/>
      <c r="D98" s="3012"/>
      <c r="E98" s="3602"/>
      <c r="F98" s="3602"/>
      <c r="G98" s="3602"/>
      <c r="H98" s="3923"/>
      <c r="I98" s="2987"/>
    </row>
    <row r="99" spans="1:35" ht="21.75" customHeight="1" thickBot="1">
      <c r="A99" s="3926" t="s">
        <v>1426</v>
      </c>
      <c r="B99" s="3012"/>
      <c r="C99" s="3012"/>
      <c r="D99" s="3012"/>
      <c r="E99" s="3602"/>
      <c r="F99" s="3602"/>
      <c r="G99" s="3602"/>
      <c r="H99" s="3923"/>
      <c r="I99" s="2987"/>
    </row>
    <row r="100" spans="1:35" ht="18.75" customHeight="1">
      <c r="A100" s="4179" t="s">
        <v>1427</v>
      </c>
      <c r="B100" s="4180"/>
      <c r="C100" s="4180"/>
      <c r="D100" s="4248"/>
      <c r="E100" s="4180" t="s">
        <v>1428</v>
      </c>
      <c r="F100" s="4180"/>
      <c r="G100" s="4180"/>
      <c r="H100" s="4248"/>
      <c r="I100" s="2987"/>
    </row>
    <row r="101" spans="1:35" ht="18.75" customHeight="1">
      <c r="A101" s="4307" t="s">
        <v>1429</v>
      </c>
      <c r="B101" s="4308"/>
      <c r="C101" s="4051" t="str">
        <f>C4</f>
        <v>比较法-住宅</v>
      </c>
      <c r="D101" s="4052" t="str">
        <f>D4</f>
        <v>成本法 (元)</v>
      </c>
      <c r="E101" s="4320" t="s">
        <v>1430</v>
      </c>
      <c r="F101" s="4279"/>
      <c r="G101" s="4053" t="s">
        <v>1431</v>
      </c>
      <c r="H101" s="4054" t="e">
        <f ca="1">H118</f>
        <v>#REF!</v>
      </c>
      <c r="I101" s="2987"/>
    </row>
    <row r="102" spans="1:35" ht="18.75" customHeight="1">
      <c r="A102" s="4281" t="s">
        <v>1432</v>
      </c>
      <c r="B102" s="4055" t="s">
        <v>1431</v>
      </c>
      <c r="C102" s="4051">
        <f ca="1">IF(D32="楼面单价",ROUND(C19,0),C19)</f>
        <v>63.552399999999999</v>
      </c>
      <c r="D102" s="4052">
        <f ca="1">IF(D32="楼面单价",ROUND(D19,0),D19)</f>
        <v>85.393900000000002</v>
      </c>
      <c r="E102" s="4320"/>
      <c r="F102" s="4279"/>
      <c r="G102" s="4053" t="s">
        <v>1433</v>
      </c>
      <c r="H102" s="3942" t="e">
        <f ca="1">I118</f>
        <v>#REF!</v>
      </c>
      <c r="I102" s="2987"/>
    </row>
    <row r="103" spans="1:35" ht="42.75" customHeight="1">
      <c r="A103" s="4281"/>
      <c r="B103" s="4055" t="s">
        <v>1433</v>
      </c>
      <c r="C103" s="4056">
        <f ca="1">C20</f>
        <v>7952</v>
      </c>
      <c r="D103" s="4057">
        <f ca="1">D20</f>
        <v>10685</v>
      </c>
      <c r="E103" s="4315" t="s">
        <v>1434</v>
      </c>
      <c r="F103" s="4316"/>
      <c r="G103" s="4058" t="s">
        <v>1435</v>
      </c>
      <c r="H103" s="4054">
        <f>IF(D36="正常操作",H104+H105+H106,H105+H106)</f>
        <v>0</v>
      </c>
      <c r="I103" s="2987"/>
    </row>
    <row r="104" spans="1:35" ht="18.75" customHeight="1">
      <c r="A104" s="4281" t="s">
        <v>1436</v>
      </c>
      <c r="B104" s="4059" t="s">
        <v>1431</v>
      </c>
      <c r="C104" s="4060" t="e">
        <f ca="1">H118</f>
        <v>#REF!</v>
      </c>
      <c r="D104" s="4061"/>
      <c r="E104" s="3696" t="s">
        <v>1437</v>
      </c>
      <c r="F104" s="3666"/>
      <c r="G104" s="4058" t="s">
        <v>1435</v>
      </c>
      <c r="H104" s="4062">
        <f>IF(D36="同一抵押权人同一抵押物续贷",C36&amp;"（续贷，未扣减，详见特别提示）",C36)</f>
        <v>0</v>
      </c>
      <c r="I104" s="2987"/>
    </row>
    <row r="105" spans="1:35" ht="18.75" customHeight="1" thickBot="1">
      <c r="A105" s="4282"/>
      <c r="B105" s="4063" t="s">
        <v>1433</v>
      </c>
      <c r="C105" s="4064" t="e">
        <f ca="1">I118</f>
        <v>#REF!</v>
      </c>
      <c r="D105" s="4065"/>
      <c r="E105" s="3696" t="s">
        <v>1438</v>
      </c>
      <c r="F105" s="3666"/>
      <c r="G105" s="4058" t="s">
        <v>1435</v>
      </c>
      <c r="H105" s="4066">
        <f>C37</f>
        <v>0</v>
      </c>
      <c r="I105" s="2987"/>
    </row>
    <row r="106" spans="1:35" ht="18.75" customHeight="1">
      <c r="A106" s="3012" t="s">
        <v>1439</v>
      </c>
      <c r="B106" s="3012"/>
      <c r="C106" s="3012"/>
      <c r="D106" s="3012"/>
      <c r="E106" s="4067" t="s">
        <v>1440</v>
      </c>
      <c r="F106" s="3666"/>
      <c r="G106" s="4058" t="s">
        <v>1435</v>
      </c>
      <c r="H106" s="4066">
        <f>C38</f>
        <v>0</v>
      </c>
      <c r="I106" s="2987"/>
    </row>
    <row r="107" spans="1:35" ht="18.75" customHeight="1">
      <c r="A107" s="2987"/>
      <c r="B107" s="2987"/>
      <c r="C107" s="2987"/>
      <c r="D107" s="2987"/>
      <c r="E107" s="4278" t="str">
        <f>IF(项目基本情况!E8="已注销","——","3.房地产抵押价值")</f>
        <v>3.房地产抵押价值</v>
      </c>
      <c r="F107" s="4279"/>
      <c r="G107" s="4053" t="s">
        <v>1431</v>
      </c>
      <c r="H107" s="4054" t="e">
        <f ca="1">IF(E107="——","——",H101-H103)</f>
        <v>#REF!</v>
      </c>
      <c r="I107" s="2987"/>
    </row>
    <row r="108" spans="1:35" ht="18.75" customHeight="1">
      <c r="A108" s="2987"/>
      <c r="B108" s="2987"/>
      <c r="C108" s="2987"/>
      <c r="D108" s="2987"/>
      <c r="E108" s="4278"/>
      <c r="F108" s="4279"/>
      <c r="G108" s="4053" t="s">
        <v>1433</v>
      </c>
      <c r="H108" s="3942">
        <f ca="1">IF(H107=H101,H102,ROUND(H107*10000/'数据-汇总表'!E3,0))</f>
        <v>0</v>
      </c>
      <c r="I108" s="2987"/>
    </row>
    <row r="109" spans="1:35" ht="18.75" customHeight="1">
      <c r="A109" s="2987"/>
      <c r="B109" s="2987"/>
      <c r="C109" s="2987"/>
      <c r="D109" s="2987"/>
      <c r="E109" s="4278" t="str">
        <f>IF(项目基本情况!E8="已注销及未注销","4.抵押担保权已注销时的房地产抵押价值",IF(项目基本情况!E8="已注销","3.抵押担保权已注销时的房地产抵押价值","——"))</f>
        <v>——</v>
      </c>
      <c r="F109" s="4279"/>
      <c r="G109" s="4053" t="s">
        <v>1431</v>
      </c>
      <c r="H109" s="4068" t="str">
        <f>IF(E109="——","——",H101-H105-H106)</f>
        <v>——</v>
      </c>
      <c r="I109" s="2987"/>
    </row>
    <row r="110" spans="1:35" ht="18.75" customHeight="1">
      <c r="A110" s="2987"/>
      <c r="B110" s="2987"/>
      <c r="C110" s="2987"/>
      <c r="D110" s="2987"/>
      <c r="E110" s="4278"/>
      <c r="F110" s="4279"/>
      <c r="G110" s="4053" t="s">
        <v>1433</v>
      </c>
      <c r="H110" s="3942" t="str">
        <f>IF(H109="——","——",ROUND(H109*10000/'数据-汇总表'!E3,0))</f>
        <v>——</v>
      </c>
      <c r="I110" s="2987"/>
    </row>
    <row r="111" spans="1:35" ht="18.75" customHeight="1">
      <c r="A111" s="2987"/>
      <c r="B111" s="2987"/>
      <c r="C111" s="2987"/>
      <c r="D111" s="2987"/>
      <c r="E111" s="4309" t="str">
        <f>IF(项目基本情况!E9="抵押净值",IF(OR(项目基本情况!E8="已注销",项目基本情况!E8="房地产抵押价值"),"4.抵押净值","5.抵押净值"),"——")</f>
        <v>——</v>
      </c>
      <c r="F111" s="4280"/>
      <c r="G111" s="4053" t="s">
        <v>1431</v>
      </c>
      <c r="H111" s="4054" t="str">
        <f>IF(E111="——","——",N59)</f>
        <v>——</v>
      </c>
      <c r="I111" s="2987"/>
    </row>
    <row r="112" spans="1:35" ht="18.75" customHeight="1" thickBot="1">
      <c r="A112" s="2987"/>
      <c r="B112" s="2987"/>
      <c r="C112" s="2987"/>
      <c r="D112" s="2987"/>
      <c r="E112" s="4310"/>
      <c r="F112" s="4311"/>
      <c r="G112" s="4069" t="s">
        <v>1433</v>
      </c>
      <c r="H112" s="4070" t="str">
        <f>IF(E111="——","——",N61)</f>
        <v>——</v>
      </c>
      <c r="I112" s="2987"/>
    </row>
    <row r="113" spans="1:27" ht="18.75" customHeight="1">
      <c r="A113" s="2987"/>
      <c r="B113" s="2987"/>
      <c r="C113" s="2987"/>
      <c r="D113" s="2987"/>
      <c r="E113" s="4283" t="s">
        <v>1439</v>
      </c>
      <c r="F113" s="4283"/>
      <c r="G113" s="4283"/>
      <c r="H113" s="4283"/>
      <c r="I113" s="2987"/>
    </row>
    <row r="114" spans="1:27" ht="3.75" customHeight="1">
      <c r="A114" s="3012"/>
      <c r="B114" s="3012"/>
      <c r="C114" s="3012"/>
      <c r="D114" s="3012"/>
      <c r="E114" s="3981"/>
      <c r="F114" s="3981"/>
      <c r="G114" s="3981"/>
      <c r="H114" s="3981"/>
      <c r="I114" s="3012"/>
    </row>
    <row r="115" spans="1:27" ht="18.75" customHeight="1">
      <c r="A115" s="4292" t="s">
        <v>1441</v>
      </c>
      <c r="B115" s="4293"/>
      <c r="C115" s="4293"/>
      <c r="D115" s="4293"/>
      <c r="E115" s="4293"/>
      <c r="F115" s="4293"/>
      <c r="G115" s="4293"/>
      <c r="H115" s="4293"/>
      <c r="I115" s="4294"/>
    </row>
    <row r="116" spans="1:27" ht="27" customHeight="1">
      <c r="A116" s="4250" t="s">
        <v>1442</v>
      </c>
      <c r="B116" s="4284" t="s">
        <v>1443</v>
      </c>
      <c r="C116" s="4284" t="s">
        <v>1444</v>
      </c>
      <c r="D116" s="4296" t="s">
        <v>1445</v>
      </c>
      <c r="E116" s="4297"/>
      <c r="F116" s="4291" t="s">
        <v>1446</v>
      </c>
      <c r="G116" s="4291"/>
      <c r="H116" s="4250" t="s">
        <v>1447</v>
      </c>
      <c r="I116" s="4250"/>
    </row>
    <row r="117" spans="1:27" ht="18.75" customHeight="1">
      <c r="A117" s="4250"/>
      <c r="B117" s="4285"/>
      <c r="C117" s="4285"/>
      <c r="D117" s="4071" t="s">
        <v>1448</v>
      </c>
      <c r="E117" s="4071" t="s">
        <v>1449</v>
      </c>
      <c r="F117" s="4071" t="s">
        <v>1448</v>
      </c>
      <c r="G117" s="4071" t="s">
        <v>1450</v>
      </c>
      <c r="H117" s="4071" t="s">
        <v>1448</v>
      </c>
      <c r="I117" s="4071" t="s">
        <v>1450</v>
      </c>
    </row>
    <row r="118" spans="1:27" ht="24.75" customHeight="1">
      <c r="A118" s="4072" t="str">
        <f>项目基本情况!S2</f>
        <v>北京市朝阳区农丰里4号楼6门309号房地产</v>
      </c>
      <c r="B118" s="4071">
        <f>M18</f>
        <v>79.92</v>
      </c>
      <c r="C118" s="4071">
        <f>M19</f>
        <v>0</v>
      </c>
      <c r="D118" s="4071" t="e">
        <f ca="1">ROUND(IF(D32="总价",C34,E118*B118/10000),0)</f>
        <v>#REF!</v>
      </c>
      <c r="E118" s="4071" t="e">
        <f ca="1">ROUND(IF(C33="自定义",IF(D32="楼面单价",C34,D118*10000/B118),I118-G118),0)</f>
        <v>#REF!</v>
      </c>
      <c r="F118" s="4071" t="e">
        <f ca="1">ROUND(IF(D32="总价",C35,G118*B118/10000),0)</f>
        <v>#REF!</v>
      </c>
      <c r="G118" s="4071" t="e">
        <f ca="1">ROUND(IF(D32="楼面单价",C35,F118*10000/B118),0)</f>
        <v>#REF!</v>
      </c>
      <c r="H118" s="4071" t="e">
        <f ca="1">ROUND(IF(D32="总价",C32,I118*B118/10000),0)</f>
        <v>#REF!</v>
      </c>
      <c r="I118" s="4071" t="e">
        <f ca="1">ROUND(IF(D32="楼面单价",C32,H118*10000/B118),0)</f>
        <v>#REF!</v>
      </c>
    </row>
    <row r="119" spans="1:27" ht="18.75" customHeight="1">
      <c r="A119" s="4250" t="s">
        <v>1451</v>
      </c>
      <c r="B119" s="4250"/>
      <c r="C119" s="4250"/>
      <c r="D119" s="4288" t="e">
        <f ca="1">NUMBERSTRING(INT(D118*10000),2)&amp;"元整"</f>
        <v>#REF!</v>
      </c>
      <c r="E119" s="4290"/>
      <c r="F119" s="4288" t="e">
        <f ca="1">NUMBERSTRING(INT(F118*10000),2)&amp;"元整"</f>
        <v>#REF!</v>
      </c>
      <c r="G119" s="4290"/>
      <c r="H119" s="4288" t="e">
        <f ca="1">NUMBERSTRING(INT(H118*10000),2)&amp;"元整"</f>
        <v>#REF!</v>
      </c>
      <c r="I119" s="4290"/>
    </row>
    <row r="120" spans="1:27" ht="18.75" customHeight="1">
      <c r="A120" s="4312" t="str">
        <f>IF(项目基本情况!B9="房地产市场价值","",MID(E103,3,LEN(E103)-2))</f>
        <v/>
      </c>
      <c r="B120" s="4313"/>
      <c r="C120" s="4314"/>
      <c r="D120" s="4312">
        <f>H103</f>
        <v>0</v>
      </c>
      <c r="E120" s="4313"/>
      <c r="F120" s="4313"/>
      <c r="G120" s="4313"/>
      <c r="H120" s="4313"/>
      <c r="I120" s="4314"/>
      <c r="J120" s="3871"/>
      <c r="K120" s="3871" t="str">
        <f>IF(D120=0,"故，本次评估不存在"&amp;A120,"故，本次评估"&amp;A120&amp;"为人民币"&amp;D120&amp;"万元整。")</f>
        <v>故，本次评估不存在</v>
      </c>
      <c r="L120" s="3871"/>
      <c r="M120" s="3871"/>
      <c r="N120" s="3871"/>
      <c r="O120" s="3871"/>
      <c r="P120" s="3871"/>
      <c r="Q120" s="3871"/>
      <c r="R120" s="3871"/>
      <c r="S120" s="3871"/>
    </row>
    <row r="121" spans="1:27" ht="18.75" customHeight="1">
      <c r="A121" s="4288" t="s">
        <v>1451</v>
      </c>
      <c r="B121" s="4289"/>
      <c r="C121" s="4290"/>
      <c r="D121" s="4288" t="str">
        <f>IF(D120=0,"零元整",NUMBERSTRING(INT(D120*10000),2)&amp;"元整")</f>
        <v>零元整</v>
      </c>
      <c r="E121" s="4289"/>
      <c r="F121" s="4289"/>
      <c r="G121" s="4289"/>
      <c r="H121" s="4289"/>
      <c r="I121" s="4290"/>
      <c r="AA121" s="3870"/>
    </row>
    <row r="122" spans="1:27" ht="18.75" customHeight="1">
      <c r="A122" s="4280" t="str">
        <f>IF(项目基本情况!B9="房地产市场价值","",MID(E107,3,LEN(E107)-2))</f>
        <v/>
      </c>
      <c r="B122" s="4280"/>
      <c r="C122" s="4280"/>
      <c r="D122" s="4312" t="e">
        <f ca="1">H107</f>
        <v>#REF!</v>
      </c>
      <c r="E122" s="4313"/>
      <c r="F122" s="4313"/>
      <c r="G122" s="4313"/>
      <c r="H122" s="4313"/>
      <c r="I122" s="4314"/>
      <c r="AA122" s="3870"/>
    </row>
    <row r="123" spans="1:27" ht="18.75" customHeight="1">
      <c r="A123" s="4250" t="s">
        <v>1451</v>
      </c>
      <c r="B123" s="4250"/>
      <c r="C123" s="4250"/>
      <c r="D123" s="4288" t="e">
        <f ca="1">NUMBERSTRING(INT(D122*10000),2)&amp;"元整"</f>
        <v>#REF!</v>
      </c>
      <c r="E123" s="4289"/>
      <c r="F123" s="4289"/>
      <c r="G123" s="4289"/>
      <c r="H123" s="4289"/>
      <c r="I123" s="4290"/>
      <c r="AA123" s="3870"/>
    </row>
    <row r="124" spans="1:27" ht="18.75" customHeight="1">
      <c r="A124" s="4280" t="str">
        <f>IF(项目基本情况!B9="房地产市场价值","",MID(E109,3,LEN(E109)-2))</f>
        <v/>
      </c>
      <c r="B124" s="4280"/>
      <c r="C124" s="4280"/>
      <c r="D124" s="4312" t="str">
        <f>H109</f>
        <v>——</v>
      </c>
      <c r="E124" s="4313"/>
      <c r="F124" s="4313"/>
      <c r="G124" s="4313"/>
      <c r="H124" s="4313"/>
      <c r="I124" s="4314"/>
      <c r="AA124" s="3870"/>
    </row>
    <row r="125" spans="1:27" ht="18.75" customHeight="1">
      <c r="A125" s="4250" t="s">
        <v>1451</v>
      </c>
      <c r="B125" s="4250"/>
      <c r="C125" s="4250"/>
      <c r="D125" s="4288" t="e">
        <f>NUMBERSTRING(INT(D124*10000),2)&amp;"元整"</f>
        <v>#VALUE!</v>
      </c>
      <c r="E125" s="4289"/>
      <c r="F125" s="4289"/>
      <c r="G125" s="4289"/>
      <c r="H125" s="4289"/>
      <c r="I125" s="4290"/>
      <c r="AA125" s="3870"/>
    </row>
    <row r="126" spans="1:27" ht="18.75" customHeight="1">
      <c r="A126" s="4280" t="str">
        <f>IF(项目基本情况!B9="房地产市场价值","",MID(E111,3,LEN(E111)-2))</f>
        <v/>
      </c>
      <c r="B126" s="4280"/>
      <c r="C126" s="4280"/>
      <c r="D126" s="4312" t="str">
        <f>H111</f>
        <v>——</v>
      </c>
      <c r="E126" s="4313"/>
      <c r="F126" s="4313"/>
      <c r="G126" s="4313"/>
      <c r="H126" s="4313"/>
      <c r="I126" s="4314"/>
      <c r="AA126" s="3870"/>
    </row>
    <row r="127" spans="1:27" ht="18.75" customHeight="1">
      <c r="A127" s="4250" t="s">
        <v>1451</v>
      </c>
      <c r="B127" s="4250"/>
      <c r="C127" s="4250"/>
      <c r="D127" s="4288" t="e">
        <f>NUMBERSTRING(INT(D126*10000),2)&amp;"元整"</f>
        <v>#VALUE!</v>
      </c>
      <c r="E127" s="4289"/>
      <c r="F127" s="4289"/>
      <c r="G127" s="4289"/>
      <c r="H127" s="4289"/>
      <c r="I127" s="4290"/>
      <c r="AA127" s="3870"/>
    </row>
    <row r="128" spans="1:27" ht="21.75" customHeight="1">
      <c r="A128" s="4295" t="s">
        <v>1452</v>
      </c>
      <c r="B128" s="4295"/>
      <c r="C128" s="4295"/>
      <c r="D128" s="4295"/>
      <c r="E128" s="4295"/>
      <c r="F128" s="4295"/>
      <c r="G128" s="4295"/>
      <c r="H128" s="4295"/>
      <c r="I128" s="4295"/>
      <c r="AA128" s="3870"/>
    </row>
    <row r="129" spans="1:35" ht="21.75" customHeight="1">
      <c r="A129" s="4073" t="s">
        <v>1453</v>
      </c>
      <c r="B129" s="4074"/>
      <c r="C129" s="4075" t="s">
        <v>1454</v>
      </c>
      <c r="D129" s="4076"/>
      <c r="E129" s="4076"/>
      <c r="F129" s="4076"/>
      <c r="G129" s="4076"/>
      <c r="H129" s="4077"/>
      <c r="I129" s="4078"/>
      <c r="AA129" s="3870"/>
    </row>
    <row r="130" spans="1:35" ht="21.75" customHeight="1">
      <c r="A130" s="4079">
        <v>1</v>
      </c>
      <c r="B130" s="4080"/>
      <c r="C130" s="4080"/>
      <c r="D130" s="4081"/>
      <c r="E130" s="4081"/>
      <c r="F130" s="4081"/>
      <c r="G130" s="4081"/>
      <c r="H130" s="4082"/>
      <c r="I130" s="4083"/>
      <c r="AA130" s="3870"/>
    </row>
    <row r="131" spans="1:35" ht="21.75" customHeight="1">
      <c r="A131" s="4079">
        <v>2</v>
      </c>
      <c r="B131" s="4080"/>
      <c r="C131" s="4080"/>
      <c r="D131" s="4081"/>
      <c r="E131" s="4081"/>
      <c r="F131" s="4081"/>
      <c r="G131" s="4081"/>
      <c r="H131" s="4082"/>
      <c r="I131" s="4083"/>
      <c r="AA131" s="3870"/>
    </row>
    <row r="132" spans="1:35" ht="21.75" customHeight="1">
      <c r="A132" s="4079">
        <v>3</v>
      </c>
      <c r="B132" s="4080"/>
      <c r="C132" s="4080"/>
      <c r="D132" s="4081"/>
      <c r="E132" s="4081"/>
      <c r="F132" s="4081"/>
      <c r="G132" s="4081"/>
      <c r="H132" s="4082"/>
      <c r="I132" s="4083"/>
      <c r="AA132" s="3870"/>
    </row>
    <row r="133" spans="1:35" ht="21.75" customHeight="1">
      <c r="A133" s="4084"/>
      <c r="B133" s="4085"/>
      <c r="C133" s="4085"/>
      <c r="D133" s="4086"/>
      <c r="E133" s="4086"/>
      <c r="F133" s="4086"/>
      <c r="G133" s="4086"/>
      <c r="H133" s="4087"/>
      <c r="I133" s="4088"/>
    </row>
    <row r="134" spans="1:35" ht="21.75" customHeight="1">
      <c r="A134" s="4080"/>
      <c r="B134" s="4080"/>
      <c r="C134" s="4080"/>
      <c r="D134" s="4081"/>
      <c r="E134" s="4081"/>
      <c r="F134" s="4081"/>
      <c r="G134" s="4081"/>
      <c r="H134" s="4082"/>
      <c r="I134" s="3870"/>
    </row>
    <row r="135" spans="1:35" ht="21.75" customHeight="1">
      <c r="A135" s="3870"/>
      <c r="B135" s="3870"/>
      <c r="C135" s="3870"/>
      <c r="D135" s="3870"/>
      <c r="E135" s="3870"/>
      <c r="F135" s="4089" t="s">
        <v>1455</v>
      </c>
      <c r="G135" s="4090"/>
      <c r="H135" s="4090"/>
      <c r="I135" s="4091" t="s">
        <v>1456</v>
      </c>
    </row>
    <row r="136" spans="1:35" ht="21.75" customHeight="1">
      <c r="A136" s="3870"/>
      <c r="B136" s="4092" t="s">
        <v>1457</v>
      </c>
      <c r="C136" s="3870"/>
      <c r="D136" s="3870"/>
      <c r="E136" s="3870"/>
      <c r="F136" s="3870"/>
      <c r="G136" s="3870"/>
      <c r="H136" s="3870"/>
      <c r="I136" s="3870"/>
    </row>
    <row r="137" spans="1:35" ht="21.75" customHeight="1">
      <c r="A137" s="3870"/>
      <c r="B137" s="3870"/>
      <c r="C137" s="3870"/>
      <c r="D137" s="3870"/>
      <c r="E137" s="3870"/>
      <c r="F137" s="3870"/>
      <c r="G137" s="3870"/>
      <c r="H137" s="3870"/>
      <c r="I137" s="3870"/>
    </row>
    <row r="138" spans="1:35" ht="21.75" customHeight="1">
      <c r="A138" s="3870"/>
      <c r="B138" s="4090"/>
      <c r="C138" s="4090"/>
      <c r="D138" s="4090"/>
      <c r="E138" s="4090"/>
      <c r="F138" s="4090"/>
      <c r="G138" s="4090"/>
      <c r="H138" s="4090"/>
      <c r="I138" s="4091" t="s">
        <v>1458</v>
      </c>
    </row>
    <row r="139" spans="1:35" ht="21.75" customHeight="1">
      <c r="A139" s="3870"/>
      <c r="B139" s="4092" t="s">
        <v>1459</v>
      </c>
      <c r="C139" s="3870"/>
      <c r="D139" s="3870"/>
      <c r="E139" s="3870"/>
      <c r="F139" s="3870"/>
      <c r="G139" s="3870"/>
      <c r="H139" s="3870"/>
      <c r="I139" s="3870"/>
    </row>
    <row r="140" spans="1:35" ht="21.75" customHeight="1">
      <c r="A140" s="3870"/>
      <c r="B140" s="4092"/>
      <c r="C140" s="3870"/>
      <c r="D140" s="3870"/>
      <c r="E140" s="3870"/>
      <c r="F140" s="3870"/>
      <c r="G140" s="3870"/>
      <c r="H140" s="3870"/>
      <c r="I140" s="3870"/>
    </row>
    <row r="141" spans="1:35" ht="21.75" customHeight="1">
      <c r="A141" s="3870"/>
      <c r="B141" s="4090"/>
      <c r="C141" s="4090"/>
      <c r="D141" s="4090"/>
      <c r="E141" s="4090"/>
      <c r="F141" s="4090"/>
      <c r="G141" s="4090"/>
      <c r="H141" s="4090"/>
      <c r="I141" s="4091" t="s">
        <v>1458</v>
      </c>
    </row>
    <row r="142" spans="1:35" ht="21.75" customHeight="1">
      <c r="A142" s="3870"/>
      <c r="B142" s="4092"/>
      <c r="C142" s="3852"/>
      <c r="D142" s="4093"/>
      <c r="E142" s="4093"/>
      <c r="F142" s="3852"/>
      <c r="G142" s="3870"/>
      <c r="H142" s="3870"/>
      <c r="I142" s="3870"/>
    </row>
    <row r="143" spans="1:35" s="4094" customFormat="1" ht="21.75" customHeight="1">
      <c r="A143" s="3870"/>
      <c r="B143" s="4092"/>
      <c r="C143" s="3852"/>
      <c r="D143" s="4093"/>
      <c r="E143" s="4093"/>
      <c r="F143" s="3852"/>
      <c r="G143" s="3870"/>
      <c r="H143" s="3870"/>
      <c r="I143" s="3870"/>
      <c r="J143" s="3870"/>
      <c r="K143" s="3870"/>
      <c r="L143" s="3870"/>
      <c r="M143" s="3870"/>
      <c r="N143" s="3870"/>
      <c r="O143" s="3870"/>
      <c r="P143" s="3870"/>
      <c r="Q143" s="3870"/>
      <c r="R143" s="3870"/>
      <c r="S143" s="3870"/>
      <c r="T143" s="3870"/>
      <c r="U143" s="3870"/>
      <c r="V143" s="3870"/>
      <c r="W143" s="3870"/>
      <c r="X143" s="3870"/>
      <c r="Y143" s="3870"/>
      <c r="Z143" s="3870"/>
      <c r="AA143" s="3870"/>
      <c r="AB143" s="3870"/>
      <c r="AC143" s="3870"/>
      <c r="AD143" s="3870"/>
      <c r="AE143" s="3870"/>
      <c r="AF143" s="3870"/>
      <c r="AG143" s="3870"/>
      <c r="AH143" s="3870"/>
      <c r="AI143" s="3870"/>
    </row>
    <row r="144" spans="1:35" s="4094" customFormat="1" ht="21.75" customHeight="1">
      <c r="A144" s="3870"/>
      <c r="B144" s="3870"/>
      <c r="C144" s="3870"/>
      <c r="D144" s="3870"/>
      <c r="E144" s="3870"/>
      <c r="F144" s="3870"/>
      <c r="G144" s="3870"/>
      <c r="H144" s="3870"/>
      <c r="I144" s="3870"/>
      <c r="J144" s="3870"/>
      <c r="K144" s="3870"/>
      <c r="L144" s="3870"/>
      <c r="M144" s="3870"/>
      <c r="N144" s="3870"/>
      <c r="O144" s="3870"/>
      <c r="P144" s="3870"/>
      <c r="Q144" s="3870"/>
      <c r="R144" s="3870"/>
      <c r="S144" s="3870"/>
      <c r="T144" s="3870"/>
      <c r="U144" s="3870"/>
      <c r="V144" s="3870"/>
      <c r="W144" s="3870"/>
      <c r="X144" s="3870"/>
      <c r="Y144" s="3870"/>
      <c r="Z144" s="3870"/>
      <c r="AA144" s="3870"/>
      <c r="AB144" s="3870"/>
      <c r="AC144" s="3870"/>
      <c r="AD144" s="3870"/>
      <c r="AE144" s="3870"/>
      <c r="AF144" s="3870"/>
      <c r="AG144" s="3870"/>
      <c r="AH144" s="3870"/>
      <c r="AI144" s="3870"/>
    </row>
    <row r="145" spans="1:35" s="4094" customFormat="1" ht="21.75" customHeight="1">
      <c r="A145" s="3870"/>
      <c r="B145" s="3870"/>
      <c r="C145" s="3870"/>
      <c r="D145" s="3870"/>
      <c r="E145" s="3870"/>
      <c r="F145" s="3870"/>
      <c r="G145" s="3870"/>
      <c r="H145" s="3870"/>
      <c r="I145" s="3870"/>
      <c r="J145" s="3870"/>
      <c r="K145" s="3870"/>
      <c r="L145" s="3870"/>
      <c r="M145" s="3870"/>
      <c r="N145" s="3870"/>
      <c r="O145" s="3870"/>
      <c r="P145" s="3870"/>
      <c r="Q145" s="3870"/>
      <c r="R145" s="3870"/>
      <c r="S145" s="3870"/>
      <c r="T145" s="3870"/>
      <c r="U145" s="3870"/>
      <c r="V145" s="3870"/>
      <c r="W145" s="3870"/>
      <c r="X145" s="3870"/>
      <c r="Y145" s="3870"/>
      <c r="Z145" s="3870"/>
      <c r="AA145" s="3870"/>
      <c r="AB145" s="3870"/>
      <c r="AC145" s="3870"/>
      <c r="AD145" s="3870"/>
      <c r="AE145" s="3870"/>
      <c r="AF145" s="3870"/>
      <c r="AG145" s="3870"/>
      <c r="AH145" s="3870"/>
      <c r="AI145" s="3870"/>
    </row>
    <row r="146" spans="1:35" s="3870" customFormat="1" ht="21.75" customHeight="1"/>
    <row r="147" spans="1:35" s="3870" customFormat="1" ht="21.75" customHeight="1"/>
    <row r="148" spans="1:35" s="3870" customFormat="1" ht="21.75" customHeight="1"/>
    <row r="149" spans="1:35" s="3870" customFormat="1" ht="21.75" customHeight="1"/>
    <row r="150" spans="1:35" s="3870" customFormat="1" ht="21.75" customHeight="1"/>
    <row r="151" spans="1:35" s="3870" customFormat="1" ht="21.75" customHeight="1"/>
    <row r="152" spans="1:35" s="3870" customFormat="1" ht="21.75" customHeight="1"/>
    <row r="153" spans="1:35" s="3870" customFormat="1" ht="21.75" customHeight="1"/>
    <row r="154" spans="1:35" s="3870" customFormat="1" ht="21.75" customHeight="1"/>
    <row r="155" spans="1:35" s="3870" customFormat="1" ht="21.75" customHeight="1"/>
    <row r="156" spans="1:35" s="3870" customFormat="1" ht="21.75" customHeight="1"/>
    <row r="157" spans="1:35" s="3870" customFormat="1" ht="21.75" customHeight="1"/>
    <row r="158" spans="1:35" s="3870" customFormat="1" ht="21.75" customHeight="1"/>
    <row r="159" spans="1:35" s="3870" customFormat="1" ht="21.75" customHeight="1"/>
    <row r="160" spans="1:35" s="3870" customFormat="1" ht="21.75" customHeight="1"/>
    <row r="161" s="3870" customFormat="1" ht="21.75" customHeight="1"/>
    <row r="162" s="3870" customFormat="1" ht="21.75" customHeight="1"/>
    <row r="163" s="3870" customFormat="1" ht="21.75" customHeight="1"/>
    <row r="164" s="3870" customFormat="1" ht="21.75" customHeight="1"/>
    <row r="165" s="3870" customFormat="1" ht="21.75" customHeight="1"/>
    <row r="166" s="3870" customFormat="1" ht="21.75" customHeight="1"/>
    <row r="167" s="3870" customFormat="1" ht="21.75" customHeight="1"/>
    <row r="168" s="3870" customFormat="1" ht="21.75" customHeight="1"/>
    <row r="169" s="3870" customFormat="1" ht="21.75" customHeight="1"/>
    <row r="170" s="3870" customFormat="1" ht="21.75" customHeight="1"/>
    <row r="171" s="3870" customFormat="1" ht="21.75" customHeight="1"/>
    <row r="172" s="3870" customFormat="1" ht="21.75" customHeight="1"/>
    <row r="173" s="3870" customFormat="1" ht="21.75" customHeight="1"/>
    <row r="174" s="3870" customFormat="1" ht="21.75" customHeight="1"/>
    <row r="175" s="3870" customFormat="1" ht="21.75" customHeight="1"/>
    <row r="176" s="3870" customFormat="1" ht="21.75" customHeight="1"/>
    <row r="177" s="3870" customFormat="1" ht="21.75" customHeight="1"/>
    <row r="178" s="3870" customFormat="1" ht="21.75" customHeight="1"/>
    <row r="179" s="3870" customFormat="1" ht="21.75" customHeight="1"/>
    <row r="180" s="3870" customFormat="1" ht="21.75" customHeight="1"/>
    <row r="181" s="3870" customFormat="1" ht="21.75" customHeight="1"/>
    <row r="182" s="3870" customFormat="1" ht="21.75" customHeight="1"/>
    <row r="183" s="3870" customFormat="1" ht="21.75" customHeight="1"/>
    <row r="184" s="3870" customFormat="1" ht="21.75" customHeight="1"/>
    <row r="185" s="3870" customFormat="1" ht="21.75" customHeight="1"/>
    <row r="186" s="3870" customFormat="1" ht="21.75" customHeight="1"/>
    <row r="187" s="3870" customFormat="1" ht="21.75" customHeight="1"/>
    <row r="188" s="3870" customFormat="1" ht="21.75" customHeight="1"/>
    <row r="189" s="3870" customFormat="1" ht="21.75" customHeight="1"/>
    <row r="190" s="3870" customFormat="1" ht="21.75" customHeight="1"/>
    <row r="191" s="3870" customFormat="1" ht="21.75" customHeight="1"/>
    <row r="192" s="3870" customFormat="1" ht="21.75" customHeight="1"/>
    <row r="193" s="3870" customFormat="1" ht="21.75" customHeight="1"/>
    <row r="194" s="3870" customFormat="1" ht="21.75" customHeight="1"/>
    <row r="195" s="3870" customFormat="1" ht="21.75" customHeight="1"/>
    <row r="196" s="3870" customFormat="1" ht="21.75" customHeight="1"/>
    <row r="197" s="3870" customFormat="1" ht="21.75" customHeight="1"/>
    <row r="198" s="3870" customFormat="1" ht="21.75" customHeight="1"/>
    <row r="199" s="3870" customFormat="1" ht="21.75" customHeight="1"/>
    <row r="200" s="3870" customFormat="1" ht="21.75" customHeight="1"/>
    <row r="201" s="3870" customFormat="1" ht="21.75" customHeight="1"/>
    <row r="202" s="3870" customFormat="1" ht="21.75" customHeight="1"/>
    <row r="203" s="3870" customFormat="1" ht="21.75" customHeight="1"/>
    <row r="204" s="3870" customFormat="1" ht="21.75" customHeight="1"/>
    <row r="205" s="3870" customFormat="1" ht="21.75" customHeight="1"/>
    <row r="206" s="3870" customFormat="1" ht="21.75" customHeight="1"/>
    <row r="207" s="3870" customFormat="1" ht="21.75" customHeight="1"/>
    <row r="208" s="3870" customFormat="1" ht="21.75" customHeight="1"/>
    <row r="209" s="3870" customFormat="1" ht="21.75" customHeight="1"/>
    <row r="210" s="3870" customFormat="1" ht="21.75" customHeight="1"/>
    <row r="211" s="3870" customFormat="1" ht="21.75" customHeight="1"/>
    <row r="212" s="3870" customFormat="1" ht="21.75" customHeight="1"/>
    <row r="213" s="3870" customFormat="1" ht="21.75" customHeight="1"/>
    <row r="214" s="3870" customFormat="1" ht="21.75" customHeight="1"/>
    <row r="215" s="3870" customFormat="1" ht="21.75" customHeight="1"/>
    <row r="216" s="3870" customFormat="1" ht="21.75" customHeight="1"/>
    <row r="217" s="3870" customFormat="1" ht="21.75" customHeight="1"/>
    <row r="218" s="3870" customFormat="1" ht="21.75" customHeight="1"/>
    <row r="219" s="3870" customFormat="1" ht="21.75" customHeight="1"/>
    <row r="220" s="3870" customFormat="1" ht="21.75" customHeight="1"/>
    <row r="221" s="3870" customFormat="1" ht="21.75" customHeight="1"/>
    <row r="222" s="3870" customFormat="1" ht="21.75" customHeight="1"/>
    <row r="223" s="3870" customFormat="1" ht="21.75" customHeight="1"/>
    <row r="224" s="3870" customFormat="1" ht="21.75" customHeight="1"/>
    <row r="225" s="3870" customFormat="1" ht="21.75" customHeight="1"/>
    <row r="226" s="3870" customFormat="1" ht="21.75" customHeight="1"/>
    <row r="227" s="3870" customFormat="1" ht="21.75" customHeight="1"/>
    <row r="228" s="3870" customFormat="1" ht="21.75" customHeight="1"/>
    <row r="229" s="3870" customFormat="1" ht="21.75" customHeight="1"/>
    <row r="230" s="3870" customFormat="1" ht="21.75" customHeight="1"/>
    <row r="231" s="3870" customFormat="1" ht="21.75" customHeight="1"/>
    <row r="232" s="3870" customFormat="1" ht="21.75" customHeight="1"/>
    <row r="233" s="3870" customFormat="1" ht="21.75" customHeight="1"/>
    <row r="234" s="3870" customFormat="1" ht="21.75" customHeight="1"/>
    <row r="235" s="3870" customFormat="1" ht="21.75" customHeight="1"/>
    <row r="236" s="3870" customFormat="1" ht="21.75" customHeight="1"/>
    <row r="237" s="3870" customFormat="1" ht="21.75" customHeight="1"/>
    <row r="238" s="3870" customFormat="1" ht="21.75" customHeight="1"/>
    <row r="239" s="3870" customFormat="1" ht="21.75" customHeight="1"/>
    <row r="240" s="3870" customFormat="1" ht="21.75" customHeight="1"/>
    <row r="241" s="3870" customFormat="1" ht="21.75" customHeight="1"/>
    <row r="242" s="3870" customFormat="1" ht="21.75" customHeight="1"/>
    <row r="243" s="3870" customFormat="1" ht="21.75" customHeight="1"/>
    <row r="244" s="3870" customFormat="1" ht="21.75" customHeight="1"/>
    <row r="245" s="3870" customFormat="1" ht="21.75" customHeight="1"/>
    <row r="246" s="3870" customFormat="1" ht="21.75" customHeight="1"/>
    <row r="247" s="3870" customFormat="1" ht="21.75" customHeight="1"/>
    <row r="248" s="3870" customFormat="1" ht="21.75" customHeight="1"/>
    <row r="249" s="3870" customFormat="1" ht="21.75" customHeight="1"/>
    <row r="250" s="3870" customFormat="1" ht="21.75" customHeight="1"/>
    <row r="251" s="3870" customFormat="1" ht="21.75" customHeight="1"/>
    <row r="252" s="3870" customFormat="1" ht="21.75" customHeight="1"/>
    <row r="253" s="3870" customFormat="1" ht="21.75" customHeight="1"/>
    <row r="254" s="3870" customFormat="1" ht="21.75" customHeight="1"/>
    <row r="255" s="3870" customFormat="1" ht="21.75" customHeight="1"/>
    <row r="256" s="3870" customFormat="1" ht="21.75" customHeight="1"/>
    <row r="257" s="3870" customFormat="1" ht="21.75" customHeight="1"/>
    <row r="258" s="3870" customFormat="1" ht="21.75" customHeight="1"/>
    <row r="259" s="3870" customFormat="1" ht="21.75" customHeight="1"/>
    <row r="260" s="3870" customFormat="1" ht="21.75" customHeight="1"/>
    <row r="261" s="3870" customFormat="1" ht="21.75" customHeight="1"/>
    <row r="262" s="3870" customFormat="1" ht="21.75" customHeight="1"/>
    <row r="263" s="3870" customFormat="1" ht="21.75" customHeight="1"/>
    <row r="264" s="3870" customFormat="1" ht="21.75" customHeight="1"/>
    <row r="265" s="3870" customFormat="1" ht="21.75" customHeight="1"/>
    <row r="266" s="3870" customFormat="1" ht="21.75" customHeight="1"/>
    <row r="267" s="3870" customFormat="1" ht="21.75" customHeight="1"/>
    <row r="268" s="3870" customFormat="1" ht="21.75" customHeight="1"/>
    <row r="269" s="3870" customFormat="1" ht="21.75" customHeight="1"/>
    <row r="270" s="3870" customFormat="1" ht="21.75" customHeight="1"/>
    <row r="271" s="3870" customFormat="1" ht="21.75" customHeight="1"/>
    <row r="272" s="3870" customFormat="1" ht="21.75" customHeight="1"/>
    <row r="273" s="3870" customFormat="1" ht="21.75" customHeight="1"/>
    <row r="274" s="3870" customFormat="1" ht="21.75" customHeight="1"/>
    <row r="275" s="3870" customFormat="1" ht="21.75" customHeight="1"/>
    <row r="276" s="3870" customFormat="1" ht="21.75" customHeight="1"/>
    <row r="277" s="3870" customFormat="1" ht="21.75" customHeight="1"/>
    <row r="278" s="3870" customFormat="1" ht="21.75" customHeight="1"/>
    <row r="279" s="3870" customFormat="1" ht="21.75" customHeight="1"/>
    <row r="280" s="3870" customFormat="1" ht="21.75" customHeight="1"/>
    <row r="281" s="3870" customFormat="1" ht="21.75" customHeight="1"/>
    <row r="282" s="3870" customFormat="1" ht="21.75" customHeight="1"/>
    <row r="283" s="3870" customFormat="1" ht="21.75" customHeight="1"/>
    <row r="284" s="3870" customFormat="1" ht="21.75" customHeight="1"/>
    <row r="285" s="3870" customFormat="1" ht="21.75" customHeight="1"/>
    <row r="286" s="3870" customFormat="1" ht="21.75" customHeight="1"/>
    <row r="287" s="3870" customFormat="1" ht="21.75" customHeight="1"/>
    <row r="288" s="3870" customFormat="1" ht="21.75" customHeight="1"/>
    <row r="289" s="3870" customFormat="1" ht="21.75" customHeight="1"/>
    <row r="290" s="3870" customFormat="1" ht="21.75" customHeight="1"/>
    <row r="291" s="3870" customFormat="1" ht="21.75" customHeight="1"/>
    <row r="292" s="3870" customFormat="1" ht="21.75" customHeight="1"/>
    <row r="293" s="3870" customFormat="1" ht="21.75" customHeight="1"/>
    <row r="294" s="3870" customFormat="1" ht="21.75" customHeight="1"/>
    <row r="295" s="3870" customFormat="1" ht="21.75" customHeight="1"/>
    <row r="296" s="3870" customFormat="1" ht="21.75" customHeight="1"/>
    <row r="297" s="3870" customFormat="1" ht="21.75" customHeight="1"/>
    <row r="298" s="3870" customFormat="1" ht="21.75" customHeight="1"/>
    <row r="299" s="3870" customFormat="1" ht="21.75" customHeight="1"/>
    <row r="300" s="3870" customFormat="1" ht="21.75" customHeight="1"/>
    <row r="301" s="3870" customFormat="1" ht="21.75" customHeight="1"/>
    <row r="302" s="3870" customFormat="1" ht="21.75" customHeight="1"/>
    <row r="303" s="3870" customFormat="1" ht="21.75" customHeight="1"/>
    <row r="304" s="3870" customFormat="1" ht="21.75" customHeight="1"/>
    <row r="305" s="3870" customFormat="1" ht="21.75" customHeight="1"/>
    <row r="306" s="3870" customFormat="1" ht="21.75" customHeight="1"/>
    <row r="307" s="3870" customFormat="1" ht="21.75" customHeight="1"/>
    <row r="308" s="3870" customFormat="1" ht="21.75" customHeight="1"/>
    <row r="309" s="3870" customFormat="1" ht="21.75" customHeight="1"/>
    <row r="310" s="3870" customFormat="1" ht="21.75" customHeight="1"/>
    <row r="311" s="3870" customFormat="1" ht="21.75" customHeight="1"/>
    <row r="312" s="3870" customFormat="1" ht="21.75" customHeight="1"/>
    <row r="313" s="3870" customFormat="1" ht="21.75" customHeight="1"/>
    <row r="314" s="3870" customFormat="1" ht="21.75" customHeight="1"/>
    <row r="315" s="3870" customFormat="1" ht="21.75" customHeight="1"/>
    <row r="316" s="3870" customFormat="1" ht="21.75" customHeight="1"/>
    <row r="317" s="3870" customFormat="1" ht="21.75" customHeight="1"/>
    <row r="318" s="3870" customFormat="1" ht="21.75" customHeight="1"/>
    <row r="319" s="3870" customFormat="1" ht="21.75" customHeight="1"/>
    <row r="320" s="3870" customFormat="1" ht="21.75" customHeight="1"/>
    <row r="321" s="3870" customFormat="1" ht="21.75" customHeight="1"/>
    <row r="322" s="3870" customFormat="1" ht="21.75" customHeight="1"/>
    <row r="323" s="3870" customFormat="1" ht="21.75" customHeight="1"/>
    <row r="324" s="3870" customFormat="1" ht="21.75" customHeight="1"/>
    <row r="325" s="3870" customFormat="1" ht="21.75" customHeight="1"/>
    <row r="326" s="3870" customFormat="1" ht="21.75" customHeight="1"/>
    <row r="327" s="3870" customFormat="1" ht="21.75" customHeight="1"/>
    <row r="328" s="3870" customFormat="1" ht="21.75" customHeight="1"/>
    <row r="329" s="3870" customFormat="1" ht="21.75" customHeight="1"/>
    <row r="330" s="3870" customFormat="1" ht="21.75" customHeight="1"/>
    <row r="331" s="3870" customFormat="1" ht="21.75" customHeight="1"/>
    <row r="332" s="3870" customFormat="1" ht="21.75" customHeight="1"/>
    <row r="333" s="3870" customFormat="1" ht="21.75" customHeight="1"/>
    <row r="334" s="3870" customFormat="1" ht="21.75" customHeight="1"/>
    <row r="335" s="3870" customFormat="1" ht="21.75" customHeight="1"/>
    <row r="336" s="3870" customFormat="1" ht="21.75" customHeight="1"/>
    <row r="337" s="3870" customFormat="1" ht="21.75" customHeight="1"/>
    <row r="338" s="3870" customFormat="1" ht="21.75" customHeight="1"/>
    <row r="339" s="3870" customFormat="1" ht="21.75" customHeight="1"/>
    <row r="340" s="3870" customFormat="1" ht="21.75" customHeight="1"/>
    <row r="341" s="3870" customFormat="1" ht="21.75" customHeight="1"/>
    <row r="342" s="3870" customFormat="1" ht="21.75" customHeight="1"/>
    <row r="343" s="3870" customFormat="1" ht="21.75" customHeight="1"/>
    <row r="344" s="3870" customFormat="1" ht="21.75" customHeight="1"/>
    <row r="345" s="3870" customFormat="1" ht="21.75" customHeight="1"/>
    <row r="346" s="3870" customFormat="1" ht="21.75" customHeight="1"/>
    <row r="347" s="3870" customFormat="1" ht="21.75" customHeight="1"/>
    <row r="348" s="3870" customFormat="1" ht="21.75" customHeight="1"/>
    <row r="349" s="3870" customFormat="1" ht="21.75" customHeight="1"/>
    <row r="350" s="3870" customFormat="1" ht="21.75" customHeight="1"/>
    <row r="351" s="3870" customFormat="1" ht="21.75" customHeight="1"/>
    <row r="352" s="3870" customFormat="1" ht="21.75" customHeight="1"/>
    <row r="353" s="3870" customFormat="1" ht="21.75" customHeight="1"/>
    <row r="354" s="3870" customFormat="1" ht="21.75" customHeight="1"/>
    <row r="355" s="3870" customFormat="1" ht="21.75" customHeight="1"/>
    <row r="356" s="3870" customFormat="1" ht="21.75" customHeight="1"/>
    <row r="357" s="3870" customFormat="1" ht="21.75" customHeight="1"/>
    <row r="358" s="3870" customFormat="1" ht="21.75" customHeight="1"/>
    <row r="359" s="3870" customFormat="1" ht="21.75" customHeight="1"/>
    <row r="360" s="3870" customFormat="1" ht="21.75" customHeight="1"/>
    <row r="361" s="3870" customFormat="1" ht="21.75" customHeight="1"/>
    <row r="362" s="3870" customFormat="1" ht="21.75" customHeight="1"/>
    <row r="363" s="3870" customFormat="1" ht="21.75" customHeight="1"/>
    <row r="364" s="3870" customFormat="1" ht="21.75" customHeight="1"/>
    <row r="365" s="3870" customFormat="1" ht="21.75" customHeight="1"/>
    <row r="366" s="3870" customFormat="1" ht="21.75" customHeight="1"/>
    <row r="367" s="3870" customFormat="1" ht="21.75" customHeight="1"/>
    <row r="368" s="3870" customFormat="1" ht="21.75" customHeight="1"/>
    <row r="369" s="3870" customFormat="1" ht="21.75" customHeight="1"/>
    <row r="370" s="3870" customFormat="1" ht="21.75" customHeight="1"/>
    <row r="371" s="3870" customFormat="1" ht="21.75" customHeight="1"/>
    <row r="372" s="3870" customFormat="1" ht="21.75" customHeight="1"/>
    <row r="373" s="3870" customFormat="1" ht="21.75" customHeight="1"/>
    <row r="374" s="3870" customFormat="1" ht="21.75" customHeight="1"/>
    <row r="375" s="3870" customFormat="1" ht="21.75" customHeight="1"/>
    <row r="376" s="3870" customFormat="1" ht="21.75" customHeight="1"/>
    <row r="377" s="3870" customFormat="1" ht="21.75" customHeight="1"/>
    <row r="378" s="3870" customFormat="1" ht="21.75" customHeight="1"/>
    <row r="379" s="3870" customFormat="1" ht="21.75" customHeight="1"/>
    <row r="380" s="3870" customFormat="1" ht="21.75" customHeight="1"/>
    <row r="381" s="3870" customFormat="1" ht="21.75" customHeight="1"/>
    <row r="382" s="3870" customFormat="1" ht="21.75" customHeight="1"/>
    <row r="383" s="3870" customFormat="1" ht="21.75" customHeight="1"/>
    <row r="384" s="3870" customFormat="1" ht="21.75" customHeight="1"/>
    <row r="385" s="3870" customFormat="1" ht="21.75" customHeight="1"/>
    <row r="386" s="3870" customFormat="1" ht="21.75" customHeight="1"/>
    <row r="387" s="3870" customFormat="1" ht="21.75" customHeight="1"/>
    <row r="388" s="3870" customFormat="1" ht="21.75" customHeight="1"/>
    <row r="389" s="3870" customFormat="1" ht="21.75" customHeight="1"/>
    <row r="390" s="3870" customFormat="1" ht="21.75" customHeight="1"/>
    <row r="391" s="3870" customFormat="1" ht="21.75" customHeight="1"/>
    <row r="392" s="3870" customFormat="1" ht="21.75" customHeight="1"/>
    <row r="393" s="3870" customFormat="1" ht="21.75" customHeight="1"/>
    <row r="394" s="3870" customFormat="1" ht="21.75" customHeight="1"/>
    <row r="395" s="3870" customFormat="1" ht="21.75" customHeight="1"/>
    <row r="396" s="3870" customFormat="1" ht="21.75" customHeight="1"/>
    <row r="397" s="3870" customFormat="1" ht="21.75" customHeight="1"/>
    <row r="398" s="3870" customFormat="1" ht="21.75" customHeight="1"/>
    <row r="399" s="3870" customFormat="1" ht="21.75" customHeight="1"/>
    <row r="400" s="3870" customFormat="1" ht="21.75" customHeight="1"/>
    <row r="401" spans="10:26" s="3870" customFormat="1" ht="21.75" customHeight="1"/>
    <row r="402" spans="10:26" s="3870" customFormat="1" ht="21.75" customHeight="1"/>
    <row r="403" spans="10:26" s="3870" customFormat="1" ht="21.75" customHeight="1"/>
    <row r="404" spans="10:26" s="3870" customFormat="1" ht="21.75" customHeight="1"/>
    <row r="405" spans="10:26" s="3870" customFormat="1" ht="21.75" customHeight="1"/>
    <row r="406" spans="10:26" s="3870" customFormat="1" ht="21.75" customHeight="1"/>
    <row r="407" spans="10:26" s="3870" customFormat="1" ht="21.75" customHeight="1"/>
    <row r="408" spans="10:26" s="3870" customFormat="1" ht="21.75" customHeight="1"/>
    <row r="409" spans="10:26" s="3871" customFormat="1" ht="21.75" customHeight="1">
      <c r="J409" s="3870"/>
      <c r="K409" s="3870"/>
      <c r="L409" s="3870"/>
      <c r="M409" s="3870"/>
      <c r="N409" s="3870"/>
      <c r="O409" s="3870"/>
      <c r="P409" s="3870"/>
      <c r="Q409" s="3870"/>
      <c r="R409" s="3870"/>
      <c r="S409" s="3870"/>
      <c r="T409" s="3870"/>
      <c r="U409" s="3870"/>
      <c r="V409" s="3870"/>
      <c r="W409" s="3870"/>
      <c r="X409" s="3870"/>
      <c r="Y409" s="3870"/>
      <c r="Z409" s="3870"/>
    </row>
    <row r="410" spans="10:26" s="3871" customFormat="1" ht="21.75" customHeight="1">
      <c r="J410" s="3870"/>
      <c r="K410" s="3870"/>
      <c r="L410" s="3870"/>
      <c r="M410" s="3870"/>
      <c r="N410" s="3870"/>
      <c r="O410" s="3870"/>
      <c r="P410" s="3870"/>
      <c r="Q410" s="3870"/>
      <c r="R410" s="3870"/>
      <c r="S410" s="3870"/>
      <c r="T410" s="3870"/>
      <c r="U410" s="3870"/>
      <c r="V410" s="3870"/>
      <c r="W410" s="3870"/>
      <c r="X410" s="3870"/>
      <c r="Y410" s="3870"/>
      <c r="Z410" s="3870"/>
    </row>
    <row r="411" spans="10:26" s="3871" customFormat="1" ht="21.75" customHeight="1">
      <c r="J411" s="3870"/>
      <c r="K411" s="3870"/>
      <c r="L411" s="3870"/>
      <c r="M411" s="3870"/>
      <c r="N411" s="3870"/>
      <c r="O411" s="3870"/>
      <c r="P411" s="3870"/>
      <c r="Q411" s="3870"/>
      <c r="R411" s="3870"/>
      <c r="S411" s="3870"/>
      <c r="T411" s="3870"/>
      <c r="U411" s="3870"/>
      <c r="V411" s="3870"/>
      <c r="W411" s="3870"/>
      <c r="X411" s="3870"/>
      <c r="Y411" s="3870"/>
      <c r="Z411" s="3870"/>
    </row>
    <row r="412" spans="10:26" s="3871" customFormat="1" ht="21.75" customHeight="1">
      <c r="J412" s="3870"/>
      <c r="K412" s="3870"/>
      <c r="L412" s="3870"/>
      <c r="M412" s="3870"/>
      <c r="N412" s="3870"/>
      <c r="O412" s="3870"/>
      <c r="P412" s="3870"/>
      <c r="Q412" s="3870"/>
      <c r="R412" s="3870"/>
      <c r="S412" s="3870"/>
      <c r="T412" s="3870"/>
      <c r="U412" s="3870"/>
      <c r="V412" s="3870"/>
      <c r="W412" s="3870"/>
      <c r="X412" s="3870"/>
      <c r="Y412" s="3870"/>
      <c r="Z412" s="3870"/>
    </row>
    <row r="413" spans="10:26" s="3871" customFormat="1" ht="21.75" customHeight="1">
      <c r="J413" s="3870"/>
      <c r="K413" s="3870"/>
      <c r="L413" s="3870"/>
      <c r="M413" s="3870"/>
      <c r="N413" s="3870"/>
      <c r="O413" s="3870"/>
      <c r="P413" s="3870"/>
      <c r="Q413" s="3870"/>
      <c r="R413" s="3870"/>
      <c r="S413" s="3870"/>
      <c r="T413" s="3870"/>
      <c r="U413" s="3870"/>
      <c r="V413" s="3870"/>
      <c r="W413" s="3870"/>
      <c r="X413" s="3870"/>
      <c r="Y413" s="3870"/>
      <c r="Z413" s="3870"/>
    </row>
    <row r="414" spans="10:26" s="3871" customFormat="1" ht="21.75" customHeight="1">
      <c r="J414" s="3870"/>
      <c r="K414" s="3870"/>
      <c r="L414" s="3870"/>
      <c r="M414" s="3870"/>
      <c r="N414" s="3870"/>
      <c r="O414" s="3870"/>
      <c r="P414" s="3870"/>
      <c r="Q414" s="3870"/>
      <c r="R414" s="3870"/>
      <c r="S414" s="3870"/>
      <c r="T414" s="3870"/>
      <c r="U414" s="3870"/>
      <c r="V414" s="3870"/>
      <c r="W414" s="3870"/>
      <c r="X414" s="3870"/>
      <c r="Y414" s="3870"/>
      <c r="Z414" s="3870"/>
    </row>
    <row r="415" spans="10:26" s="3871" customFormat="1" ht="21.75" customHeight="1">
      <c r="J415" s="3870"/>
      <c r="K415" s="3870"/>
      <c r="L415" s="3870"/>
      <c r="M415" s="3870"/>
      <c r="N415" s="3870"/>
      <c r="O415" s="3870"/>
      <c r="P415" s="3870"/>
      <c r="Q415" s="3870"/>
      <c r="R415" s="3870"/>
      <c r="S415" s="3870"/>
      <c r="T415" s="3870"/>
      <c r="U415" s="3870"/>
      <c r="V415" s="3870"/>
      <c r="W415" s="3870"/>
      <c r="X415" s="3870"/>
      <c r="Y415" s="3870"/>
      <c r="Z415" s="3870"/>
    </row>
    <row r="416" spans="10:26" s="3871" customFormat="1" ht="21.75" customHeight="1">
      <c r="J416" s="3870"/>
      <c r="K416" s="3870"/>
      <c r="L416" s="3870"/>
      <c r="M416" s="3870"/>
      <c r="N416" s="3870"/>
      <c r="O416" s="3870"/>
      <c r="P416" s="3870"/>
      <c r="Q416" s="3870"/>
      <c r="R416" s="3870"/>
      <c r="S416" s="3870"/>
      <c r="T416" s="3870"/>
      <c r="U416" s="3870"/>
      <c r="V416" s="3870"/>
      <c r="W416" s="3870"/>
      <c r="X416" s="3870"/>
      <c r="Y416" s="3870"/>
      <c r="Z416" s="3870"/>
    </row>
    <row r="417" spans="10:26" s="3871" customFormat="1" ht="21.75" customHeight="1">
      <c r="J417" s="3870"/>
      <c r="K417" s="3870"/>
      <c r="L417" s="3870"/>
      <c r="M417" s="3870"/>
      <c r="N417" s="3870"/>
      <c r="O417" s="3870"/>
      <c r="P417" s="3870"/>
      <c r="Q417" s="3870"/>
      <c r="R417" s="3870"/>
      <c r="S417" s="3870"/>
      <c r="T417" s="3870"/>
      <c r="U417" s="3870"/>
      <c r="V417" s="3870"/>
      <c r="W417" s="3870"/>
      <c r="X417" s="3870"/>
      <c r="Y417" s="3870"/>
      <c r="Z417" s="3870"/>
    </row>
    <row r="418" spans="10:26" s="3871" customFormat="1" ht="21.75" customHeight="1">
      <c r="J418" s="3870"/>
      <c r="K418" s="3870"/>
      <c r="L418" s="3870"/>
      <c r="M418" s="3870"/>
      <c r="N418" s="3870"/>
      <c r="O418" s="3870"/>
      <c r="P418" s="3870"/>
      <c r="Q418" s="3870"/>
      <c r="R418" s="3870"/>
      <c r="S418" s="3870"/>
      <c r="T418" s="3870"/>
      <c r="U418" s="3870"/>
      <c r="V418" s="3870"/>
      <c r="W418" s="3870"/>
      <c r="X418" s="3870"/>
      <c r="Y418" s="3870"/>
      <c r="Z418" s="3870"/>
    </row>
    <row r="419" spans="10:26" s="3871" customFormat="1" ht="21.75" customHeight="1">
      <c r="J419" s="3870"/>
      <c r="K419" s="3870"/>
      <c r="L419" s="3870"/>
      <c r="M419" s="3870"/>
      <c r="N419" s="3870"/>
      <c r="O419" s="3870"/>
      <c r="P419" s="3870"/>
      <c r="Q419" s="3870"/>
      <c r="R419" s="3870"/>
      <c r="S419" s="3870"/>
      <c r="T419" s="3870"/>
      <c r="U419" s="3870"/>
      <c r="V419" s="3870"/>
      <c r="W419" s="3870"/>
      <c r="X419" s="3870"/>
      <c r="Y419" s="3870"/>
      <c r="Z419" s="3870"/>
    </row>
    <row r="420" spans="10:26" s="3871" customFormat="1" ht="21.75" customHeight="1">
      <c r="J420" s="3870"/>
      <c r="K420" s="3870"/>
      <c r="L420" s="3870"/>
      <c r="M420" s="3870"/>
      <c r="N420" s="3870"/>
      <c r="O420" s="3870"/>
      <c r="P420" s="3870"/>
      <c r="Q420" s="3870"/>
      <c r="R420" s="3870"/>
      <c r="S420" s="3870"/>
      <c r="T420" s="3870"/>
      <c r="U420" s="3870"/>
      <c r="V420" s="3870"/>
      <c r="W420" s="3870"/>
      <c r="X420" s="3870"/>
      <c r="Y420" s="3870"/>
      <c r="Z420" s="3870"/>
    </row>
    <row r="421" spans="10:26" s="3871" customFormat="1" ht="21.75" customHeight="1">
      <c r="J421" s="3870"/>
      <c r="K421" s="3870"/>
      <c r="L421" s="3870"/>
      <c r="M421" s="3870"/>
      <c r="N421" s="3870"/>
      <c r="O421" s="3870"/>
      <c r="P421" s="3870"/>
      <c r="Q421" s="3870"/>
      <c r="R421" s="3870"/>
      <c r="S421" s="3870"/>
      <c r="T421" s="3870"/>
      <c r="U421" s="3870"/>
      <c r="V421" s="3870"/>
      <c r="W421" s="3870"/>
      <c r="X421" s="3870"/>
      <c r="Y421" s="3870"/>
      <c r="Z421" s="3870"/>
    </row>
    <row r="422" spans="10:26" s="3871" customFormat="1" ht="21.75" customHeight="1">
      <c r="J422" s="3870"/>
      <c r="K422" s="3870"/>
      <c r="L422" s="3870"/>
      <c r="M422" s="3870"/>
      <c r="N422" s="3870"/>
      <c r="O422" s="3870"/>
      <c r="P422" s="3870"/>
      <c r="Q422" s="3870"/>
      <c r="R422" s="3870"/>
      <c r="S422" s="3870"/>
      <c r="T422" s="3870"/>
      <c r="U422" s="3870"/>
      <c r="V422" s="3870"/>
      <c r="W422" s="3870"/>
      <c r="X422" s="3870"/>
      <c r="Y422" s="3870"/>
      <c r="Z422" s="3870"/>
    </row>
    <row r="423" spans="10:26" s="3871" customFormat="1" ht="21.75" customHeight="1">
      <c r="J423" s="3870"/>
      <c r="K423" s="3870"/>
      <c r="L423" s="3870"/>
      <c r="M423" s="3870"/>
      <c r="N423" s="3870"/>
      <c r="O423" s="3870"/>
      <c r="P423" s="3870"/>
      <c r="Q423" s="3870"/>
      <c r="R423" s="3870"/>
      <c r="S423" s="3870"/>
      <c r="T423" s="3870"/>
      <c r="U423" s="3870"/>
      <c r="V423" s="3870"/>
      <c r="W423" s="3870"/>
      <c r="X423" s="3870"/>
      <c r="Y423" s="3870"/>
      <c r="Z423" s="3870"/>
    </row>
    <row r="424" spans="10:26" s="3871" customFormat="1" ht="21.75" customHeight="1">
      <c r="J424" s="3870"/>
      <c r="K424" s="3870"/>
      <c r="L424" s="3870"/>
      <c r="M424" s="3870"/>
      <c r="N424" s="3870"/>
      <c r="O424" s="3870"/>
      <c r="P424" s="3870"/>
      <c r="Q424" s="3870"/>
      <c r="R424" s="3870"/>
      <c r="S424" s="3870"/>
      <c r="T424" s="3870"/>
      <c r="U424" s="3870"/>
      <c r="V424" s="3870"/>
      <c r="W424" s="3870"/>
      <c r="X424" s="3870"/>
      <c r="Y424" s="3870"/>
      <c r="Z424" s="3870"/>
    </row>
    <row r="425" spans="10:26" s="3871" customFormat="1" ht="21.75" customHeight="1">
      <c r="J425" s="3870"/>
      <c r="K425" s="3870"/>
      <c r="L425" s="3870"/>
      <c r="M425" s="3870"/>
      <c r="N425" s="3870"/>
      <c r="O425" s="3870"/>
      <c r="P425" s="3870"/>
      <c r="Q425" s="3870"/>
      <c r="R425" s="3870"/>
      <c r="S425" s="3870"/>
      <c r="T425" s="3870"/>
      <c r="U425" s="3870"/>
      <c r="V425" s="3870"/>
      <c r="W425" s="3870"/>
      <c r="X425" s="3870"/>
      <c r="Y425" s="3870"/>
      <c r="Z425" s="3870"/>
    </row>
    <row r="426" spans="10:26" s="3871" customFormat="1" ht="21.75" customHeight="1">
      <c r="J426" s="3870"/>
      <c r="K426" s="3870"/>
      <c r="L426" s="3870"/>
      <c r="M426" s="3870"/>
      <c r="N426" s="3870"/>
      <c r="O426" s="3870"/>
      <c r="P426" s="3870"/>
      <c r="Q426" s="3870"/>
      <c r="R426" s="3870"/>
      <c r="S426" s="3870"/>
      <c r="T426" s="3870"/>
      <c r="U426" s="3870"/>
      <c r="V426" s="3870"/>
      <c r="W426" s="3870"/>
      <c r="X426" s="3870"/>
      <c r="Y426" s="3870"/>
      <c r="Z426" s="3870"/>
    </row>
    <row r="427" spans="10:26" s="3871" customFormat="1" ht="21.75" customHeight="1">
      <c r="J427" s="3870"/>
      <c r="K427" s="3870"/>
      <c r="L427" s="3870"/>
      <c r="M427" s="3870"/>
      <c r="N427" s="3870"/>
      <c r="O427" s="3870"/>
      <c r="P427" s="3870"/>
      <c r="Q427" s="3870"/>
      <c r="R427" s="3870"/>
      <c r="S427" s="3870"/>
      <c r="T427" s="3870"/>
      <c r="U427" s="3870"/>
      <c r="V427" s="3870"/>
      <c r="W427" s="3870"/>
      <c r="X427" s="3870"/>
      <c r="Y427" s="3870"/>
      <c r="Z427" s="3870"/>
    </row>
    <row r="428" spans="10:26" s="3871" customFormat="1" ht="21.75" customHeight="1">
      <c r="J428" s="3870"/>
      <c r="K428" s="3870"/>
      <c r="L428" s="3870"/>
      <c r="M428" s="3870"/>
      <c r="N428" s="3870"/>
      <c r="O428" s="3870"/>
      <c r="P428" s="3870"/>
      <c r="Q428" s="3870"/>
      <c r="R428" s="3870"/>
      <c r="S428" s="3870"/>
      <c r="T428" s="3870"/>
      <c r="U428" s="3870"/>
      <c r="V428" s="3870"/>
      <c r="W428" s="3870"/>
      <c r="X428" s="3870"/>
      <c r="Y428" s="3870"/>
      <c r="Z428" s="3870"/>
    </row>
    <row r="429" spans="10:26" s="3871" customFormat="1" ht="21.75" customHeight="1">
      <c r="J429" s="3870"/>
      <c r="K429" s="3870"/>
      <c r="L429" s="3870"/>
      <c r="M429" s="3870"/>
      <c r="N429" s="3870"/>
      <c r="O429" s="3870"/>
      <c r="P429" s="3870"/>
      <c r="Q429" s="3870"/>
      <c r="R429" s="3870"/>
      <c r="S429" s="3870"/>
      <c r="T429" s="3870"/>
      <c r="U429" s="3870"/>
      <c r="V429" s="3870"/>
      <c r="W429" s="3870"/>
      <c r="X429" s="3870"/>
      <c r="Y429" s="3870"/>
      <c r="Z429" s="3870"/>
    </row>
    <row r="430" spans="10:26" s="3871" customFormat="1" ht="21.75" customHeight="1">
      <c r="J430" s="3870"/>
      <c r="K430" s="3870"/>
      <c r="L430" s="3870"/>
      <c r="M430" s="3870"/>
      <c r="N430" s="3870"/>
      <c r="O430" s="3870"/>
      <c r="P430" s="3870"/>
      <c r="Q430" s="3870"/>
      <c r="R430" s="3870"/>
      <c r="S430" s="3870"/>
      <c r="T430" s="3870"/>
      <c r="U430" s="3870"/>
      <c r="V430" s="3870"/>
      <c r="W430" s="3870"/>
      <c r="X430" s="3870"/>
      <c r="Y430" s="3870"/>
      <c r="Z430" s="3870"/>
    </row>
    <row r="431" spans="10:26" s="3871" customFormat="1" ht="21.75" customHeight="1">
      <c r="J431" s="3870"/>
      <c r="K431" s="3870"/>
      <c r="L431" s="3870"/>
      <c r="M431" s="3870"/>
      <c r="N431" s="3870"/>
      <c r="O431" s="3870"/>
      <c r="P431" s="3870"/>
      <c r="Q431" s="3870"/>
      <c r="R431" s="3870"/>
      <c r="S431" s="3870"/>
      <c r="T431" s="3870"/>
      <c r="U431" s="3870"/>
      <c r="V431" s="3870"/>
      <c r="W431" s="3870"/>
      <c r="X431" s="3870"/>
      <c r="Y431" s="3870"/>
      <c r="Z431" s="3870"/>
    </row>
    <row r="432" spans="10:26" s="3871" customFormat="1" ht="21.75" customHeight="1">
      <c r="J432" s="3870"/>
      <c r="K432" s="3870"/>
      <c r="L432" s="3870"/>
      <c r="M432" s="3870"/>
      <c r="N432" s="3870"/>
      <c r="O432" s="3870"/>
      <c r="P432" s="3870"/>
      <c r="Q432" s="3870"/>
      <c r="R432" s="3870"/>
      <c r="S432" s="3870"/>
      <c r="T432" s="3870"/>
      <c r="U432" s="3870"/>
      <c r="V432" s="3870"/>
      <c r="W432" s="3870"/>
      <c r="X432" s="3870"/>
      <c r="Y432" s="3870"/>
      <c r="Z432" s="3870"/>
    </row>
    <row r="433" spans="10:26" s="3871" customFormat="1" ht="21.75" customHeight="1">
      <c r="J433" s="3870"/>
      <c r="K433" s="3870"/>
      <c r="L433" s="3870"/>
      <c r="M433" s="3870"/>
      <c r="N433" s="3870"/>
      <c r="O433" s="3870"/>
      <c r="P433" s="3870"/>
      <c r="Q433" s="3870"/>
      <c r="R433" s="3870"/>
      <c r="S433" s="3870"/>
      <c r="T433" s="3870"/>
      <c r="U433" s="3870"/>
      <c r="V433" s="3870"/>
      <c r="W433" s="3870"/>
      <c r="X433" s="3870"/>
      <c r="Y433" s="3870"/>
      <c r="Z433" s="3870"/>
    </row>
    <row r="434" spans="10:26" s="3871" customFormat="1" ht="21.75" customHeight="1">
      <c r="J434" s="3870"/>
      <c r="K434" s="3870"/>
      <c r="L434" s="3870"/>
      <c r="M434" s="3870"/>
      <c r="N434" s="3870"/>
      <c r="O434" s="3870"/>
      <c r="P434" s="3870"/>
      <c r="Q434" s="3870"/>
      <c r="R434" s="3870"/>
      <c r="S434" s="3870"/>
      <c r="T434" s="3870"/>
      <c r="U434" s="3870"/>
      <c r="V434" s="3870"/>
      <c r="W434" s="3870"/>
      <c r="X434" s="3870"/>
      <c r="Y434" s="3870"/>
      <c r="Z434" s="3870"/>
    </row>
    <row r="435" spans="10:26" s="3871" customFormat="1" ht="21.75" customHeight="1">
      <c r="J435" s="3870"/>
      <c r="K435" s="3870"/>
      <c r="L435" s="3870"/>
      <c r="M435" s="3870"/>
      <c r="N435" s="3870"/>
      <c r="O435" s="3870"/>
      <c r="P435" s="3870"/>
      <c r="Q435" s="3870"/>
      <c r="R435" s="3870"/>
      <c r="S435" s="3870"/>
      <c r="T435" s="3870"/>
      <c r="U435" s="3870"/>
      <c r="V435" s="3870"/>
      <c r="W435" s="3870"/>
      <c r="X435" s="3870"/>
      <c r="Y435" s="3870"/>
      <c r="Z435" s="3870"/>
    </row>
    <row r="436" spans="10:26" s="3871" customFormat="1" ht="21.75" customHeight="1">
      <c r="J436" s="3870"/>
      <c r="K436" s="3870"/>
      <c r="L436" s="3870"/>
      <c r="M436" s="3870"/>
      <c r="N436" s="3870"/>
      <c r="O436" s="3870"/>
      <c r="P436" s="3870"/>
      <c r="Q436" s="3870"/>
      <c r="R436" s="3870"/>
      <c r="S436" s="3870"/>
      <c r="T436" s="3870"/>
      <c r="U436" s="3870"/>
      <c r="V436" s="3870"/>
      <c r="W436" s="3870"/>
      <c r="X436" s="3870"/>
      <c r="Y436" s="3870"/>
      <c r="Z436" s="3870"/>
    </row>
    <row r="437" spans="10:26" s="3871" customFormat="1" ht="21.75" customHeight="1">
      <c r="J437" s="3870"/>
      <c r="K437" s="3870"/>
      <c r="L437" s="3870"/>
      <c r="M437" s="3870"/>
      <c r="N437" s="3870"/>
      <c r="O437" s="3870"/>
      <c r="P437" s="3870"/>
      <c r="Q437" s="3870"/>
      <c r="R437" s="3870"/>
      <c r="S437" s="3870"/>
      <c r="T437" s="3870"/>
      <c r="U437" s="3870"/>
      <c r="V437" s="3870"/>
      <c r="W437" s="3870"/>
      <c r="X437" s="3870"/>
      <c r="Y437" s="3870"/>
      <c r="Z437" s="3870"/>
    </row>
    <row r="438" spans="10:26" s="3871" customFormat="1" ht="21.75" customHeight="1">
      <c r="J438" s="3870"/>
      <c r="K438" s="3870"/>
      <c r="L438" s="3870"/>
      <c r="M438" s="3870"/>
      <c r="N438" s="3870"/>
      <c r="O438" s="3870"/>
      <c r="P438" s="3870"/>
      <c r="Q438" s="3870"/>
      <c r="R438" s="3870"/>
      <c r="S438" s="3870"/>
      <c r="T438" s="3870"/>
      <c r="U438" s="3870"/>
      <c r="V438" s="3870"/>
      <c r="W438" s="3870"/>
      <c r="X438" s="3870"/>
      <c r="Y438" s="3870"/>
      <c r="Z438" s="3870"/>
    </row>
    <row r="439" spans="10:26" s="3871" customFormat="1" ht="21.75" customHeight="1">
      <c r="J439" s="3870"/>
      <c r="K439" s="3870"/>
      <c r="L439" s="3870"/>
      <c r="M439" s="3870"/>
      <c r="N439" s="3870"/>
      <c r="O439" s="3870"/>
      <c r="P439" s="3870"/>
      <c r="Q439" s="3870"/>
      <c r="R439" s="3870"/>
      <c r="S439" s="3870"/>
      <c r="T439" s="3870"/>
      <c r="U439" s="3870"/>
      <c r="V439" s="3870"/>
      <c r="W439" s="3870"/>
      <c r="X439" s="3870"/>
      <c r="Y439" s="3870"/>
      <c r="Z439" s="3870"/>
    </row>
    <row r="440" spans="10:26" s="3871" customFormat="1" ht="21.75" customHeight="1">
      <c r="J440" s="3870"/>
      <c r="K440" s="3870"/>
      <c r="L440" s="3870"/>
      <c r="M440" s="3870"/>
      <c r="N440" s="3870"/>
      <c r="O440" s="3870"/>
      <c r="P440" s="3870"/>
      <c r="Q440" s="3870"/>
      <c r="R440" s="3870"/>
      <c r="S440" s="3870"/>
      <c r="T440" s="3870"/>
      <c r="U440" s="3870"/>
      <c r="V440" s="3870"/>
      <c r="W440" s="3870"/>
      <c r="X440" s="3870"/>
      <c r="Y440" s="3870"/>
      <c r="Z440" s="3870"/>
    </row>
    <row r="441" spans="10:26" s="3871" customFormat="1" ht="21.75" customHeight="1">
      <c r="J441" s="3870"/>
      <c r="K441" s="3870"/>
      <c r="L441" s="3870"/>
      <c r="M441" s="3870"/>
      <c r="N441" s="3870"/>
      <c r="O441" s="3870"/>
      <c r="P441" s="3870"/>
      <c r="Q441" s="3870"/>
      <c r="R441" s="3870"/>
      <c r="S441" s="3870"/>
      <c r="T441" s="3870"/>
      <c r="U441" s="3870"/>
      <c r="V441" s="3870"/>
      <c r="W441" s="3870"/>
      <c r="X441" s="3870"/>
      <c r="Y441" s="3870"/>
      <c r="Z441" s="3870"/>
    </row>
    <row r="442" spans="10:26" s="3871" customFormat="1" ht="21.75" customHeight="1">
      <c r="J442" s="3870"/>
      <c r="K442" s="3870"/>
      <c r="L442" s="3870"/>
      <c r="M442" s="3870"/>
      <c r="N442" s="3870"/>
      <c r="O442" s="3870"/>
      <c r="P442" s="3870"/>
      <c r="Q442" s="3870"/>
      <c r="R442" s="3870"/>
      <c r="S442" s="3870"/>
      <c r="T442" s="3870"/>
      <c r="U442" s="3870"/>
      <c r="V442" s="3870"/>
      <c r="W442" s="3870"/>
      <c r="X442" s="3870"/>
      <c r="Y442" s="3870"/>
      <c r="Z442" s="3870"/>
    </row>
    <row r="443" spans="10:26" s="3871" customFormat="1" ht="21.75" customHeight="1">
      <c r="J443" s="3870"/>
      <c r="K443" s="3870"/>
      <c r="L443" s="3870"/>
      <c r="M443" s="3870"/>
      <c r="N443" s="3870"/>
      <c r="O443" s="3870"/>
      <c r="P443" s="3870"/>
      <c r="Q443" s="3870"/>
      <c r="R443" s="3870"/>
      <c r="S443" s="3870"/>
      <c r="T443" s="3870"/>
      <c r="U443" s="3870"/>
      <c r="V443" s="3870"/>
      <c r="W443" s="3870"/>
      <c r="X443" s="3870"/>
      <c r="Y443" s="3870"/>
      <c r="Z443" s="3870"/>
    </row>
    <row r="444" spans="10:26" s="3871" customFormat="1" ht="21.75" customHeight="1">
      <c r="J444" s="3870"/>
      <c r="K444" s="3870"/>
      <c r="L444" s="3870"/>
      <c r="M444" s="3870"/>
      <c r="N444" s="3870"/>
      <c r="O444" s="3870"/>
      <c r="P444" s="3870"/>
      <c r="Q444" s="3870"/>
      <c r="R444" s="3870"/>
      <c r="S444" s="3870"/>
      <c r="T444" s="3870"/>
      <c r="U444" s="3870"/>
      <c r="V444" s="3870"/>
      <c r="W444" s="3870"/>
      <c r="X444" s="3870"/>
      <c r="Y444" s="3870"/>
      <c r="Z444" s="3870"/>
    </row>
    <row r="445" spans="10:26" s="3871" customFormat="1" ht="21.75" customHeight="1">
      <c r="J445" s="3870"/>
      <c r="K445" s="3870"/>
      <c r="L445" s="3870"/>
      <c r="M445" s="3870"/>
      <c r="N445" s="3870"/>
      <c r="O445" s="3870"/>
      <c r="P445" s="3870"/>
      <c r="Q445" s="3870"/>
      <c r="R445" s="3870"/>
      <c r="S445" s="3870"/>
      <c r="T445" s="3870"/>
      <c r="U445" s="3870"/>
      <c r="V445" s="3870"/>
      <c r="W445" s="3870"/>
      <c r="X445" s="3870"/>
      <c r="Y445" s="3870"/>
      <c r="Z445" s="3870"/>
    </row>
    <row r="446" spans="10:26" s="3871" customFormat="1" ht="21.75" customHeight="1">
      <c r="J446" s="3870"/>
      <c r="K446" s="3870"/>
      <c r="L446" s="3870"/>
      <c r="M446" s="3870"/>
      <c r="N446" s="3870"/>
      <c r="O446" s="3870"/>
      <c r="P446" s="3870"/>
      <c r="Q446" s="3870"/>
      <c r="R446" s="3870"/>
      <c r="S446" s="3870"/>
      <c r="T446" s="3870"/>
      <c r="U446" s="3870"/>
      <c r="V446" s="3870"/>
      <c r="W446" s="3870"/>
      <c r="X446" s="3870"/>
      <c r="Y446" s="3870"/>
      <c r="Z446" s="3870"/>
    </row>
    <row r="447" spans="10:26" s="3871" customFormat="1" ht="21.75" customHeight="1">
      <c r="J447" s="3870"/>
      <c r="K447" s="3870"/>
      <c r="L447" s="3870"/>
      <c r="M447" s="3870"/>
      <c r="N447" s="3870"/>
      <c r="O447" s="3870"/>
      <c r="P447" s="3870"/>
      <c r="Q447" s="3870"/>
      <c r="R447" s="3870"/>
      <c r="S447" s="3870"/>
      <c r="T447" s="3870"/>
      <c r="U447" s="3870"/>
      <c r="V447" s="3870"/>
      <c r="W447" s="3870"/>
      <c r="X447" s="3870"/>
      <c r="Y447" s="3870"/>
      <c r="Z447" s="3870"/>
    </row>
    <row r="448" spans="10:26" s="3871" customFormat="1" ht="21.75" customHeight="1">
      <c r="J448" s="3870"/>
      <c r="K448" s="3870"/>
      <c r="L448" s="3870"/>
      <c r="M448" s="3870"/>
      <c r="N448" s="3870"/>
      <c r="O448" s="3870"/>
      <c r="P448" s="3870"/>
      <c r="Q448" s="3870"/>
      <c r="R448" s="3870"/>
      <c r="S448" s="3870"/>
      <c r="T448" s="3870"/>
      <c r="U448" s="3870"/>
      <c r="V448" s="3870"/>
      <c r="W448" s="3870"/>
      <c r="X448" s="3870"/>
      <c r="Y448" s="3870"/>
      <c r="Z448" s="3870"/>
    </row>
    <row r="449" spans="10:26" s="3871" customFormat="1" ht="21.75" customHeight="1">
      <c r="J449" s="3870"/>
      <c r="K449" s="3870"/>
      <c r="L449" s="3870"/>
      <c r="M449" s="3870"/>
      <c r="N449" s="3870"/>
      <c r="O449" s="3870"/>
      <c r="P449" s="3870"/>
      <c r="Q449" s="3870"/>
      <c r="R449" s="3870"/>
      <c r="S449" s="3870"/>
      <c r="T449" s="3870"/>
      <c r="U449" s="3870"/>
      <c r="V449" s="3870"/>
      <c r="W449" s="3870"/>
      <c r="X449" s="3870"/>
      <c r="Y449" s="3870"/>
      <c r="Z449" s="3870"/>
    </row>
    <row r="450" spans="10:26" s="3871" customFormat="1" ht="21.75" customHeight="1">
      <c r="J450" s="3870"/>
      <c r="K450" s="3870"/>
      <c r="L450" s="3870"/>
      <c r="M450" s="3870"/>
      <c r="N450" s="3870"/>
      <c r="O450" s="3870"/>
      <c r="P450" s="3870"/>
      <c r="Q450" s="3870"/>
      <c r="R450" s="3870"/>
      <c r="S450" s="3870"/>
      <c r="T450" s="3870"/>
      <c r="U450" s="3870"/>
      <c r="V450" s="3870"/>
      <c r="W450" s="3870"/>
      <c r="X450" s="3870"/>
      <c r="Y450" s="3870"/>
      <c r="Z450" s="3870"/>
    </row>
    <row r="451" spans="10:26" s="3871" customFormat="1" ht="21.75" customHeight="1">
      <c r="J451" s="3870"/>
      <c r="K451" s="3870"/>
      <c r="L451" s="3870"/>
      <c r="M451" s="3870"/>
      <c r="N451" s="3870"/>
      <c r="O451" s="3870"/>
      <c r="P451" s="3870"/>
      <c r="Q451" s="3870"/>
      <c r="R451" s="3870"/>
      <c r="S451" s="3870"/>
      <c r="T451" s="3870"/>
      <c r="U451" s="3870"/>
      <c r="V451" s="3870"/>
      <c r="W451" s="3870"/>
      <c r="X451" s="3870"/>
      <c r="Y451" s="3870"/>
      <c r="Z451" s="3870"/>
    </row>
    <row r="452" spans="10:26" s="3871" customFormat="1" ht="21.75" customHeight="1">
      <c r="J452" s="3870"/>
      <c r="K452" s="3870"/>
      <c r="L452" s="3870"/>
      <c r="M452" s="3870"/>
      <c r="N452" s="3870"/>
      <c r="O452" s="3870"/>
      <c r="P452" s="3870"/>
      <c r="Q452" s="3870"/>
      <c r="R452" s="3870"/>
      <c r="S452" s="3870"/>
      <c r="T452" s="3870"/>
      <c r="U452" s="3870"/>
      <c r="V452" s="3870"/>
      <c r="W452" s="3870"/>
      <c r="X452" s="3870"/>
      <c r="Y452" s="3870"/>
      <c r="Z452" s="3870"/>
    </row>
    <row r="453" spans="10:26" s="3871" customFormat="1" ht="21.75" customHeight="1">
      <c r="J453" s="3870"/>
      <c r="K453" s="3870"/>
      <c r="L453" s="3870"/>
      <c r="M453" s="3870"/>
      <c r="N453" s="3870"/>
      <c r="O453" s="3870"/>
      <c r="P453" s="3870"/>
      <c r="Q453" s="3870"/>
      <c r="R453" s="3870"/>
      <c r="S453" s="3870"/>
      <c r="T453" s="3870"/>
      <c r="U453" s="3870"/>
      <c r="V453" s="3870"/>
      <c r="W453" s="3870"/>
      <c r="X453" s="3870"/>
      <c r="Y453" s="3870"/>
      <c r="Z453" s="3870"/>
    </row>
    <row r="454" spans="10:26" s="3871" customFormat="1" ht="21.75" customHeight="1">
      <c r="J454" s="3870"/>
      <c r="K454" s="3870"/>
      <c r="L454" s="3870"/>
      <c r="M454" s="3870"/>
      <c r="N454" s="3870"/>
      <c r="O454" s="3870"/>
      <c r="P454" s="3870"/>
      <c r="Q454" s="3870"/>
      <c r="R454" s="3870"/>
      <c r="S454" s="3870"/>
      <c r="T454" s="3870"/>
      <c r="U454" s="3870"/>
      <c r="V454" s="3870"/>
      <c r="W454" s="3870"/>
      <c r="X454" s="3870"/>
      <c r="Y454" s="3870"/>
      <c r="Z454" s="3870"/>
    </row>
    <row r="455" spans="10:26" s="3871" customFormat="1" ht="21.75" customHeight="1">
      <c r="J455" s="3870"/>
      <c r="K455" s="3870"/>
      <c r="L455" s="3870"/>
      <c r="M455" s="3870"/>
      <c r="N455" s="3870"/>
      <c r="O455" s="3870"/>
      <c r="P455" s="3870"/>
      <c r="Q455" s="3870"/>
      <c r="R455" s="3870"/>
      <c r="S455" s="3870"/>
      <c r="T455" s="3870"/>
      <c r="U455" s="3870"/>
      <c r="V455" s="3870"/>
      <c r="W455" s="3870"/>
      <c r="X455" s="3870"/>
      <c r="Y455" s="3870"/>
      <c r="Z455" s="3870"/>
    </row>
    <row r="456" spans="10:26" s="3871" customFormat="1" ht="21.75" customHeight="1">
      <c r="J456" s="3870"/>
      <c r="K456" s="3870"/>
      <c r="L456" s="3870"/>
      <c r="M456" s="3870"/>
      <c r="N456" s="3870"/>
      <c r="O456" s="3870"/>
      <c r="P456" s="3870"/>
      <c r="Q456" s="3870"/>
      <c r="R456" s="3870"/>
      <c r="S456" s="3870"/>
      <c r="T456" s="3870"/>
      <c r="U456" s="3870"/>
      <c r="V456" s="3870"/>
      <c r="W456" s="3870"/>
      <c r="X456" s="3870"/>
      <c r="Y456" s="3870"/>
      <c r="Z456" s="3870"/>
    </row>
    <row r="457" spans="10:26" s="3871" customFormat="1" ht="21.75" customHeight="1">
      <c r="J457" s="3870"/>
      <c r="K457" s="3870"/>
      <c r="L457" s="3870"/>
      <c r="M457" s="3870"/>
      <c r="N457" s="3870"/>
      <c r="O457" s="3870"/>
      <c r="P457" s="3870"/>
      <c r="Q457" s="3870"/>
      <c r="R457" s="3870"/>
      <c r="S457" s="3870"/>
      <c r="T457" s="3870"/>
      <c r="U457" s="3870"/>
      <c r="V457" s="3870"/>
      <c r="W457" s="3870"/>
      <c r="X457" s="3870"/>
      <c r="Y457" s="3870"/>
      <c r="Z457" s="3870"/>
    </row>
    <row r="458" spans="10:26" s="3871" customFormat="1" ht="21.75" customHeight="1">
      <c r="J458" s="3870"/>
      <c r="K458" s="3870"/>
      <c r="L458" s="3870"/>
      <c r="M458" s="3870"/>
      <c r="N458" s="3870"/>
      <c r="O458" s="3870"/>
      <c r="P458" s="3870"/>
      <c r="Q458" s="3870"/>
      <c r="R458" s="3870"/>
      <c r="S458" s="3870"/>
      <c r="T458" s="3870"/>
      <c r="U458" s="3870"/>
      <c r="V458" s="3870"/>
      <c r="W458" s="3870"/>
      <c r="X458" s="3870"/>
      <c r="Y458" s="3870"/>
      <c r="Z458" s="3870"/>
    </row>
    <row r="459" spans="10:26" s="3871" customFormat="1" ht="21.75" customHeight="1">
      <c r="J459" s="3870"/>
      <c r="K459" s="3870"/>
      <c r="L459" s="3870"/>
      <c r="M459" s="3870"/>
      <c r="N459" s="3870"/>
      <c r="O459" s="3870"/>
      <c r="P459" s="3870"/>
      <c r="Q459" s="3870"/>
      <c r="R459" s="3870"/>
      <c r="S459" s="3870"/>
      <c r="T459" s="3870"/>
      <c r="U459" s="3870"/>
      <c r="V459" s="3870"/>
      <c r="W459" s="3870"/>
      <c r="X459" s="3870"/>
      <c r="Y459" s="3870"/>
      <c r="Z459" s="3870"/>
    </row>
    <row r="460" spans="10:26" s="3871" customFormat="1" ht="21.75" customHeight="1">
      <c r="J460" s="3870"/>
      <c r="K460" s="3870"/>
      <c r="L460" s="3870"/>
      <c r="M460" s="3870"/>
      <c r="N460" s="3870"/>
      <c r="O460" s="3870"/>
      <c r="P460" s="3870"/>
      <c r="Q460" s="3870"/>
      <c r="R460" s="3870"/>
      <c r="S460" s="3870"/>
      <c r="T460" s="3870"/>
      <c r="U460" s="3870"/>
      <c r="V460" s="3870"/>
      <c r="W460" s="3870"/>
      <c r="X460" s="3870"/>
      <c r="Y460" s="3870"/>
      <c r="Z460" s="3870"/>
    </row>
    <row r="461" spans="10:26" s="3871" customFormat="1" ht="21.75" customHeight="1">
      <c r="J461" s="3870"/>
      <c r="K461" s="3870"/>
      <c r="L461" s="3870"/>
      <c r="M461" s="3870"/>
      <c r="N461" s="3870"/>
      <c r="O461" s="3870"/>
      <c r="P461" s="3870"/>
      <c r="Q461" s="3870"/>
      <c r="R461" s="3870"/>
      <c r="S461" s="3870"/>
      <c r="T461" s="3870"/>
      <c r="U461" s="3870"/>
      <c r="V461" s="3870"/>
      <c r="W461" s="3870"/>
      <c r="X461" s="3870"/>
      <c r="Y461" s="3870"/>
      <c r="Z461" s="3870"/>
    </row>
    <row r="462" spans="10:26" s="3871" customFormat="1" ht="21.75" customHeight="1">
      <c r="J462" s="3870"/>
      <c r="K462" s="3870"/>
      <c r="L462" s="3870"/>
      <c r="M462" s="3870"/>
      <c r="N462" s="3870"/>
      <c r="O462" s="3870"/>
      <c r="P462" s="3870"/>
      <c r="Q462" s="3870"/>
      <c r="R462" s="3870"/>
      <c r="S462" s="3870"/>
      <c r="T462" s="3870"/>
      <c r="U462" s="3870"/>
      <c r="V462" s="3870"/>
      <c r="W462" s="3870"/>
      <c r="X462" s="3870"/>
      <c r="Y462" s="3870"/>
      <c r="Z462" s="3870"/>
    </row>
    <row r="463" spans="10:26" s="3871" customFormat="1" ht="21.75" customHeight="1">
      <c r="J463" s="3870"/>
      <c r="K463" s="3870"/>
      <c r="L463" s="3870"/>
      <c r="M463" s="3870"/>
      <c r="N463" s="3870"/>
      <c r="O463" s="3870"/>
      <c r="P463" s="3870"/>
      <c r="Q463" s="3870"/>
      <c r="R463" s="3870"/>
      <c r="S463" s="3870"/>
      <c r="T463" s="3870"/>
      <c r="U463" s="3870"/>
      <c r="V463" s="3870"/>
      <c r="W463" s="3870"/>
      <c r="X463" s="3870"/>
      <c r="Y463" s="3870"/>
      <c r="Z463" s="3870"/>
    </row>
    <row r="464" spans="10:26" s="3871" customFormat="1" ht="21.75" customHeight="1">
      <c r="J464" s="3870"/>
      <c r="K464" s="3870"/>
      <c r="L464" s="3870"/>
      <c r="M464" s="3870"/>
      <c r="N464" s="3870"/>
      <c r="O464" s="3870"/>
      <c r="P464" s="3870"/>
      <c r="Q464" s="3870"/>
      <c r="R464" s="3870"/>
      <c r="S464" s="3870"/>
      <c r="T464" s="3870"/>
      <c r="U464" s="3870"/>
      <c r="V464" s="3870"/>
      <c r="W464" s="3870"/>
      <c r="X464" s="3870"/>
      <c r="Y464" s="3870"/>
      <c r="Z464" s="3870"/>
    </row>
    <row r="465" spans="10:26" s="3871" customFormat="1" ht="21.75" customHeight="1">
      <c r="J465" s="3870"/>
      <c r="K465" s="3870"/>
      <c r="L465" s="3870"/>
      <c r="M465" s="3870"/>
      <c r="N465" s="3870"/>
      <c r="O465" s="3870"/>
      <c r="P465" s="3870"/>
      <c r="Q465" s="3870"/>
      <c r="R465" s="3870"/>
      <c r="S465" s="3870"/>
      <c r="T465" s="3870"/>
      <c r="U465" s="3870"/>
      <c r="V465" s="3870"/>
      <c r="W465" s="3870"/>
      <c r="X465" s="3870"/>
      <c r="Y465" s="3870"/>
      <c r="Z465" s="3870"/>
    </row>
    <row r="466" spans="10:26" s="3871" customFormat="1" ht="21.75" customHeight="1">
      <c r="J466" s="3870"/>
      <c r="K466" s="3870"/>
      <c r="L466" s="3870"/>
      <c r="M466" s="3870"/>
      <c r="N466" s="3870"/>
      <c r="O466" s="3870"/>
      <c r="P466" s="3870"/>
      <c r="Q466" s="3870"/>
      <c r="R466" s="3870"/>
      <c r="S466" s="3870"/>
      <c r="T466" s="3870"/>
      <c r="U466" s="3870"/>
      <c r="V466" s="3870"/>
      <c r="W466" s="3870"/>
      <c r="X466" s="3870"/>
      <c r="Y466" s="3870"/>
      <c r="Z466" s="3870"/>
    </row>
    <row r="467" spans="10:26" s="3871" customFormat="1" ht="21.75" customHeight="1">
      <c r="J467" s="3870"/>
      <c r="K467" s="3870"/>
      <c r="L467" s="3870"/>
      <c r="M467" s="3870"/>
      <c r="N467" s="3870"/>
      <c r="O467" s="3870"/>
      <c r="P467" s="3870"/>
      <c r="Q467" s="3870"/>
      <c r="R467" s="3870"/>
      <c r="S467" s="3870"/>
      <c r="T467" s="3870"/>
      <c r="U467" s="3870"/>
      <c r="V467" s="3870"/>
      <c r="W467" s="3870"/>
      <c r="X467" s="3870"/>
      <c r="Y467" s="3870"/>
      <c r="Z467" s="3870"/>
    </row>
    <row r="468" spans="10:26" s="3871" customFormat="1" ht="21.75" customHeight="1">
      <c r="J468" s="3870"/>
      <c r="K468" s="3870"/>
      <c r="L468" s="3870"/>
      <c r="M468" s="3870"/>
      <c r="N468" s="3870"/>
      <c r="O468" s="3870"/>
      <c r="P468" s="3870"/>
      <c r="Q468" s="3870"/>
      <c r="R468" s="3870"/>
      <c r="S468" s="3870"/>
      <c r="T468" s="3870"/>
      <c r="U468" s="3870"/>
      <c r="V468" s="3870"/>
      <c r="W468" s="3870"/>
      <c r="X468" s="3870"/>
      <c r="Y468" s="3870"/>
      <c r="Z468" s="3870"/>
    </row>
    <row r="469" spans="10:26" s="3871" customFormat="1" ht="21.75" customHeight="1">
      <c r="J469" s="3870"/>
      <c r="K469" s="3870"/>
      <c r="L469" s="3870"/>
      <c r="M469" s="3870"/>
      <c r="N469" s="3870"/>
      <c r="O469" s="3870"/>
      <c r="P469" s="3870"/>
      <c r="Q469" s="3870"/>
      <c r="R469" s="3870"/>
      <c r="S469" s="3870"/>
      <c r="T469" s="3870"/>
      <c r="U469" s="3870"/>
      <c r="V469" s="3870"/>
      <c r="W469" s="3870"/>
      <c r="X469" s="3870"/>
      <c r="Y469" s="3870"/>
      <c r="Z469" s="3870"/>
    </row>
    <row r="470" spans="10:26" s="3871" customFormat="1" ht="21.75" customHeight="1">
      <c r="J470" s="3870"/>
      <c r="K470" s="3870"/>
      <c r="L470" s="3870"/>
      <c r="M470" s="3870"/>
      <c r="N470" s="3870"/>
      <c r="O470" s="3870"/>
      <c r="P470" s="3870"/>
      <c r="Q470" s="3870"/>
      <c r="R470" s="3870"/>
      <c r="S470" s="3870"/>
      <c r="T470" s="3870"/>
      <c r="U470" s="3870"/>
      <c r="V470" s="3870"/>
      <c r="W470" s="3870"/>
      <c r="X470" s="3870"/>
      <c r="Y470" s="3870"/>
      <c r="Z470" s="3870"/>
    </row>
    <row r="471" spans="10:26" s="3871" customFormat="1" ht="21.75" customHeight="1">
      <c r="J471" s="3870"/>
      <c r="K471" s="3870"/>
      <c r="L471" s="3870"/>
      <c r="M471" s="3870"/>
      <c r="N471" s="3870"/>
      <c r="O471" s="3870"/>
      <c r="P471" s="3870"/>
      <c r="Q471" s="3870"/>
      <c r="R471" s="3870"/>
      <c r="S471" s="3870"/>
      <c r="T471" s="3870"/>
      <c r="U471" s="3870"/>
      <c r="V471" s="3870"/>
      <c r="W471" s="3870"/>
      <c r="X471" s="3870"/>
      <c r="Y471" s="3870"/>
      <c r="Z471" s="3870"/>
    </row>
    <row r="472" spans="10:26" s="3871" customFormat="1" ht="21.75" customHeight="1">
      <c r="J472" s="3870"/>
      <c r="K472" s="3870"/>
      <c r="L472" s="3870"/>
      <c r="M472" s="3870"/>
      <c r="N472" s="3870"/>
      <c r="O472" s="3870"/>
      <c r="P472" s="3870"/>
      <c r="Q472" s="3870"/>
      <c r="R472" s="3870"/>
      <c r="S472" s="3870"/>
      <c r="T472" s="3870"/>
      <c r="U472" s="3870"/>
      <c r="V472" s="3870"/>
      <c r="W472" s="3870"/>
      <c r="X472" s="3870"/>
      <c r="Y472" s="3870"/>
      <c r="Z472" s="3870"/>
    </row>
    <row r="473" spans="10:26" s="3871" customFormat="1" ht="21.75" customHeight="1">
      <c r="J473" s="3870"/>
      <c r="K473" s="3870"/>
      <c r="L473" s="3870"/>
      <c r="M473" s="3870"/>
      <c r="N473" s="3870"/>
      <c r="O473" s="3870"/>
      <c r="P473" s="3870"/>
      <c r="Q473" s="3870"/>
      <c r="R473" s="3870"/>
      <c r="S473" s="3870"/>
      <c r="T473" s="3870"/>
      <c r="U473" s="3870"/>
      <c r="V473" s="3870"/>
      <c r="W473" s="3870"/>
      <c r="X473" s="3870"/>
      <c r="Y473" s="3870"/>
      <c r="Z473" s="3870"/>
    </row>
    <row r="474" spans="10:26" s="3871" customFormat="1" ht="21.75" customHeight="1">
      <c r="J474" s="3870"/>
      <c r="K474" s="3870"/>
      <c r="L474" s="3870"/>
      <c r="M474" s="3870"/>
      <c r="N474" s="3870"/>
      <c r="O474" s="3870"/>
      <c r="P474" s="3870"/>
      <c r="Q474" s="3870"/>
      <c r="R474" s="3870"/>
      <c r="S474" s="3870"/>
      <c r="T474" s="3870"/>
      <c r="U474" s="3870"/>
      <c r="V474" s="3870"/>
      <c r="W474" s="3870"/>
      <c r="X474" s="3870"/>
      <c r="Y474" s="3870"/>
      <c r="Z474" s="3870"/>
    </row>
    <row r="475" spans="10:26" s="3871" customFormat="1" ht="21.75" customHeight="1">
      <c r="J475" s="3870"/>
      <c r="K475" s="3870"/>
      <c r="L475" s="3870"/>
      <c r="M475" s="3870"/>
      <c r="N475" s="3870"/>
      <c r="O475" s="3870"/>
      <c r="P475" s="3870"/>
      <c r="Q475" s="3870"/>
      <c r="R475" s="3870"/>
      <c r="S475" s="3870"/>
      <c r="T475" s="3870"/>
      <c r="U475" s="3870"/>
      <c r="V475" s="3870"/>
      <c r="W475" s="3870"/>
      <c r="X475" s="3870"/>
      <c r="Y475" s="3870"/>
      <c r="Z475" s="3870"/>
    </row>
    <row r="476" spans="10:26" s="3871" customFormat="1" ht="21.75" customHeight="1">
      <c r="J476" s="3870"/>
      <c r="K476" s="3870"/>
      <c r="L476" s="3870"/>
      <c r="M476" s="3870"/>
      <c r="N476" s="3870"/>
      <c r="O476" s="3870"/>
      <c r="P476" s="3870"/>
      <c r="Q476" s="3870"/>
      <c r="R476" s="3870"/>
      <c r="S476" s="3870"/>
      <c r="T476" s="3870"/>
      <c r="U476" s="3870"/>
      <c r="V476" s="3870"/>
      <c r="W476" s="3870"/>
      <c r="X476" s="3870"/>
      <c r="Y476" s="3870"/>
      <c r="Z476" s="3870"/>
    </row>
    <row r="477" spans="10:26" s="3871" customFormat="1" ht="21.75" customHeight="1">
      <c r="J477" s="3870"/>
      <c r="K477" s="3870"/>
      <c r="L477" s="3870"/>
      <c r="M477" s="3870"/>
      <c r="N477" s="3870"/>
      <c r="O477" s="3870"/>
      <c r="P477" s="3870"/>
      <c r="Q477" s="3870"/>
      <c r="R477" s="3870"/>
      <c r="S477" s="3870"/>
      <c r="T477" s="3870"/>
      <c r="U477" s="3870"/>
      <c r="V477" s="3870"/>
      <c r="W477" s="3870"/>
      <c r="X477" s="3870"/>
      <c r="Y477" s="3870"/>
      <c r="Z477" s="3870"/>
    </row>
    <row r="478" spans="10:26" s="3871" customFormat="1" ht="21.75" customHeight="1">
      <c r="J478" s="3870"/>
      <c r="K478" s="3870"/>
      <c r="L478" s="3870"/>
      <c r="M478" s="3870"/>
      <c r="N478" s="3870"/>
      <c r="O478" s="3870"/>
      <c r="P478" s="3870"/>
      <c r="Q478" s="3870"/>
      <c r="R478" s="3870"/>
      <c r="S478" s="3870"/>
      <c r="T478" s="3870"/>
      <c r="U478" s="3870"/>
      <c r="V478" s="3870"/>
      <c r="W478" s="3870"/>
      <c r="X478" s="3870"/>
      <c r="Y478" s="3870"/>
      <c r="Z478" s="3870"/>
    </row>
    <row r="479" spans="10:26" s="3871" customFormat="1" ht="21.75" customHeight="1">
      <c r="J479" s="3870"/>
      <c r="K479" s="3870"/>
      <c r="L479" s="3870"/>
      <c r="M479" s="3870"/>
      <c r="N479" s="3870"/>
      <c r="O479" s="3870"/>
      <c r="P479" s="3870"/>
      <c r="Q479" s="3870"/>
      <c r="R479" s="3870"/>
      <c r="S479" s="3870"/>
      <c r="T479" s="3870"/>
      <c r="U479" s="3870"/>
      <c r="V479" s="3870"/>
      <c r="W479" s="3870"/>
      <c r="X479" s="3870"/>
      <c r="Y479" s="3870"/>
      <c r="Z479" s="3870"/>
    </row>
    <row r="480" spans="10:26" s="3871" customFormat="1" ht="21.75" customHeight="1">
      <c r="J480" s="3870"/>
      <c r="K480" s="3870"/>
      <c r="L480" s="3870"/>
      <c r="M480" s="3870"/>
      <c r="N480" s="3870"/>
      <c r="O480" s="3870"/>
      <c r="P480" s="3870"/>
      <c r="Q480" s="3870"/>
      <c r="R480" s="3870"/>
      <c r="S480" s="3870"/>
      <c r="T480" s="3870"/>
      <c r="U480" s="3870"/>
      <c r="V480" s="3870"/>
      <c r="W480" s="3870"/>
      <c r="X480" s="3870"/>
      <c r="Y480" s="3870"/>
      <c r="Z480" s="3870"/>
    </row>
    <row r="481" spans="10:26" s="3871" customFormat="1" ht="21.75" customHeight="1">
      <c r="J481" s="3870"/>
      <c r="K481" s="3870"/>
      <c r="L481" s="3870"/>
      <c r="M481" s="3870"/>
      <c r="N481" s="3870"/>
      <c r="O481" s="3870"/>
      <c r="P481" s="3870"/>
      <c r="Q481" s="3870"/>
      <c r="R481" s="3870"/>
      <c r="S481" s="3870"/>
      <c r="T481" s="3870"/>
      <c r="U481" s="3870"/>
      <c r="V481" s="3870"/>
      <c r="W481" s="3870"/>
      <c r="X481" s="3870"/>
      <c r="Y481" s="3870"/>
      <c r="Z481" s="3870"/>
    </row>
    <row r="482" spans="10:26" s="3871" customFormat="1" ht="21.75" customHeight="1">
      <c r="J482" s="3870"/>
      <c r="K482" s="3870"/>
      <c r="L482" s="3870"/>
      <c r="M482" s="3870"/>
      <c r="N482" s="3870"/>
      <c r="O482" s="3870"/>
      <c r="P482" s="3870"/>
      <c r="Q482" s="3870"/>
      <c r="R482" s="3870"/>
      <c r="S482" s="3870"/>
      <c r="T482" s="3870"/>
      <c r="U482" s="3870"/>
      <c r="V482" s="3870"/>
      <c r="W482" s="3870"/>
      <c r="X482" s="3870"/>
      <c r="Y482" s="3870"/>
      <c r="Z482" s="3870"/>
    </row>
    <row r="483" spans="10:26" s="3871" customFormat="1" ht="21.75" customHeight="1">
      <c r="J483" s="3870"/>
      <c r="K483" s="3870"/>
      <c r="L483" s="3870"/>
      <c r="M483" s="3870"/>
      <c r="N483" s="3870"/>
      <c r="O483" s="3870"/>
      <c r="P483" s="3870"/>
      <c r="Q483" s="3870"/>
      <c r="R483" s="3870"/>
      <c r="S483" s="3870"/>
      <c r="T483" s="3870"/>
      <c r="U483" s="3870"/>
      <c r="V483" s="3870"/>
      <c r="W483" s="3870"/>
      <c r="X483" s="3870"/>
      <c r="Y483" s="3870"/>
      <c r="Z483" s="3870"/>
    </row>
    <row r="484" spans="10:26" s="3871" customFormat="1" ht="21.75" customHeight="1">
      <c r="J484" s="3870"/>
      <c r="K484" s="3870"/>
      <c r="L484" s="3870"/>
      <c r="M484" s="3870"/>
      <c r="N484" s="3870"/>
      <c r="O484" s="3870"/>
      <c r="P484" s="3870"/>
      <c r="Q484" s="3870"/>
      <c r="R484" s="3870"/>
      <c r="S484" s="3870"/>
      <c r="T484" s="3870"/>
      <c r="U484" s="3870"/>
      <c r="V484" s="3870"/>
      <c r="W484" s="3870"/>
      <c r="X484" s="3870"/>
      <c r="Y484" s="3870"/>
      <c r="Z484" s="3870"/>
    </row>
    <row r="485" spans="10:26" s="3871" customFormat="1" ht="21.75" customHeight="1">
      <c r="J485" s="3870"/>
      <c r="K485" s="3870"/>
      <c r="L485" s="3870"/>
      <c r="M485" s="3870"/>
      <c r="N485" s="3870"/>
      <c r="O485" s="3870"/>
      <c r="P485" s="3870"/>
      <c r="Q485" s="3870"/>
      <c r="R485" s="3870"/>
      <c r="S485" s="3870"/>
      <c r="T485" s="3870"/>
      <c r="U485" s="3870"/>
      <c r="V485" s="3870"/>
      <c r="W485" s="3870"/>
      <c r="X485" s="3870"/>
      <c r="Y485" s="3870"/>
      <c r="Z485" s="3870"/>
    </row>
    <row r="486" spans="10:26" s="3871" customFormat="1" ht="21.75" customHeight="1">
      <c r="J486" s="3870"/>
      <c r="K486" s="3870"/>
      <c r="L486" s="3870"/>
      <c r="M486" s="3870"/>
      <c r="N486" s="3870"/>
      <c r="O486" s="3870"/>
      <c r="P486" s="3870"/>
      <c r="Q486" s="3870"/>
      <c r="R486" s="3870"/>
      <c r="S486" s="3870"/>
      <c r="T486" s="3870"/>
      <c r="U486" s="3870"/>
      <c r="V486" s="3870"/>
      <c r="W486" s="3870"/>
      <c r="X486" s="3870"/>
      <c r="Y486" s="3870"/>
      <c r="Z486" s="3870"/>
    </row>
    <row r="487" spans="10:26" s="3871" customFormat="1" ht="21.75" customHeight="1">
      <c r="J487" s="3870"/>
      <c r="K487" s="3870"/>
      <c r="L487" s="3870"/>
      <c r="M487" s="3870"/>
      <c r="N487" s="3870"/>
      <c r="O487" s="3870"/>
      <c r="P487" s="3870"/>
      <c r="Q487" s="3870"/>
      <c r="R487" s="3870"/>
      <c r="S487" s="3870"/>
      <c r="T487" s="3870"/>
      <c r="U487" s="3870"/>
      <c r="V487" s="3870"/>
      <c r="W487" s="3870"/>
      <c r="X487" s="3870"/>
      <c r="Y487" s="3870"/>
      <c r="Z487" s="3870"/>
    </row>
    <row r="488" spans="10:26" s="3871" customFormat="1" ht="21.75" customHeight="1">
      <c r="J488" s="3870"/>
      <c r="K488" s="3870"/>
      <c r="L488" s="3870"/>
      <c r="M488" s="3870"/>
      <c r="N488" s="3870"/>
      <c r="O488" s="3870"/>
      <c r="P488" s="3870"/>
      <c r="Q488" s="3870"/>
      <c r="R488" s="3870"/>
      <c r="S488" s="3870"/>
      <c r="T488" s="3870"/>
      <c r="U488" s="3870"/>
      <c r="V488" s="3870"/>
      <c r="W488" s="3870"/>
      <c r="X488" s="3870"/>
      <c r="Y488" s="3870"/>
      <c r="Z488" s="3870"/>
    </row>
    <row r="489" spans="10:26" s="3871" customFormat="1" ht="21.75" customHeight="1">
      <c r="J489" s="3870"/>
      <c r="K489" s="3870"/>
      <c r="L489" s="3870"/>
      <c r="M489" s="3870"/>
      <c r="N489" s="3870"/>
      <c r="O489" s="3870"/>
      <c r="P489" s="3870"/>
      <c r="Q489" s="3870"/>
      <c r="R489" s="3870"/>
      <c r="S489" s="3870"/>
      <c r="T489" s="3870"/>
      <c r="U489" s="3870"/>
      <c r="V489" s="3870"/>
      <c r="W489" s="3870"/>
      <c r="X489" s="3870"/>
      <c r="Y489" s="3870"/>
      <c r="Z489" s="3870"/>
    </row>
    <row r="490" spans="10:26" s="3871" customFormat="1" ht="21.75" customHeight="1">
      <c r="J490" s="3870"/>
      <c r="K490" s="3870"/>
      <c r="L490" s="3870"/>
      <c r="M490" s="3870"/>
      <c r="N490" s="3870"/>
      <c r="O490" s="3870"/>
      <c r="P490" s="3870"/>
      <c r="Q490" s="3870"/>
      <c r="R490" s="3870"/>
      <c r="S490" s="3870"/>
      <c r="T490" s="3870"/>
      <c r="U490" s="3870"/>
      <c r="V490" s="3870"/>
      <c r="W490" s="3870"/>
      <c r="X490" s="3870"/>
      <c r="Y490" s="3870"/>
      <c r="Z490" s="3870"/>
    </row>
    <row r="491" spans="10:26" s="3871" customFormat="1" ht="21.75" customHeight="1">
      <c r="J491" s="3870"/>
      <c r="K491" s="3870"/>
      <c r="L491" s="3870"/>
      <c r="M491" s="3870"/>
      <c r="N491" s="3870"/>
      <c r="O491" s="3870"/>
      <c r="P491" s="3870"/>
      <c r="Q491" s="3870"/>
      <c r="R491" s="3870"/>
      <c r="S491" s="3870"/>
      <c r="T491" s="3870"/>
      <c r="U491" s="3870"/>
      <c r="V491" s="3870"/>
      <c r="W491" s="3870"/>
      <c r="X491" s="3870"/>
      <c r="Y491" s="3870"/>
      <c r="Z491" s="3870"/>
    </row>
    <row r="492" spans="10:26" s="3871" customFormat="1" ht="21.75" customHeight="1">
      <c r="J492" s="3870"/>
      <c r="K492" s="3870"/>
      <c r="L492" s="3870"/>
      <c r="M492" s="3870"/>
      <c r="N492" s="3870"/>
      <c r="O492" s="3870"/>
      <c r="P492" s="3870"/>
      <c r="Q492" s="3870"/>
      <c r="R492" s="3870"/>
      <c r="S492" s="3870"/>
      <c r="T492" s="3870"/>
      <c r="U492" s="3870"/>
      <c r="V492" s="3870"/>
      <c r="W492" s="3870"/>
      <c r="X492" s="3870"/>
      <c r="Y492" s="3870"/>
      <c r="Z492" s="3870"/>
    </row>
    <row r="493" spans="10:26" s="3871" customFormat="1" ht="21.75" customHeight="1">
      <c r="J493" s="3870"/>
      <c r="K493" s="3870"/>
      <c r="L493" s="3870"/>
      <c r="M493" s="3870"/>
      <c r="N493" s="3870"/>
      <c r="O493" s="3870"/>
      <c r="P493" s="3870"/>
      <c r="Q493" s="3870"/>
      <c r="R493" s="3870"/>
      <c r="S493" s="3870"/>
      <c r="T493" s="3870"/>
      <c r="U493" s="3870"/>
      <c r="V493" s="3870"/>
      <c r="W493" s="3870"/>
      <c r="X493" s="3870"/>
      <c r="Y493" s="3870"/>
      <c r="Z493" s="3870"/>
    </row>
    <row r="494" spans="10:26" s="3871" customFormat="1" ht="21.75" customHeight="1">
      <c r="J494" s="3870"/>
      <c r="K494" s="3870"/>
      <c r="L494" s="3870"/>
      <c r="M494" s="3870"/>
      <c r="N494" s="3870"/>
      <c r="O494" s="3870"/>
      <c r="P494" s="3870"/>
      <c r="Q494" s="3870"/>
      <c r="R494" s="3870"/>
      <c r="S494" s="3870"/>
      <c r="T494" s="3870"/>
      <c r="U494" s="3870"/>
      <c r="V494" s="3870"/>
      <c r="W494" s="3870"/>
      <c r="X494" s="3870"/>
      <c r="Y494" s="3870"/>
      <c r="Z494" s="3870"/>
    </row>
    <row r="495" spans="10:26" s="3871" customFormat="1" ht="21.75" customHeight="1">
      <c r="J495" s="3870"/>
      <c r="K495" s="3870"/>
      <c r="L495" s="3870"/>
      <c r="M495" s="3870"/>
      <c r="N495" s="3870"/>
      <c r="O495" s="3870"/>
      <c r="P495" s="3870"/>
      <c r="Q495" s="3870"/>
      <c r="R495" s="3870"/>
      <c r="S495" s="3870"/>
      <c r="T495" s="3870"/>
      <c r="U495" s="3870"/>
      <c r="V495" s="3870"/>
      <c r="W495" s="3870"/>
      <c r="X495" s="3870"/>
      <c r="Y495" s="3870"/>
      <c r="Z495" s="3870"/>
    </row>
    <row r="496" spans="10:26" s="3871" customFormat="1" ht="21.75" customHeight="1">
      <c r="J496" s="3870"/>
      <c r="K496" s="3870"/>
      <c r="L496" s="3870"/>
      <c r="M496" s="3870"/>
      <c r="N496" s="3870"/>
      <c r="O496" s="3870"/>
      <c r="P496" s="3870"/>
      <c r="Q496" s="3870"/>
      <c r="R496" s="3870"/>
      <c r="S496" s="3870"/>
      <c r="T496" s="3870"/>
      <c r="U496" s="3870"/>
      <c r="V496" s="3870"/>
      <c r="W496" s="3870"/>
      <c r="X496" s="3870"/>
      <c r="Y496" s="3870"/>
      <c r="Z496" s="3870"/>
    </row>
    <row r="497" spans="10:26" s="3871" customFormat="1" ht="21.75" customHeight="1">
      <c r="J497" s="3870"/>
      <c r="K497" s="3870"/>
      <c r="L497" s="3870"/>
      <c r="M497" s="3870"/>
      <c r="N497" s="3870"/>
      <c r="O497" s="3870"/>
      <c r="P497" s="3870"/>
      <c r="Q497" s="3870"/>
      <c r="R497" s="3870"/>
      <c r="S497" s="3870"/>
      <c r="T497" s="3870"/>
      <c r="U497" s="3870"/>
      <c r="V497" s="3870"/>
      <c r="W497" s="3870"/>
      <c r="X497" s="3870"/>
      <c r="Y497" s="3870"/>
      <c r="Z497" s="3870"/>
    </row>
    <row r="498" spans="10:26" s="3871" customFormat="1" ht="21.75" customHeight="1">
      <c r="J498" s="3870"/>
      <c r="K498" s="3870"/>
      <c r="L498" s="3870"/>
      <c r="M498" s="3870"/>
      <c r="N498" s="3870"/>
      <c r="O498" s="3870"/>
      <c r="P498" s="3870"/>
      <c r="Q498" s="3870"/>
      <c r="R498" s="3870"/>
      <c r="S498" s="3870"/>
      <c r="T498" s="3870"/>
      <c r="U498" s="3870"/>
      <c r="V498" s="3870"/>
      <c r="W498" s="3870"/>
      <c r="X498" s="3870"/>
      <c r="Y498" s="3870"/>
      <c r="Z498" s="3870"/>
    </row>
    <row r="499" spans="10:26" s="3871" customFormat="1" ht="21.75" customHeight="1">
      <c r="J499" s="3870"/>
      <c r="K499" s="3870"/>
      <c r="L499" s="3870"/>
      <c r="M499" s="3870"/>
      <c r="N499" s="3870"/>
      <c r="O499" s="3870"/>
      <c r="P499" s="3870"/>
      <c r="Q499" s="3870"/>
      <c r="R499" s="3870"/>
      <c r="S499" s="3870"/>
      <c r="T499" s="3870"/>
      <c r="U499" s="3870"/>
      <c r="V499" s="3870"/>
      <c r="W499" s="3870"/>
      <c r="X499" s="3870"/>
      <c r="Y499" s="3870"/>
      <c r="Z499" s="3870"/>
    </row>
    <row r="500" spans="10:26" s="3871" customFormat="1" ht="21.75" customHeight="1">
      <c r="J500" s="3870"/>
      <c r="K500" s="3870"/>
      <c r="L500" s="3870"/>
      <c r="M500" s="3870"/>
      <c r="N500" s="3870"/>
      <c r="O500" s="3870"/>
      <c r="P500" s="3870"/>
      <c r="Q500" s="3870"/>
      <c r="R500" s="3870"/>
      <c r="S500" s="3870"/>
      <c r="T500" s="3870"/>
      <c r="U500" s="3870"/>
      <c r="V500" s="3870"/>
      <c r="W500" s="3870"/>
      <c r="X500" s="3870"/>
      <c r="Y500" s="3870"/>
      <c r="Z500" s="3870"/>
    </row>
    <row r="501" spans="10:26" s="3871" customFormat="1" ht="21.75" customHeight="1">
      <c r="J501" s="3870"/>
      <c r="K501" s="3870"/>
      <c r="L501" s="3870"/>
      <c r="M501" s="3870"/>
      <c r="N501" s="3870"/>
      <c r="O501" s="3870"/>
      <c r="P501" s="3870"/>
      <c r="Q501" s="3870"/>
      <c r="R501" s="3870"/>
      <c r="S501" s="3870"/>
      <c r="T501" s="3870"/>
      <c r="U501" s="3870"/>
      <c r="V501" s="3870"/>
      <c r="W501" s="3870"/>
      <c r="X501" s="3870"/>
      <c r="Y501" s="3870"/>
      <c r="Z501" s="3870"/>
    </row>
    <row r="502" spans="10:26" s="3871" customFormat="1" ht="21.75" customHeight="1">
      <c r="J502" s="3870"/>
      <c r="K502" s="3870"/>
      <c r="L502" s="3870"/>
      <c r="M502" s="3870"/>
      <c r="N502" s="3870"/>
      <c r="O502" s="3870"/>
      <c r="P502" s="3870"/>
      <c r="Q502" s="3870"/>
      <c r="R502" s="3870"/>
      <c r="S502" s="3870"/>
      <c r="T502" s="3870"/>
      <c r="U502" s="3870"/>
      <c r="V502" s="3870"/>
      <c r="W502" s="3870"/>
      <c r="X502" s="3870"/>
      <c r="Y502" s="3870"/>
      <c r="Z502" s="3870"/>
    </row>
    <row r="503" spans="10:26" s="3871" customFormat="1" ht="21.75" customHeight="1">
      <c r="J503" s="3870"/>
      <c r="K503" s="3870"/>
      <c r="L503" s="3870"/>
      <c r="M503" s="3870"/>
      <c r="N503" s="3870"/>
      <c r="O503" s="3870"/>
      <c r="P503" s="3870"/>
      <c r="Q503" s="3870"/>
      <c r="R503" s="3870"/>
      <c r="S503" s="3870"/>
      <c r="T503" s="3870"/>
      <c r="U503" s="3870"/>
      <c r="V503" s="3870"/>
      <c r="W503" s="3870"/>
      <c r="X503" s="3870"/>
      <c r="Y503" s="3870"/>
      <c r="Z503" s="3870"/>
    </row>
    <row r="504" spans="10:26" s="3871" customFormat="1" ht="21.75" customHeight="1">
      <c r="J504" s="3870"/>
      <c r="K504" s="3870"/>
      <c r="L504" s="3870"/>
      <c r="M504" s="3870"/>
      <c r="N504" s="3870"/>
      <c r="O504" s="3870"/>
      <c r="P504" s="3870"/>
      <c r="Q504" s="3870"/>
      <c r="R504" s="3870"/>
      <c r="S504" s="3870"/>
      <c r="T504" s="3870"/>
      <c r="U504" s="3870"/>
      <c r="V504" s="3870"/>
      <c r="W504" s="3870"/>
      <c r="X504" s="3870"/>
      <c r="Y504" s="3870"/>
      <c r="Z504" s="3870"/>
    </row>
    <row r="505" spans="10:26" s="3871" customFormat="1" ht="21.75" customHeight="1">
      <c r="J505" s="3870"/>
      <c r="K505" s="3870"/>
      <c r="L505" s="3870"/>
      <c r="M505" s="3870"/>
      <c r="N505" s="3870"/>
      <c r="O505" s="3870"/>
      <c r="P505" s="3870"/>
      <c r="Q505" s="3870"/>
      <c r="R505" s="3870"/>
      <c r="S505" s="3870"/>
      <c r="T505" s="3870"/>
      <c r="U505" s="3870"/>
      <c r="V505" s="3870"/>
      <c r="W505" s="3870"/>
      <c r="X505" s="3870"/>
      <c r="Y505" s="3870"/>
      <c r="Z505" s="3870"/>
    </row>
    <row r="506" spans="10:26" s="3871" customFormat="1" ht="21.75" customHeight="1">
      <c r="J506" s="3870"/>
      <c r="K506" s="3870"/>
      <c r="L506" s="3870"/>
      <c r="M506" s="3870"/>
      <c r="N506" s="3870"/>
      <c r="O506" s="3870"/>
      <c r="P506" s="3870"/>
      <c r="Q506" s="3870"/>
      <c r="R506" s="3870"/>
      <c r="S506" s="3870"/>
      <c r="T506" s="3870"/>
      <c r="U506" s="3870"/>
      <c r="V506" s="3870"/>
      <c r="W506" s="3870"/>
      <c r="X506" s="3870"/>
      <c r="Y506" s="3870"/>
      <c r="Z506" s="3870"/>
    </row>
    <row r="507" spans="10:26" s="3871" customFormat="1" ht="21.75" customHeight="1">
      <c r="J507" s="3870"/>
      <c r="K507" s="3870"/>
      <c r="L507" s="3870"/>
      <c r="M507" s="3870"/>
      <c r="N507" s="3870"/>
      <c r="O507" s="3870"/>
      <c r="P507" s="3870"/>
      <c r="Q507" s="3870"/>
      <c r="R507" s="3870"/>
      <c r="S507" s="3870"/>
      <c r="T507" s="3870"/>
      <c r="U507" s="3870"/>
      <c r="V507" s="3870"/>
      <c r="W507" s="3870"/>
      <c r="X507" s="3870"/>
      <c r="Y507" s="3870"/>
      <c r="Z507" s="3870"/>
    </row>
    <row r="508" spans="10:26" s="3871" customFormat="1" ht="21.75" customHeight="1">
      <c r="J508" s="3870"/>
      <c r="K508" s="3870"/>
      <c r="L508" s="3870"/>
      <c r="M508" s="3870"/>
      <c r="N508" s="3870"/>
      <c r="O508" s="3870"/>
      <c r="P508" s="3870"/>
      <c r="Q508" s="3870"/>
      <c r="R508" s="3870"/>
      <c r="S508" s="3870"/>
      <c r="T508" s="3870"/>
      <c r="U508" s="3870"/>
      <c r="V508" s="3870"/>
      <c r="W508" s="3870"/>
      <c r="X508" s="3870"/>
      <c r="Y508" s="3870"/>
      <c r="Z508" s="3870"/>
    </row>
    <row r="509" spans="10:26" s="3871" customFormat="1" ht="21.75" customHeight="1">
      <c r="J509" s="3870"/>
      <c r="K509" s="3870"/>
      <c r="L509" s="3870"/>
      <c r="M509" s="3870"/>
      <c r="N509" s="3870"/>
      <c r="O509" s="3870"/>
      <c r="P509" s="3870"/>
      <c r="Q509" s="3870"/>
      <c r="R509" s="3870"/>
      <c r="S509" s="3870"/>
      <c r="T509" s="3870"/>
      <c r="U509" s="3870"/>
      <c r="V509" s="3870"/>
      <c r="W509" s="3870"/>
      <c r="X509" s="3870"/>
      <c r="Y509" s="3870"/>
      <c r="Z509" s="3870"/>
    </row>
    <row r="510" spans="10:26" s="3871" customFormat="1" ht="21.75" customHeight="1">
      <c r="J510" s="3870"/>
      <c r="K510" s="3870"/>
      <c r="L510" s="3870"/>
      <c r="M510" s="3870"/>
      <c r="N510" s="3870"/>
      <c r="O510" s="3870"/>
      <c r="P510" s="3870"/>
      <c r="Q510" s="3870"/>
      <c r="R510" s="3870"/>
      <c r="S510" s="3870"/>
      <c r="T510" s="3870"/>
      <c r="U510" s="3870"/>
      <c r="V510" s="3870"/>
      <c r="W510" s="3870"/>
      <c r="X510" s="3870"/>
      <c r="Y510" s="3870"/>
      <c r="Z510" s="3870"/>
    </row>
    <row r="511" spans="10:26" s="3871" customFormat="1" ht="21.75" customHeight="1">
      <c r="J511" s="3870"/>
      <c r="K511" s="3870"/>
      <c r="L511" s="3870"/>
      <c r="M511" s="3870"/>
      <c r="N511" s="3870"/>
      <c r="O511" s="3870"/>
      <c r="P511" s="3870"/>
      <c r="Q511" s="3870"/>
      <c r="R511" s="3870"/>
      <c r="S511" s="3870"/>
      <c r="T511" s="3870"/>
      <c r="U511" s="3870"/>
      <c r="V511" s="3870"/>
      <c r="W511" s="3870"/>
      <c r="X511" s="3870"/>
      <c r="Y511" s="3870"/>
      <c r="Z511" s="3870"/>
    </row>
    <row r="512" spans="10:26" s="3871" customFormat="1" ht="21.75" customHeight="1">
      <c r="J512" s="3870"/>
      <c r="K512" s="3870"/>
      <c r="L512" s="3870"/>
      <c r="M512" s="3870"/>
      <c r="N512" s="3870"/>
      <c r="O512" s="3870"/>
      <c r="P512" s="3870"/>
      <c r="Q512" s="3870"/>
      <c r="R512" s="3870"/>
      <c r="S512" s="3870"/>
      <c r="T512" s="3870"/>
      <c r="U512" s="3870"/>
      <c r="V512" s="3870"/>
      <c r="W512" s="3870"/>
      <c r="X512" s="3870"/>
      <c r="Y512" s="3870"/>
      <c r="Z512" s="387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6" t="s">
        <v>1543</v>
      </c>
    </row>
    <row r="43" spans="1:7" ht="13.5" customHeight="1">
      <c r="A43" s="2948" t="s">
        <v>347</v>
      </c>
      <c r="B43" s="2924" t="s">
        <v>1544</v>
      </c>
      <c r="C43" s="2949">
        <f ca="1">ROUND(IF('数据-取费表'!B22&lt;=1,C39*F22*'数据-取费表'!B21/2,C39*(POWER((1+F22),'数据-取费表'!B21/2)-1)),0)</f>
        <v>0</v>
      </c>
      <c r="D43" s="2949"/>
      <c r="E43" s="2949"/>
      <c r="F43" s="2950"/>
      <c r="G43" s="4327"/>
    </row>
    <row r="44" spans="1:7" ht="13.5" customHeight="1">
      <c r="A44" s="2948" t="s">
        <v>348</v>
      </c>
      <c r="B44" s="2924" t="s">
        <v>1545</v>
      </c>
      <c r="C44" s="2949">
        <f ca="1">ROUND(IF('数据-取费表'!B22&lt;=1,C40*F22*'数据-取费表'!B21/2,C40*(POWER((1+F22),'数据-取费表'!B21/2)-1)),4)</f>
        <v>2.9999999999999997E-4</v>
      </c>
      <c r="D44" s="2949"/>
      <c r="E44" s="2949"/>
      <c r="F44" s="2950"/>
      <c r="G44" s="4328"/>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31" t="s">
        <v>694</v>
      </c>
      <c r="C6" s="780">
        <f ca="1">ROUND(F6*F8*F7*(1-F9)/10000,0)</f>
        <v>0</v>
      </c>
      <c r="D6" s="52" t="s">
        <v>2106</v>
      </c>
      <c r="E6" s="165" t="s">
        <v>696</v>
      </c>
      <c r="F6" s="166">
        <f ca="1">INDIRECT("'数据-取费表'!u"&amp;$G$1)</f>
        <v>0</v>
      </c>
      <c r="G6" s="1032"/>
      <c r="H6" s="775" t="s">
        <v>398</v>
      </c>
      <c r="I6" s="4331" t="s">
        <v>694</v>
      </c>
      <c r="J6" s="164">
        <f ca="1">ROUND(M6*M8*M7*(1-M9)/10000,0)</f>
        <v>0</v>
      </c>
      <c r="K6" s="52" t="s">
        <v>2105</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31" t="s">
        <v>694</v>
      </c>
      <c r="C6" s="780">
        <f ca="1">ROUND(F6*F8*F7*(1-F9),0)</f>
        <v>0</v>
      </c>
      <c r="D6" s="52" t="s">
        <v>2103</v>
      </c>
      <c r="E6" s="165" t="s">
        <v>696</v>
      </c>
      <c r="F6" s="166">
        <f ca="1">INDIRECT("'数据-取费表'!u"&amp;$G$1)</f>
        <v>0</v>
      </c>
      <c r="G6" s="1032"/>
      <c r="H6" s="775" t="s">
        <v>398</v>
      </c>
      <c r="I6" s="4331" t="s">
        <v>694</v>
      </c>
      <c r="J6" s="164">
        <f ca="1">ROUND(M6*M8*M7*(1-M9),0)</f>
        <v>0</v>
      </c>
      <c r="K6" s="1024" t="s">
        <v>2104</v>
      </c>
      <c r="L6" s="165" t="s">
        <v>696</v>
      </c>
      <c r="M6" s="166">
        <f ca="1">INDIRECT("'数据-取费表'!z"&amp;$G$1)</f>
        <v>0</v>
      </c>
    </row>
    <row r="7" spans="1:37" ht="18" customHeight="1">
      <c r="A7" s="779"/>
      <c r="B7" s="4332"/>
      <c r="C7" s="781"/>
      <c r="D7" s="170"/>
      <c r="E7" s="782" t="s">
        <v>697</v>
      </c>
      <c r="F7" s="166">
        <f ca="1">IF(INDIRECT("'数据-取费表'!ah"&amp;$G$1)="",INDIRECT("'数据-取费表'!k"&amp;$G$1),INDIRECT("'数据-取费表'!ah"&amp;$G$1))</f>
        <v>0</v>
      </c>
      <c r="G7" s="1032"/>
      <c r="H7" s="167"/>
      <c r="I7" s="4332"/>
      <c r="J7" s="169"/>
      <c r="K7" s="170"/>
      <c r="L7" s="165" t="s">
        <v>697</v>
      </c>
      <c r="M7" s="166">
        <f ca="1">F7</f>
        <v>0</v>
      </c>
    </row>
    <row r="8" spans="1:37" ht="18" customHeight="1">
      <c r="A8" s="167"/>
      <c r="B8" s="4332"/>
      <c r="C8" s="169"/>
      <c r="D8" s="170"/>
      <c r="E8" s="165" t="s">
        <v>698</v>
      </c>
      <c r="F8" s="166">
        <f ca="1">INDIRECT("'数据-取费表'!ai"&amp;$G$1)</f>
        <v>0</v>
      </c>
      <c r="G8" s="1032"/>
      <c r="H8" s="167"/>
      <c r="I8" s="4332"/>
      <c r="J8" s="169"/>
      <c r="K8" s="170"/>
      <c r="L8" s="165" t="s">
        <v>698</v>
      </c>
      <c r="M8" s="166">
        <f ca="1">INDIRECT("'数据-取费表'!ai"&amp;$G$1)</f>
        <v>0</v>
      </c>
    </row>
    <row r="9" spans="1:37" ht="18" customHeight="1">
      <c r="A9" s="167"/>
      <c r="B9" s="4333"/>
      <c r="C9" s="169"/>
      <c r="D9" s="170"/>
      <c r="E9" s="165" t="s">
        <v>699</v>
      </c>
      <c r="F9" s="175">
        <f ca="1">INDIRECT("'数据-取费表'!w"&amp;$G$1)</f>
        <v>0</v>
      </c>
      <c r="G9" s="1032"/>
      <c r="H9" s="167"/>
      <c r="I9" s="4333"/>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9" t="s">
        <v>837</v>
      </c>
      <c r="L53" s="4330"/>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40" t="s">
        <v>2314</v>
      </c>
      <c r="K2" s="4341"/>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2" t="s">
        <v>2324</v>
      </c>
      <c r="K3" s="4343"/>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2" t="s">
        <v>2326</v>
      </c>
      <c r="K4" s="4343"/>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8" t="s">
        <v>2330</v>
      </c>
      <c r="B6" s="4349"/>
      <c r="C6" s="4350"/>
      <c r="D6" s="1931"/>
      <c r="E6" s="1932"/>
      <c r="F6" s="1933"/>
      <c r="G6" s="1934"/>
      <c r="H6" s="1909"/>
      <c r="I6" s="1910"/>
      <c r="J6" s="4334">
        <v>1</v>
      </c>
      <c r="K6" s="4335"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4"/>
      <c r="K7" s="4336"/>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51" t="s">
        <v>2344</v>
      </c>
      <c r="C8" s="4352"/>
      <c r="D8" s="1950" t="s">
        <v>2345</v>
      </c>
      <c r="E8" s="1951" t="s">
        <v>2346</v>
      </c>
      <c r="F8" s="1952" t="s">
        <v>2347</v>
      </c>
      <c r="G8" s="1953"/>
      <c r="H8" s="1909"/>
      <c r="I8" s="1910"/>
      <c r="J8" s="4334"/>
      <c r="K8" s="4336"/>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51" t="s">
        <v>2350</v>
      </c>
      <c r="C9" s="4352"/>
      <c r="D9" s="1950">
        <f>ROUND(D6*E9,0)</f>
        <v>0</v>
      </c>
      <c r="E9" s="1954"/>
      <c r="F9" s="1955" t="s">
        <v>2351</v>
      </c>
      <c r="G9" s="1934"/>
      <c r="H9" s="1909"/>
      <c r="I9" s="1910"/>
      <c r="J9" s="4334"/>
      <c r="K9" s="4336"/>
      <c r="L9" s="1944" t="s">
        <v>2352</v>
      </c>
      <c r="M9" s="1945"/>
      <c r="N9" s="1921"/>
      <c r="O9" s="1946"/>
      <c r="P9" s="1946"/>
      <c r="Q9" s="1947">
        <v>365</v>
      </c>
      <c r="R9" s="1948">
        <f t="shared" si="0"/>
        <v>0</v>
      </c>
      <c r="S9" s="1902"/>
      <c r="T9" s="1902"/>
      <c r="U9" s="1902"/>
      <c r="V9" s="1910"/>
    </row>
    <row r="10" spans="1:22" s="1914" customFormat="1" ht="13.15" customHeight="1">
      <c r="A10" s="1949">
        <v>2</v>
      </c>
      <c r="B10" s="4351" t="s">
        <v>2353</v>
      </c>
      <c r="C10" s="4352"/>
      <c r="D10" s="1950">
        <f>ROUND(D6*E10,0)</f>
        <v>0</v>
      </c>
      <c r="E10" s="1954"/>
      <c r="F10" s="1955" t="s">
        <v>2354</v>
      </c>
      <c r="G10" s="1934"/>
      <c r="H10" s="1909"/>
      <c r="I10" s="1910"/>
      <c r="J10" s="4334"/>
      <c r="K10" s="4336"/>
      <c r="L10" s="1944" t="s">
        <v>2355</v>
      </c>
      <c r="M10" s="1945"/>
      <c r="N10" s="1921"/>
      <c r="O10" s="1946"/>
      <c r="P10" s="1946"/>
      <c r="Q10" s="1947">
        <v>365</v>
      </c>
      <c r="R10" s="1948">
        <f t="shared" si="0"/>
        <v>0</v>
      </c>
      <c r="S10" s="1902"/>
      <c r="T10" s="1902"/>
      <c r="U10" s="1902"/>
      <c r="V10" s="1910"/>
    </row>
    <row r="11" spans="1:22" s="1914" customFormat="1" ht="13.15" customHeight="1">
      <c r="A11" s="1949">
        <v>3</v>
      </c>
      <c r="B11" s="4351" t="s">
        <v>2356</v>
      </c>
      <c r="C11" s="4352"/>
      <c r="D11" s="1950">
        <f>D12+D14+D15+D16</f>
        <v>0</v>
      </c>
      <c r="E11" s="1956" t="e">
        <f>D11/D6</f>
        <v>#DIV/0!</v>
      </c>
      <c r="F11" s="1952"/>
      <c r="G11" s="1953"/>
      <c r="H11" s="1909"/>
      <c r="I11" s="1910"/>
      <c r="J11" s="4334"/>
      <c r="K11" s="4336"/>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4" t="s">
        <v>2359</v>
      </c>
      <c r="C12" s="4345"/>
      <c r="D12" s="1958">
        <f>ROUND(D13*1.2%*(1-30%),0)</f>
        <v>0</v>
      </c>
      <c r="E12" s="1959">
        <v>1.2E-2</v>
      </c>
      <c r="F12" s="1952" t="s">
        <v>2360</v>
      </c>
      <c r="G12" s="1953"/>
      <c r="H12" s="1909"/>
      <c r="I12" s="1910"/>
      <c r="J12" s="4334"/>
      <c r="K12" s="4336"/>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4"/>
      <c r="K13" s="4336"/>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4" t="s">
        <v>2365</v>
      </c>
      <c r="C14" s="4345"/>
      <c r="D14" s="1958">
        <f>ROUND(E14*B5/10000,0)</f>
        <v>0</v>
      </c>
      <c r="E14" s="1947"/>
      <c r="F14" s="1952" t="s">
        <v>2366</v>
      </c>
      <c r="G14" s="1953"/>
      <c r="H14" s="1909"/>
      <c r="I14" s="1910"/>
      <c r="J14" s="4334"/>
      <c r="K14" s="4337"/>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4" t="s">
        <v>2369</v>
      </c>
      <c r="C15" s="4345"/>
      <c r="D15" s="1958">
        <f>ROUND(D6*E15,0)</f>
        <v>0</v>
      </c>
      <c r="E15" s="1959">
        <v>5.5E-2</v>
      </c>
      <c r="F15" s="1952" t="s">
        <v>2370</v>
      </c>
      <c r="G15" s="1934"/>
      <c r="H15" s="1909"/>
      <c r="I15" s="1910"/>
      <c r="J15" s="4334">
        <v>2</v>
      </c>
      <c r="K15" s="4335"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4" t="s">
        <v>2378</v>
      </c>
      <c r="C16" s="4345"/>
      <c r="D16" s="1969">
        <f>D6*E16</f>
        <v>0</v>
      </c>
      <c r="E16" s="1970"/>
      <c r="F16" s="1955" t="s">
        <v>2379</v>
      </c>
      <c r="G16" s="1934"/>
      <c r="H16" s="1909"/>
      <c r="I16" s="1910"/>
      <c r="J16" s="4334"/>
      <c r="K16" s="4336"/>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6" t="s">
        <v>2381</v>
      </c>
      <c r="C17" s="4347"/>
      <c r="D17" s="1972">
        <f>ROUND(D6*E17,0)</f>
        <v>0</v>
      </c>
      <c r="E17" s="1973"/>
      <c r="F17" s="1974" t="s">
        <v>2382</v>
      </c>
      <c r="G17" s="1934"/>
      <c r="H17" s="1909"/>
      <c r="I17" s="1910"/>
      <c r="J17" s="4334"/>
      <c r="K17" s="4336"/>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4"/>
      <c r="K18" s="4336"/>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4"/>
      <c r="K19" s="4337"/>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4">
        <v>3</v>
      </c>
      <c r="K20" s="4335"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4"/>
      <c r="K21" s="4336"/>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4"/>
      <c r="K22" s="4336"/>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4"/>
      <c r="K23" s="4336"/>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4"/>
      <c r="K24" s="4337"/>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8">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9"/>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40" t="s">
        <v>2314</v>
      </c>
      <c r="K32" s="4341"/>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2" t="s">
        <v>2324</v>
      </c>
      <c r="K33" s="4343"/>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2" t="s">
        <v>2326</v>
      </c>
      <c r="K34" s="4343"/>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4">
        <v>1</v>
      </c>
      <c r="K36" s="4335"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4"/>
      <c r="K37" s="4336"/>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4"/>
      <c r="K38" s="4336"/>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4"/>
      <c r="K39" s="4336"/>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4"/>
      <c r="K40" s="4337"/>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8">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9"/>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3" t="s">
        <v>1653</v>
      </c>
      <c r="C5" s="4354"/>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4" t="s">
        <v>1769</v>
      </c>
      <c r="D4" s="4375"/>
      <c r="E4" s="4376" t="s">
        <v>1770</v>
      </c>
      <c r="F4" s="4377"/>
      <c r="G4" s="4374" t="s">
        <v>1771</v>
      </c>
      <c r="H4" s="4375"/>
      <c r="I4" s="4374" t="s">
        <v>1772</v>
      </c>
      <c r="J4" s="4375"/>
      <c r="K4" s="2646" t="s">
        <v>1773</v>
      </c>
      <c r="L4" s="2647"/>
      <c r="M4" s="2648"/>
      <c r="N4" s="2648"/>
      <c r="O4" s="2648"/>
      <c r="P4" s="4378" t="s">
        <v>1774</v>
      </c>
      <c r="Q4" s="4379"/>
      <c r="R4" s="4384" t="s">
        <v>1770</v>
      </c>
      <c r="S4" s="4385"/>
      <c r="T4" s="4384" t="s">
        <v>1771</v>
      </c>
      <c r="U4" s="4385"/>
      <c r="V4" s="4356" t="s">
        <v>1772</v>
      </c>
      <c r="W4" s="4356"/>
      <c r="X4" s="2649"/>
      <c r="Y4" s="4384" t="s">
        <v>1774</v>
      </c>
      <c r="Z4" s="4385"/>
      <c r="AA4" s="4371" t="s">
        <v>1770</v>
      </c>
      <c r="AB4" s="4356" t="s">
        <v>1771</v>
      </c>
      <c r="AC4" s="4371" t="s">
        <v>1772</v>
      </c>
    </row>
    <row r="5" spans="1:29" ht="15">
      <c r="A5" s="2651"/>
      <c r="B5" s="2652"/>
      <c r="C5" s="4392"/>
      <c r="D5" s="4393"/>
      <c r="E5" s="4399"/>
      <c r="F5" s="4400"/>
      <c r="G5" s="4392"/>
      <c r="H5" s="4393"/>
      <c r="I5" s="4392"/>
      <c r="J5" s="4393"/>
      <c r="K5" s="2646"/>
      <c r="L5" s="2647"/>
      <c r="M5" s="2648"/>
      <c r="N5" s="2648"/>
      <c r="O5" s="2648"/>
      <c r="P5" s="4380"/>
      <c r="Q5" s="4381"/>
      <c r="R5" s="4386"/>
      <c r="S5" s="4387"/>
      <c r="T5" s="4386"/>
      <c r="U5" s="4387"/>
      <c r="V5" s="4356"/>
      <c r="W5" s="4356"/>
      <c r="X5" s="2649"/>
      <c r="Y5" s="4386"/>
      <c r="Z5" s="4387"/>
      <c r="AA5" s="4372"/>
      <c r="AB5" s="4356"/>
      <c r="AC5" s="4372"/>
    </row>
    <row r="6" spans="1:29" ht="15.75" thickBot="1">
      <c r="A6" s="2653"/>
      <c r="B6" s="2654"/>
      <c r="C6" s="4392"/>
      <c r="D6" s="4393"/>
      <c r="E6" s="4397"/>
      <c r="F6" s="4398"/>
      <c r="G6" s="4390"/>
      <c r="H6" s="4391"/>
      <c r="I6" s="4390"/>
      <c r="J6" s="4391"/>
      <c r="K6" s="2646" t="s">
        <v>1677</v>
      </c>
      <c r="L6" s="2647"/>
      <c r="M6" s="2648"/>
      <c r="N6" s="2648"/>
      <c r="O6" s="2648"/>
      <c r="P6" s="4382"/>
      <c r="Q6" s="4383"/>
      <c r="R6" s="4386"/>
      <c r="S6" s="4387"/>
      <c r="T6" s="4388"/>
      <c r="U6" s="4389"/>
      <c r="V6" s="4356"/>
      <c r="W6" s="4356"/>
      <c r="X6" s="2649"/>
      <c r="Y6" s="4388"/>
      <c r="Z6" s="4389"/>
      <c r="AA6" s="4373"/>
      <c r="AB6" s="4356"/>
      <c r="AC6" s="4373"/>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4" t="s">
        <v>1679</v>
      </c>
      <c r="Q7" s="4396"/>
      <c r="R7" s="2661" t="s">
        <v>14</v>
      </c>
      <c r="S7" s="2662">
        <f t="shared" ref="S7:S15" si="0">F7</f>
        <v>0</v>
      </c>
      <c r="T7" s="2661" t="s">
        <v>14</v>
      </c>
      <c r="U7" s="2662">
        <f t="shared" ref="U7:U15" si="1">H7</f>
        <v>0</v>
      </c>
      <c r="V7" s="2661" t="s">
        <v>14</v>
      </c>
      <c r="W7" s="2662">
        <f t="shared" ref="W7:W15" si="2">J7</f>
        <v>0</v>
      </c>
      <c r="X7" s="2663"/>
      <c r="Y7" s="4394" t="s">
        <v>1679</v>
      </c>
      <c r="Z7" s="4395"/>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4" t="s">
        <v>1682</v>
      </c>
      <c r="Q8" s="4395"/>
      <c r="R8" s="2661" t="s">
        <v>14</v>
      </c>
      <c r="S8" s="2662">
        <f t="shared" si="0"/>
        <v>100</v>
      </c>
      <c r="T8" s="2661" t="s">
        <v>14</v>
      </c>
      <c r="U8" s="2662">
        <f t="shared" si="1"/>
        <v>100</v>
      </c>
      <c r="V8" s="2661" t="s">
        <v>14</v>
      </c>
      <c r="W8" s="2662">
        <f t="shared" si="2"/>
        <v>100</v>
      </c>
      <c r="X8" s="2663"/>
      <c r="Y8" s="4394" t="s">
        <v>1682</v>
      </c>
      <c r="Z8" s="4395"/>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9" t="s">
        <v>1685</v>
      </c>
      <c r="Q9" s="2672" t="str">
        <f t="shared" ref="Q9:Q15" si="6">B9</f>
        <v>用途</v>
      </c>
      <c r="R9" s="2661" t="s">
        <v>14</v>
      </c>
      <c r="S9" s="2662">
        <f t="shared" si="0"/>
        <v>100</v>
      </c>
      <c r="T9" s="2661" t="s">
        <v>14</v>
      </c>
      <c r="U9" s="2662">
        <f t="shared" si="1"/>
        <v>100</v>
      </c>
      <c r="V9" s="2661" t="s">
        <v>14</v>
      </c>
      <c r="W9" s="2662">
        <f t="shared" si="2"/>
        <v>100</v>
      </c>
      <c r="X9" s="2663"/>
      <c r="Y9" s="4370"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9"/>
      <c r="Q10" s="2672" t="str">
        <f t="shared" si="6"/>
        <v>土地使用年限（年）</v>
      </c>
      <c r="R10" s="2661" t="s">
        <v>14</v>
      </c>
      <c r="S10" s="2662">
        <f t="shared" si="0"/>
        <v>100</v>
      </c>
      <c r="T10" s="2661" t="s">
        <v>14</v>
      </c>
      <c r="U10" s="2662">
        <f t="shared" si="1"/>
        <v>100</v>
      </c>
      <c r="V10" s="2661" t="s">
        <v>14</v>
      </c>
      <c r="W10" s="2662">
        <f t="shared" si="2"/>
        <v>100</v>
      </c>
      <c r="X10" s="2663"/>
      <c r="Y10" s="4370"/>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9"/>
      <c r="Q11" s="2672" t="str">
        <f t="shared" si="6"/>
        <v>容积率</v>
      </c>
      <c r="R11" s="2661" t="s">
        <v>14</v>
      </c>
      <c r="S11" s="2662">
        <f t="shared" si="0"/>
        <v>100</v>
      </c>
      <c r="T11" s="2661" t="s">
        <v>14</v>
      </c>
      <c r="U11" s="2662">
        <f t="shared" si="1"/>
        <v>100</v>
      </c>
      <c r="V11" s="2661" t="s">
        <v>14</v>
      </c>
      <c r="W11" s="2662">
        <f t="shared" si="2"/>
        <v>100</v>
      </c>
      <c r="X11" s="2663"/>
      <c r="Y11" s="4370"/>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9"/>
      <c r="Q12" s="2672">
        <f t="shared" si="6"/>
        <v>111</v>
      </c>
      <c r="R12" s="2661" t="s">
        <v>14</v>
      </c>
      <c r="S12" s="2662">
        <f t="shared" si="0"/>
        <v>100</v>
      </c>
      <c r="T12" s="2661" t="s">
        <v>14</v>
      </c>
      <c r="U12" s="2662">
        <f t="shared" si="1"/>
        <v>100</v>
      </c>
      <c r="V12" s="2661" t="s">
        <v>14</v>
      </c>
      <c r="W12" s="2662">
        <f t="shared" si="2"/>
        <v>100</v>
      </c>
      <c r="X12" s="2663"/>
      <c r="Y12" s="4370"/>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9"/>
      <c r="Q13" s="2672">
        <f t="shared" si="6"/>
        <v>111</v>
      </c>
      <c r="R13" s="2661" t="s">
        <v>14</v>
      </c>
      <c r="S13" s="2662">
        <f t="shared" si="0"/>
        <v>100</v>
      </c>
      <c r="T13" s="2661" t="s">
        <v>14</v>
      </c>
      <c r="U13" s="2662">
        <f t="shared" si="1"/>
        <v>100</v>
      </c>
      <c r="V13" s="2661" t="s">
        <v>14</v>
      </c>
      <c r="W13" s="2662">
        <f t="shared" si="2"/>
        <v>100</v>
      </c>
      <c r="X13" s="2663"/>
      <c r="Y13" s="4370"/>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9"/>
      <c r="Q14" s="2672">
        <f t="shared" si="6"/>
        <v>111</v>
      </c>
      <c r="R14" s="2661" t="s">
        <v>14</v>
      </c>
      <c r="S14" s="2662">
        <f t="shared" si="0"/>
        <v>100</v>
      </c>
      <c r="T14" s="2661" t="s">
        <v>14</v>
      </c>
      <c r="U14" s="2662">
        <f t="shared" si="1"/>
        <v>100</v>
      </c>
      <c r="V14" s="2661" t="s">
        <v>14</v>
      </c>
      <c r="W14" s="2662">
        <f t="shared" si="2"/>
        <v>100</v>
      </c>
      <c r="X14" s="2663"/>
      <c r="Y14" s="4370"/>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60" t="s">
        <v>1690</v>
      </c>
      <c r="Q15" s="2705" t="str">
        <f t="shared" si="6"/>
        <v>商业繁华度</v>
      </c>
      <c r="R15" s="2706" t="s">
        <v>14</v>
      </c>
      <c r="S15" s="2707">
        <f t="shared" si="0"/>
        <v>100</v>
      </c>
      <c r="T15" s="2706" t="s">
        <v>14</v>
      </c>
      <c r="U15" s="2707">
        <f t="shared" si="1"/>
        <v>106</v>
      </c>
      <c r="V15" s="2706" t="s">
        <v>14</v>
      </c>
      <c r="W15" s="2707">
        <f t="shared" si="2"/>
        <v>106</v>
      </c>
      <c r="X15" s="2649"/>
      <c r="Y15" s="4362"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61"/>
      <c r="Q16" s="2705"/>
      <c r="R16" s="2706"/>
      <c r="S16" s="2707"/>
      <c r="T16" s="2706"/>
      <c r="U16" s="2707"/>
      <c r="V16" s="2706"/>
      <c r="W16" s="2707"/>
      <c r="X16" s="2649"/>
      <c r="Y16" s="4363"/>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61"/>
      <c r="Q17" s="2705" t="str">
        <f>B17</f>
        <v>交通便捷度</v>
      </c>
      <c r="R17" s="2706" t="s">
        <v>14</v>
      </c>
      <c r="S17" s="2707">
        <f>F17</f>
        <v>100</v>
      </c>
      <c r="T17" s="2706" t="s">
        <v>14</v>
      </c>
      <c r="U17" s="2707">
        <f>H17</f>
        <v>102</v>
      </c>
      <c r="V17" s="2706" t="s">
        <v>14</v>
      </c>
      <c r="W17" s="2707">
        <f>J17</f>
        <v>102</v>
      </c>
      <c r="X17" s="2649"/>
      <c r="Y17" s="4363"/>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61"/>
      <c r="Q18" s="2705"/>
      <c r="R18" s="2706"/>
      <c r="S18" s="2707"/>
      <c r="T18" s="2706"/>
      <c r="U18" s="2707"/>
      <c r="V18" s="2706"/>
      <c r="W18" s="2707"/>
      <c r="X18" s="2649"/>
      <c r="Y18" s="4363"/>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61"/>
      <c r="Q19" s="2705" t="str">
        <f>B19</f>
        <v>公共配套设施</v>
      </c>
      <c r="R19" s="2706" t="s">
        <v>14</v>
      </c>
      <c r="S19" s="2707">
        <f>F19</f>
        <v>100</v>
      </c>
      <c r="T19" s="2706" t="s">
        <v>14</v>
      </c>
      <c r="U19" s="2707">
        <f>H19</f>
        <v>100</v>
      </c>
      <c r="V19" s="2706" t="s">
        <v>14</v>
      </c>
      <c r="W19" s="2707">
        <f>J19</f>
        <v>100</v>
      </c>
      <c r="X19" s="2649"/>
      <c r="Y19" s="4363"/>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61"/>
      <c r="Q20" s="2705"/>
      <c r="R20" s="2706"/>
      <c r="S20" s="2707"/>
      <c r="T20" s="2706"/>
      <c r="U20" s="2707"/>
      <c r="V20" s="2706"/>
      <c r="W20" s="2707"/>
      <c r="X20" s="2649"/>
      <c r="Y20" s="4363"/>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61"/>
      <c r="Q21" s="2705" t="str">
        <f>B21</f>
        <v>基础设施水平</v>
      </c>
      <c r="R21" s="2706" t="s">
        <v>14</v>
      </c>
      <c r="S21" s="2707">
        <f>F21</f>
        <v>100</v>
      </c>
      <c r="T21" s="2706" t="s">
        <v>14</v>
      </c>
      <c r="U21" s="2707">
        <f>H21</f>
        <v>100</v>
      </c>
      <c r="V21" s="2706" t="s">
        <v>14</v>
      </c>
      <c r="W21" s="2707">
        <f>J21</f>
        <v>100</v>
      </c>
      <c r="X21" s="2649"/>
      <c r="Y21" s="4363"/>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61"/>
      <c r="Q22" s="2705"/>
      <c r="R22" s="2706"/>
      <c r="S22" s="2707"/>
      <c r="T22" s="2706"/>
      <c r="U22" s="2707"/>
      <c r="V22" s="2706"/>
      <c r="W22" s="2707"/>
      <c r="X22" s="2649"/>
      <c r="Y22" s="4363"/>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61"/>
      <c r="Q23" s="2705" t="str">
        <f>B23</f>
        <v>自然及人文环境</v>
      </c>
      <c r="R23" s="2706" t="s">
        <v>14</v>
      </c>
      <c r="S23" s="2707">
        <f>F23</f>
        <v>100</v>
      </c>
      <c r="T23" s="2706" t="s">
        <v>14</v>
      </c>
      <c r="U23" s="2707">
        <f>H23</f>
        <v>100</v>
      </c>
      <c r="V23" s="2706" t="s">
        <v>14</v>
      </c>
      <c r="W23" s="2707">
        <f>J23</f>
        <v>100</v>
      </c>
      <c r="X23" s="2649"/>
      <c r="Y23" s="4363"/>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61"/>
      <c r="Q24" s="2705"/>
      <c r="R24" s="2706"/>
      <c r="S24" s="2707"/>
      <c r="T24" s="2706"/>
      <c r="U24" s="2707"/>
      <c r="V24" s="2706"/>
      <c r="W24" s="2707"/>
      <c r="X24" s="2649"/>
      <c r="Y24" s="4363"/>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61"/>
      <c r="Q25" s="2705" t="str">
        <f t="shared" ref="Q25:Q46" si="11">B25</f>
        <v>临街状况</v>
      </c>
      <c r="R25" s="2706" t="s">
        <v>14</v>
      </c>
      <c r="S25" s="2707">
        <f>F25</f>
        <v>104</v>
      </c>
      <c r="T25" s="2706" t="s">
        <v>14</v>
      </c>
      <c r="U25" s="2707">
        <f>H25</f>
        <v>104</v>
      </c>
      <c r="V25" s="2706" t="s">
        <v>14</v>
      </c>
      <c r="W25" s="2707">
        <f>J25</f>
        <v>104</v>
      </c>
      <c r="X25" s="2649"/>
      <c r="Y25" s="4363"/>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61"/>
      <c r="Q26" s="2705" t="str">
        <f t="shared" si="11"/>
        <v>平面位置/可视性</v>
      </c>
      <c r="R26" s="2706" t="s">
        <v>14</v>
      </c>
      <c r="S26" s="2707">
        <f>F26</f>
        <v>100</v>
      </c>
      <c r="T26" s="2706" t="s">
        <v>14</v>
      </c>
      <c r="U26" s="2707">
        <f>H26</f>
        <v>100</v>
      </c>
      <c r="V26" s="2706" t="s">
        <v>14</v>
      </c>
      <c r="W26" s="2707">
        <f>J26</f>
        <v>100</v>
      </c>
      <c r="X26" s="2649"/>
      <c r="Y26" s="4363"/>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61"/>
      <c r="Q27" s="2672" t="str">
        <f t="shared" si="11"/>
        <v>人流量</v>
      </c>
      <c r="R27" s="2661" t="s">
        <v>14</v>
      </c>
      <c r="S27" s="2662">
        <f>F27</f>
        <v>100</v>
      </c>
      <c r="T27" s="2661" t="s">
        <v>14</v>
      </c>
      <c r="U27" s="2662">
        <f>H27</f>
        <v>100</v>
      </c>
      <c r="V27" s="2661" t="s">
        <v>14</v>
      </c>
      <c r="W27" s="2662">
        <f>J27</f>
        <v>100</v>
      </c>
      <c r="X27" s="2663"/>
      <c r="Y27" s="4363"/>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61"/>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3"/>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61"/>
      <c r="Q29" s="2705">
        <f t="shared" si="11"/>
        <v>111</v>
      </c>
      <c r="R29" s="2706" t="s">
        <v>14</v>
      </c>
      <c r="S29" s="2707">
        <f t="shared" si="12"/>
        <v>100</v>
      </c>
      <c r="T29" s="2706" t="s">
        <v>14</v>
      </c>
      <c r="U29" s="2707">
        <f t="shared" si="13"/>
        <v>100</v>
      </c>
      <c r="V29" s="2706" t="s">
        <v>14</v>
      </c>
      <c r="W29" s="2707">
        <f t="shared" si="14"/>
        <v>100</v>
      </c>
      <c r="X29" s="2649"/>
      <c r="Y29" s="4363"/>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61"/>
      <c r="Q30" s="2705">
        <f t="shared" si="11"/>
        <v>111</v>
      </c>
      <c r="R30" s="2706" t="s">
        <v>14</v>
      </c>
      <c r="S30" s="2707">
        <f t="shared" si="12"/>
        <v>100</v>
      </c>
      <c r="T30" s="2706" t="s">
        <v>14</v>
      </c>
      <c r="U30" s="2707">
        <f t="shared" si="13"/>
        <v>100</v>
      </c>
      <c r="V30" s="2706" t="s">
        <v>14</v>
      </c>
      <c r="W30" s="2707">
        <f t="shared" si="14"/>
        <v>100</v>
      </c>
      <c r="X30" s="2649"/>
      <c r="Y30" s="4363"/>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61"/>
      <c r="Q31" s="2705">
        <f t="shared" si="11"/>
        <v>111</v>
      </c>
      <c r="R31" s="2706" t="s">
        <v>14</v>
      </c>
      <c r="S31" s="2707">
        <f t="shared" si="12"/>
        <v>100</v>
      </c>
      <c r="T31" s="2706" t="s">
        <v>14</v>
      </c>
      <c r="U31" s="2707">
        <f t="shared" si="13"/>
        <v>100</v>
      </c>
      <c r="V31" s="2706" t="s">
        <v>14</v>
      </c>
      <c r="W31" s="2707">
        <f t="shared" si="14"/>
        <v>100</v>
      </c>
      <c r="X31" s="2649"/>
      <c r="Y31" s="4363"/>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4" t="s">
        <v>1695</v>
      </c>
      <c r="Q32" s="2705" t="str">
        <f t="shared" si="11"/>
        <v>商业类型</v>
      </c>
      <c r="R32" s="2706" t="s">
        <v>14</v>
      </c>
      <c r="S32" s="2707">
        <f t="shared" si="12"/>
        <v>102</v>
      </c>
      <c r="T32" s="2706" t="s">
        <v>14</v>
      </c>
      <c r="U32" s="2707">
        <f t="shared" si="13"/>
        <v>102</v>
      </c>
      <c r="V32" s="2706" t="s">
        <v>14</v>
      </c>
      <c r="W32" s="2707">
        <f t="shared" si="14"/>
        <v>102</v>
      </c>
      <c r="X32" s="2649"/>
      <c r="Y32" s="4367"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5"/>
      <c r="Q33" s="2742" t="str">
        <f t="shared" si="11"/>
        <v>项目建筑规模</v>
      </c>
      <c r="R33" s="2743" t="s">
        <v>14</v>
      </c>
      <c r="S33" s="2744">
        <f t="shared" si="12"/>
        <v>100</v>
      </c>
      <c r="T33" s="2743" t="s">
        <v>14</v>
      </c>
      <c r="U33" s="2744">
        <f t="shared" si="13"/>
        <v>100</v>
      </c>
      <c r="V33" s="2743" t="s">
        <v>14</v>
      </c>
      <c r="W33" s="2744">
        <f t="shared" si="14"/>
        <v>100</v>
      </c>
      <c r="X33" s="2745"/>
      <c r="Y33" s="4367"/>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5"/>
      <c r="Q34" s="2705" t="str">
        <f t="shared" si="11"/>
        <v>建筑结构</v>
      </c>
      <c r="R34" s="2706" t="s">
        <v>14</v>
      </c>
      <c r="S34" s="2707">
        <f t="shared" si="12"/>
        <v>100</v>
      </c>
      <c r="T34" s="2706" t="s">
        <v>14</v>
      </c>
      <c r="U34" s="2707">
        <f t="shared" si="13"/>
        <v>100</v>
      </c>
      <c r="V34" s="2706" t="s">
        <v>14</v>
      </c>
      <c r="W34" s="2707">
        <f t="shared" si="14"/>
        <v>100</v>
      </c>
      <c r="X34" s="2649"/>
      <c r="Y34" s="4367"/>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5"/>
      <c r="Q35" s="2705" t="str">
        <f t="shared" si="11"/>
        <v>公共部分装修</v>
      </c>
      <c r="R35" s="2706" t="s">
        <v>14</v>
      </c>
      <c r="S35" s="2707">
        <f t="shared" si="12"/>
        <v>100</v>
      </c>
      <c r="T35" s="2706" t="s">
        <v>14</v>
      </c>
      <c r="U35" s="2707">
        <f t="shared" si="13"/>
        <v>100</v>
      </c>
      <c r="V35" s="2706" t="s">
        <v>14</v>
      </c>
      <c r="W35" s="2707">
        <f t="shared" si="14"/>
        <v>100</v>
      </c>
      <c r="X35" s="2649"/>
      <c r="Y35" s="4367"/>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5"/>
      <c r="Q36" s="2705" t="str">
        <f t="shared" si="11"/>
        <v>成新度</v>
      </c>
      <c r="R36" s="2706" t="s">
        <v>14</v>
      </c>
      <c r="S36" s="2707">
        <f t="shared" si="12"/>
        <v>103</v>
      </c>
      <c r="T36" s="2706" t="s">
        <v>14</v>
      </c>
      <c r="U36" s="2707">
        <f t="shared" si="13"/>
        <v>103</v>
      </c>
      <c r="V36" s="2706" t="s">
        <v>14</v>
      </c>
      <c r="W36" s="2707">
        <f t="shared" si="14"/>
        <v>100</v>
      </c>
      <c r="X36" s="2649"/>
      <c r="Y36" s="4367"/>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5"/>
      <c r="Q37" s="2672" t="str">
        <f t="shared" si="11"/>
        <v>市政基础设施</v>
      </c>
      <c r="R37" s="2661" t="s">
        <v>14</v>
      </c>
      <c r="S37" s="2662">
        <f t="shared" si="12"/>
        <v>100</v>
      </c>
      <c r="T37" s="2661" t="s">
        <v>14</v>
      </c>
      <c r="U37" s="2662">
        <f t="shared" si="13"/>
        <v>100</v>
      </c>
      <c r="V37" s="2661" t="s">
        <v>14</v>
      </c>
      <c r="W37" s="2662">
        <f t="shared" si="14"/>
        <v>100</v>
      </c>
      <c r="X37" s="2663"/>
      <c r="Y37" s="4367"/>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5" t="s">
        <v>1695</v>
      </c>
      <c r="Q38" s="2705" t="str">
        <f t="shared" si="11"/>
        <v>业态</v>
      </c>
      <c r="R38" s="2706" t="s">
        <v>14</v>
      </c>
      <c r="S38" s="2707">
        <f t="shared" si="12"/>
        <v>100</v>
      </c>
      <c r="T38" s="2706" t="s">
        <v>14</v>
      </c>
      <c r="U38" s="2707">
        <f t="shared" si="13"/>
        <v>100</v>
      </c>
      <c r="V38" s="2706" t="s">
        <v>14</v>
      </c>
      <c r="W38" s="2707">
        <f t="shared" si="14"/>
        <v>100</v>
      </c>
      <c r="X38" s="2649"/>
      <c r="Y38" s="4367"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5"/>
      <c r="Q39" s="2705" t="str">
        <f t="shared" si="11"/>
        <v>层高</v>
      </c>
      <c r="R39" s="2706" t="s">
        <v>14</v>
      </c>
      <c r="S39" s="2707">
        <f t="shared" si="12"/>
        <v>100</v>
      </c>
      <c r="T39" s="2706" t="s">
        <v>14</v>
      </c>
      <c r="U39" s="2707">
        <f t="shared" si="13"/>
        <v>100</v>
      </c>
      <c r="V39" s="2706" t="s">
        <v>14</v>
      </c>
      <c r="W39" s="2707">
        <f t="shared" si="14"/>
        <v>100</v>
      </c>
      <c r="X39" s="2649"/>
      <c r="Y39" s="4367"/>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5"/>
      <c r="Q40" s="2705" t="str">
        <f t="shared" si="11"/>
        <v>单套建筑面积</v>
      </c>
      <c r="R40" s="2706" t="s">
        <v>14</v>
      </c>
      <c r="S40" s="2707">
        <f t="shared" si="12"/>
        <v>100</v>
      </c>
      <c r="T40" s="2706" t="s">
        <v>14</v>
      </c>
      <c r="U40" s="2707">
        <f t="shared" si="13"/>
        <v>100</v>
      </c>
      <c r="V40" s="2706" t="s">
        <v>14</v>
      </c>
      <c r="W40" s="2707">
        <f t="shared" si="14"/>
        <v>100</v>
      </c>
      <c r="X40" s="2649"/>
      <c r="Y40" s="4367"/>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5"/>
      <c r="Q41" s="2742" t="str">
        <f t="shared" si="11"/>
        <v>进深比</v>
      </c>
      <c r="R41" s="2743" t="s">
        <v>14</v>
      </c>
      <c r="S41" s="2744">
        <f t="shared" si="12"/>
        <v>100</v>
      </c>
      <c r="T41" s="2743" t="s">
        <v>14</v>
      </c>
      <c r="U41" s="2744">
        <f t="shared" si="13"/>
        <v>100</v>
      </c>
      <c r="V41" s="2743" t="s">
        <v>14</v>
      </c>
      <c r="W41" s="2744">
        <f t="shared" si="14"/>
        <v>94</v>
      </c>
      <c r="X41" s="2745"/>
      <c r="Y41" s="4367"/>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5"/>
      <c r="Q42" s="2705" t="str">
        <f t="shared" si="11"/>
        <v>内部装修</v>
      </c>
      <c r="R42" s="2706" t="s">
        <v>14</v>
      </c>
      <c r="S42" s="2707">
        <f t="shared" si="12"/>
        <v>100</v>
      </c>
      <c r="T42" s="2706" t="s">
        <v>14</v>
      </c>
      <c r="U42" s="2707">
        <f t="shared" si="13"/>
        <v>100</v>
      </c>
      <c r="V42" s="2706" t="s">
        <v>14</v>
      </c>
      <c r="W42" s="2707">
        <f t="shared" si="14"/>
        <v>100</v>
      </c>
      <c r="X42" s="2649"/>
      <c r="Y42" s="4367"/>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5"/>
      <c r="Q43" s="2705" t="str">
        <f t="shared" si="11"/>
        <v>内部装修维护情况</v>
      </c>
      <c r="R43" s="2706" t="s">
        <v>14</v>
      </c>
      <c r="S43" s="2707">
        <f t="shared" si="12"/>
        <v>100</v>
      </c>
      <c r="T43" s="2706" t="s">
        <v>14</v>
      </c>
      <c r="U43" s="2707">
        <f t="shared" si="13"/>
        <v>100</v>
      </c>
      <c r="V43" s="2706" t="s">
        <v>14</v>
      </c>
      <c r="W43" s="2707">
        <f t="shared" si="14"/>
        <v>100</v>
      </c>
      <c r="X43" s="2649"/>
      <c r="Y43" s="4367"/>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5"/>
      <c r="Q44" s="2672" t="str">
        <f t="shared" si="11"/>
        <v>设备设施</v>
      </c>
      <c r="R44" s="2661" t="s">
        <v>14</v>
      </c>
      <c r="S44" s="2662">
        <f t="shared" si="12"/>
        <v>100</v>
      </c>
      <c r="T44" s="2661" t="s">
        <v>14</v>
      </c>
      <c r="U44" s="2662">
        <f t="shared" si="13"/>
        <v>100</v>
      </c>
      <c r="V44" s="2661" t="s">
        <v>14</v>
      </c>
      <c r="W44" s="2662">
        <f t="shared" si="14"/>
        <v>100</v>
      </c>
      <c r="X44" s="2663"/>
      <c r="Y44" s="4367"/>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5"/>
      <c r="Q45" s="2705">
        <f t="shared" si="11"/>
        <v>0</v>
      </c>
      <c r="R45" s="2706" t="s">
        <v>14</v>
      </c>
      <c r="S45" s="2707">
        <f t="shared" si="12"/>
        <v>100</v>
      </c>
      <c r="T45" s="2706" t="s">
        <v>14</v>
      </c>
      <c r="U45" s="2707">
        <f t="shared" si="13"/>
        <v>100</v>
      </c>
      <c r="V45" s="2706" t="s">
        <v>14</v>
      </c>
      <c r="W45" s="2707">
        <f t="shared" si="14"/>
        <v>100</v>
      </c>
      <c r="X45" s="2649"/>
      <c r="Y45" s="4367"/>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6"/>
      <c r="Q46" s="2705">
        <f t="shared" si="11"/>
        <v>111</v>
      </c>
      <c r="R46" s="2706" t="s">
        <v>14</v>
      </c>
      <c r="S46" s="2707">
        <f t="shared" si="12"/>
        <v>100</v>
      </c>
      <c r="T46" s="2706" t="s">
        <v>14</v>
      </c>
      <c r="U46" s="2707">
        <f t="shared" si="13"/>
        <v>100</v>
      </c>
      <c r="V46" s="2706" t="s">
        <v>14</v>
      </c>
      <c r="W46" s="2707">
        <f t="shared" si="14"/>
        <v>100</v>
      </c>
      <c r="X46" s="2649"/>
      <c r="Y46" s="4368"/>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5" t="str">
        <f>A47</f>
        <v>成交单价（元/平方米）</v>
      </c>
      <c r="Q47" s="4355"/>
      <c r="R47" s="4356">
        <f>E47</f>
        <v>9</v>
      </c>
      <c r="S47" s="4356"/>
      <c r="T47" s="4356">
        <f>G47</f>
        <v>10</v>
      </c>
      <c r="U47" s="4356"/>
      <c r="V47" s="4356">
        <f>I47</f>
        <v>9</v>
      </c>
      <c r="W47" s="4356"/>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5" t="str">
        <f>A48</f>
        <v>比较价值（元/平方米）</v>
      </c>
      <c r="Q48" s="4355"/>
      <c r="R48" s="4356" t="e">
        <f>IF(F1="售价",ROUND(PRODUCT(R47,AA7:AA46),0),ROUND(PRODUCT(R47,AA7:AA46),1))</f>
        <v>#DIV/0!</v>
      </c>
      <c r="S48" s="4356"/>
      <c r="T48" s="4356" t="e">
        <f>IF(F1="售价",ROUND(PRODUCT(T47,AB7:AB46),0),ROUND(PRODUCT(T47,AB7:AB46),1))</f>
        <v>#DIV/0!</v>
      </c>
      <c r="U48" s="4356"/>
      <c r="V48" s="4356" t="e">
        <f>IF(F1="售价",ROUND(PRODUCT(V47,AC7:AC46),0),ROUND(PRODUCT(V47,AC7:AC46),1))</f>
        <v>#DIV/0!</v>
      </c>
      <c r="W48" s="4356"/>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7" t="str">
        <f>A49</f>
        <v>估价对象XX用房的比较价值（楼面单价，元/平方米）</v>
      </c>
      <c r="Q49" s="4358"/>
      <c r="R49" s="4359" t="e">
        <f>IF(F1="售价",ROUND(IF(D48="简单平均",AVERAGE(R48:V48),R48*F48+T48*H48+V48*J48),0),ROUND(IF(D48="简单平均",AVERAGE(R48:V48),R48*F48+T48*H48+V48*J48),1))</f>
        <v>#DIV/0!</v>
      </c>
      <c r="S49" s="4359"/>
      <c r="T49" s="4359"/>
      <c r="U49" s="4359"/>
      <c r="V49" s="4359"/>
      <c r="W49" s="4359"/>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23" t="s">
        <v>1774</v>
      </c>
      <c r="Q4" s="4424"/>
      <c r="R4" s="4429" t="s">
        <v>1770</v>
      </c>
      <c r="S4" s="4430"/>
      <c r="T4" s="4429" t="s">
        <v>1771</v>
      </c>
      <c r="U4" s="4430"/>
      <c r="V4" s="4435" t="s">
        <v>1772</v>
      </c>
      <c r="W4" s="4435"/>
      <c r="X4" s="1320"/>
      <c r="Y4" s="4429" t="s">
        <v>1774</v>
      </c>
      <c r="Z4" s="4430"/>
      <c r="AA4" s="4447" t="s">
        <v>1770</v>
      </c>
      <c r="AB4" s="4447" t="s">
        <v>1771</v>
      </c>
      <c r="AC4" s="4416" t="s">
        <v>1772</v>
      </c>
    </row>
    <row r="5" spans="1:29" ht="15">
      <c r="A5" s="219"/>
      <c r="B5" s="220"/>
      <c r="C5" s="4439" t="s">
        <v>1672</v>
      </c>
      <c r="D5" s="4440"/>
      <c r="E5" s="4450" t="s">
        <v>1673</v>
      </c>
      <c r="F5" s="4451"/>
      <c r="G5" s="4439" t="s">
        <v>1674</v>
      </c>
      <c r="H5" s="4440"/>
      <c r="I5" s="4439" t="s">
        <v>1675</v>
      </c>
      <c r="J5" s="4440"/>
      <c r="K5" s="415"/>
      <c r="L5" s="1802"/>
      <c r="M5" s="1803"/>
      <c r="N5" s="1803"/>
      <c r="O5" s="1803"/>
      <c r="P5" s="4425"/>
      <c r="Q5" s="4426"/>
      <c r="R5" s="4431"/>
      <c r="S5" s="4432"/>
      <c r="T5" s="4431"/>
      <c r="U5" s="4432"/>
      <c r="V5" s="4436"/>
      <c r="W5" s="4436"/>
      <c r="X5" s="1004"/>
      <c r="Y5" s="4431"/>
      <c r="Z5" s="4432"/>
      <c r="AA5" s="4448"/>
      <c r="AB5" s="4448"/>
      <c r="AC5" s="4417"/>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27"/>
      <c r="Q6" s="4428"/>
      <c r="R6" s="4431"/>
      <c r="S6" s="4432"/>
      <c r="T6" s="4433"/>
      <c r="U6" s="4434"/>
      <c r="V6" s="4436"/>
      <c r="W6" s="4436"/>
      <c r="X6" s="1004"/>
      <c r="Y6" s="4433"/>
      <c r="Z6" s="4434"/>
      <c r="AA6" s="4449"/>
      <c r="AB6" s="4449"/>
      <c r="AC6" s="4418"/>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41"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41" t="s">
        <v>1682</v>
      </c>
      <c r="Q8" s="4442"/>
      <c r="R8" s="523" t="s">
        <v>14</v>
      </c>
      <c r="S8" s="524">
        <f t="shared" si="0"/>
        <v>100</v>
      </c>
      <c r="T8" s="523" t="s">
        <v>14</v>
      </c>
      <c r="U8" s="524">
        <f t="shared" si="1"/>
        <v>100</v>
      </c>
      <c r="V8" s="523" t="s">
        <v>14</v>
      </c>
      <c r="W8" s="524">
        <f t="shared" si="2"/>
        <v>100</v>
      </c>
      <c r="X8" s="525"/>
      <c r="Y8" s="4443" t="s">
        <v>1682</v>
      </c>
      <c r="Z8" s="4442"/>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01"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01"/>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01"/>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01"/>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01"/>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01"/>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6" t="s">
        <v>1690</v>
      </c>
      <c r="Q15" s="1001" t="str">
        <f t="shared" si="6"/>
        <v>办公集聚程度</v>
      </c>
      <c r="R15" s="527" t="s">
        <v>14</v>
      </c>
      <c r="S15" s="528">
        <f t="shared" si="0"/>
        <v>100</v>
      </c>
      <c r="T15" s="527" t="s">
        <v>14</v>
      </c>
      <c r="U15" s="528">
        <f t="shared" si="1"/>
        <v>100</v>
      </c>
      <c r="V15" s="527" t="s">
        <v>14</v>
      </c>
      <c r="W15" s="528">
        <f t="shared" si="2"/>
        <v>100</v>
      </c>
      <c r="X15" s="1004"/>
      <c r="Y15" s="4408"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7"/>
      <c r="Q16" s="1001"/>
      <c r="R16" s="527"/>
      <c r="S16" s="528"/>
      <c r="T16" s="527"/>
      <c r="U16" s="528"/>
      <c r="V16" s="527"/>
      <c r="W16" s="528"/>
      <c r="X16" s="1004"/>
      <c r="Y16" s="4409"/>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7"/>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7"/>
      <c r="Q18" s="1001"/>
      <c r="R18" s="527"/>
      <c r="S18" s="528"/>
      <c r="T18" s="527"/>
      <c r="U18" s="528"/>
      <c r="V18" s="527"/>
      <c r="W18" s="528"/>
      <c r="X18" s="1004"/>
      <c r="Y18" s="4409"/>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7"/>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7"/>
      <c r="Q20" s="1001"/>
      <c r="R20" s="527"/>
      <c r="S20" s="528"/>
      <c r="T20" s="527"/>
      <c r="U20" s="528"/>
      <c r="V20" s="527"/>
      <c r="W20" s="528"/>
      <c r="X20" s="1004"/>
      <c r="Y20" s="4409"/>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7"/>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7"/>
      <c r="Q22" s="1001"/>
      <c r="R22" s="527"/>
      <c r="S22" s="528"/>
      <c r="T22" s="527"/>
      <c r="U22" s="528"/>
      <c r="V22" s="527"/>
      <c r="W22" s="528"/>
      <c r="X22" s="1004"/>
      <c r="Y22" s="4409"/>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7"/>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7"/>
      <c r="Q24" s="1001"/>
      <c r="R24" s="527"/>
      <c r="S24" s="528"/>
      <c r="T24" s="527"/>
      <c r="U24" s="528"/>
      <c r="V24" s="527"/>
      <c r="W24" s="528"/>
      <c r="X24" s="1004"/>
      <c r="Y24" s="4409"/>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7"/>
      <c r="Q25" s="1001" t="str">
        <f>B25</f>
        <v>毗邻道路的类型与等级</v>
      </c>
      <c r="R25" s="527" t="s">
        <v>14</v>
      </c>
      <c r="S25" s="528">
        <f>F25</f>
        <v>100</v>
      </c>
      <c r="T25" s="527" t="s">
        <v>14</v>
      </c>
      <c r="U25" s="528">
        <f>H25</f>
        <v>100</v>
      </c>
      <c r="V25" s="527" t="s">
        <v>14</v>
      </c>
      <c r="W25" s="528">
        <f>J25</f>
        <v>100</v>
      </c>
      <c r="X25" s="1004"/>
      <c r="Y25" s="4409"/>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7"/>
      <c r="Q26" s="1001"/>
      <c r="R26" s="527"/>
      <c r="S26" s="528"/>
      <c r="T26" s="527"/>
      <c r="U26" s="528"/>
      <c r="V26" s="527"/>
      <c r="W26" s="528"/>
      <c r="X26" s="1004"/>
      <c r="Y26" s="4409"/>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7"/>
      <c r="Q27" s="1001" t="str">
        <f t="shared" ref="Q27:Q47" si="11">B27</f>
        <v>楼层</v>
      </c>
      <c r="R27" s="527" t="s">
        <v>14</v>
      </c>
      <c r="S27" s="528">
        <f>F27</f>
        <v>100</v>
      </c>
      <c r="T27" s="527" t="s">
        <v>14</v>
      </c>
      <c r="U27" s="528">
        <f>H27</f>
        <v>100</v>
      </c>
      <c r="V27" s="527" t="s">
        <v>14</v>
      </c>
      <c r="W27" s="528">
        <f>J27</f>
        <v>100</v>
      </c>
      <c r="X27" s="1004"/>
      <c r="Y27" s="4409"/>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7"/>
      <c r="Q28" s="993" t="str">
        <f t="shared" si="11"/>
        <v>朝向</v>
      </c>
      <c r="R28" s="523" t="s">
        <v>14</v>
      </c>
      <c r="S28" s="524">
        <f>F28</f>
        <v>100</v>
      </c>
      <c r="T28" s="523" t="s">
        <v>14</v>
      </c>
      <c r="U28" s="524">
        <f>H28</f>
        <v>100</v>
      </c>
      <c r="V28" s="523" t="s">
        <v>14</v>
      </c>
      <c r="W28" s="524">
        <f>J28</f>
        <v>100</v>
      </c>
      <c r="X28" s="525"/>
      <c r="Y28" s="4409"/>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7"/>
      <c r="Q29" s="1001">
        <f t="shared" si="11"/>
        <v>111</v>
      </c>
      <c r="R29" s="527" t="s">
        <v>14</v>
      </c>
      <c r="S29" s="528">
        <f t="shared" ref="S29:S47" si="12">F29</f>
        <v>100</v>
      </c>
      <c r="T29" s="527" t="s">
        <v>14</v>
      </c>
      <c r="U29" s="528">
        <f t="shared" ref="U29:U47" si="13">H29</f>
        <v>100</v>
      </c>
      <c r="V29" s="527" t="s">
        <v>14</v>
      </c>
      <c r="W29" s="528">
        <f t="shared" ref="W29:W47" si="14">J29</f>
        <v>100</v>
      </c>
      <c r="X29" s="1004"/>
      <c r="Y29" s="4409"/>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7"/>
      <c r="Q30" s="1001">
        <f t="shared" si="11"/>
        <v>111</v>
      </c>
      <c r="R30" s="527" t="s">
        <v>14</v>
      </c>
      <c r="S30" s="528">
        <f t="shared" si="12"/>
        <v>100</v>
      </c>
      <c r="T30" s="527" t="s">
        <v>14</v>
      </c>
      <c r="U30" s="528">
        <f t="shared" si="13"/>
        <v>100</v>
      </c>
      <c r="V30" s="527" t="s">
        <v>14</v>
      </c>
      <c r="W30" s="528">
        <f t="shared" si="14"/>
        <v>100</v>
      </c>
      <c r="X30" s="1004"/>
      <c r="Y30" s="4409"/>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7"/>
      <c r="Q31" s="1001">
        <f t="shared" si="11"/>
        <v>111</v>
      </c>
      <c r="R31" s="527" t="s">
        <v>14</v>
      </c>
      <c r="S31" s="528">
        <f t="shared" si="12"/>
        <v>100</v>
      </c>
      <c r="T31" s="527" t="s">
        <v>14</v>
      </c>
      <c r="U31" s="528">
        <f t="shared" si="13"/>
        <v>100</v>
      </c>
      <c r="V31" s="527" t="s">
        <v>14</v>
      </c>
      <c r="W31" s="528">
        <f t="shared" si="14"/>
        <v>100</v>
      </c>
      <c r="X31" s="1004"/>
      <c r="Y31" s="4409"/>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7"/>
      <c r="Q32" s="1001">
        <f t="shared" si="11"/>
        <v>111</v>
      </c>
      <c r="R32" s="527" t="s">
        <v>14</v>
      </c>
      <c r="S32" s="528">
        <f t="shared" si="12"/>
        <v>100</v>
      </c>
      <c r="T32" s="527" t="s">
        <v>14</v>
      </c>
      <c r="U32" s="528">
        <f t="shared" si="13"/>
        <v>100</v>
      </c>
      <c r="V32" s="527" t="s">
        <v>14</v>
      </c>
      <c r="W32" s="528">
        <f t="shared" si="14"/>
        <v>100</v>
      </c>
      <c r="X32" s="1004"/>
      <c r="Y32" s="4409"/>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10" t="s">
        <v>1695</v>
      </c>
      <c r="Q33" s="1001" t="str">
        <f t="shared" si="11"/>
        <v>建筑类型</v>
      </c>
      <c r="R33" s="527" t="s">
        <v>14</v>
      </c>
      <c r="S33" s="528">
        <f t="shared" si="12"/>
        <v>100</v>
      </c>
      <c r="T33" s="527" t="s">
        <v>14</v>
      </c>
      <c r="U33" s="528">
        <f t="shared" si="13"/>
        <v>100</v>
      </c>
      <c r="V33" s="527" t="s">
        <v>14</v>
      </c>
      <c r="W33" s="528">
        <f t="shared" si="14"/>
        <v>100</v>
      </c>
      <c r="X33" s="1004"/>
      <c r="Y33" s="4413"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11"/>
      <c r="Q34" s="529" t="str">
        <f t="shared" si="11"/>
        <v>项目建筑规模</v>
      </c>
      <c r="R34" s="530" t="s">
        <v>14</v>
      </c>
      <c r="S34" s="531" t="e">
        <f t="shared" si="12"/>
        <v>#N/A</v>
      </c>
      <c r="T34" s="530" t="s">
        <v>14</v>
      </c>
      <c r="U34" s="531" t="e">
        <f t="shared" si="13"/>
        <v>#N/A</v>
      </c>
      <c r="V34" s="530" t="s">
        <v>14</v>
      </c>
      <c r="W34" s="531" t="e">
        <f t="shared" si="14"/>
        <v>#N/A</v>
      </c>
      <c r="X34" s="532"/>
      <c r="Y34" s="4413"/>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11"/>
      <c r="Q35" s="1001" t="str">
        <f t="shared" si="11"/>
        <v>建筑结构</v>
      </c>
      <c r="R35" s="527" t="s">
        <v>14</v>
      </c>
      <c r="S35" s="528">
        <f t="shared" si="12"/>
        <v>100</v>
      </c>
      <c r="T35" s="527" t="s">
        <v>14</v>
      </c>
      <c r="U35" s="528">
        <f t="shared" si="13"/>
        <v>100</v>
      </c>
      <c r="V35" s="527" t="s">
        <v>14</v>
      </c>
      <c r="W35" s="528">
        <f t="shared" si="14"/>
        <v>100</v>
      </c>
      <c r="X35" s="1004"/>
      <c r="Y35" s="4413"/>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11"/>
      <c r="Q36" s="1001" t="str">
        <f t="shared" si="11"/>
        <v>公共部分装修</v>
      </c>
      <c r="R36" s="527" t="s">
        <v>14</v>
      </c>
      <c r="S36" s="528">
        <f t="shared" si="12"/>
        <v>100</v>
      </c>
      <c r="T36" s="527" t="s">
        <v>14</v>
      </c>
      <c r="U36" s="528">
        <f t="shared" si="13"/>
        <v>100</v>
      </c>
      <c r="V36" s="527" t="s">
        <v>14</v>
      </c>
      <c r="W36" s="528">
        <f t="shared" si="14"/>
        <v>100</v>
      </c>
      <c r="X36" s="1004"/>
      <c r="Y36" s="4413"/>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11"/>
      <c r="Q37" s="1001" t="str">
        <f t="shared" si="11"/>
        <v>成新度</v>
      </c>
      <c r="R37" s="527" t="s">
        <v>14</v>
      </c>
      <c r="S37" s="528" t="e">
        <f t="shared" si="12"/>
        <v>#N/A</v>
      </c>
      <c r="T37" s="527" t="s">
        <v>14</v>
      </c>
      <c r="U37" s="528" t="e">
        <f t="shared" si="13"/>
        <v>#N/A</v>
      </c>
      <c r="V37" s="527" t="s">
        <v>14</v>
      </c>
      <c r="W37" s="528" t="e">
        <f t="shared" si="14"/>
        <v>#N/A</v>
      </c>
      <c r="X37" s="1004"/>
      <c r="Y37" s="4413"/>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11"/>
      <c r="Q38" s="993" t="str">
        <f t="shared" si="11"/>
        <v>写字楼等级</v>
      </c>
      <c r="R38" s="523" t="s">
        <v>14</v>
      </c>
      <c r="S38" s="524">
        <f t="shared" si="12"/>
        <v>100</v>
      </c>
      <c r="T38" s="523" t="s">
        <v>14</v>
      </c>
      <c r="U38" s="524">
        <f t="shared" si="13"/>
        <v>100</v>
      </c>
      <c r="V38" s="523" t="s">
        <v>14</v>
      </c>
      <c r="W38" s="524">
        <f t="shared" si="14"/>
        <v>100</v>
      </c>
      <c r="X38" s="525"/>
      <c r="Y38" s="4413"/>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11" t="s">
        <v>1695</v>
      </c>
      <c r="Q39" s="1001" t="str">
        <f t="shared" si="11"/>
        <v>物业管理</v>
      </c>
      <c r="R39" s="527" t="s">
        <v>14</v>
      </c>
      <c r="S39" s="528">
        <f t="shared" si="12"/>
        <v>100</v>
      </c>
      <c r="T39" s="527" t="s">
        <v>14</v>
      </c>
      <c r="U39" s="528">
        <f t="shared" si="13"/>
        <v>100</v>
      </c>
      <c r="V39" s="527" t="s">
        <v>14</v>
      </c>
      <c r="W39" s="528">
        <f t="shared" si="14"/>
        <v>100</v>
      </c>
      <c r="X39" s="1004"/>
      <c r="Y39" s="4413"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11"/>
      <c r="Q40" s="1001" t="str">
        <f t="shared" si="11"/>
        <v>市政基础设施</v>
      </c>
      <c r="R40" s="527" t="s">
        <v>14</v>
      </c>
      <c r="S40" s="528">
        <f t="shared" si="12"/>
        <v>100</v>
      </c>
      <c r="T40" s="527" t="s">
        <v>14</v>
      </c>
      <c r="U40" s="528">
        <f t="shared" si="13"/>
        <v>100</v>
      </c>
      <c r="V40" s="527" t="s">
        <v>14</v>
      </c>
      <c r="W40" s="528">
        <f t="shared" si="14"/>
        <v>100</v>
      </c>
      <c r="X40" s="1004"/>
      <c r="Y40" s="4413"/>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11"/>
      <c r="Q41" s="1001" t="str">
        <f t="shared" si="11"/>
        <v>层高</v>
      </c>
      <c r="R41" s="527" t="s">
        <v>14</v>
      </c>
      <c r="S41" s="528">
        <f t="shared" si="12"/>
        <v>100</v>
      </c>
      <c r="T41" s="527" t="s">
        <v>14</v>
      </c>
      <c r="U41" s="528">
        <f t="shared" si="13"/>
        <v>100</v>
      </c>
      <c r="V41" s="527" t="s">
        <v>14</v>
      </c>
      <c r="W41" s="528">
        <f t="shared" si="14"/>
        <v>100</v>
      </c>
      <c r="X41" s="1004"/>
      <c r="Y41" s="4413"/>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11"/>
      <c r="Q42" s="529" t="str">
        <f t="shared" si="11"/>
        <v>单套建筑面积</v>
      </c>
      <c r="R42" s="530" t="s">
        <v>14</v>
      </c>
      <c r="S42" s="531">
        <f t="shared" si="12"/>
        <v>100</v>
      </c>
      <c r="T42" s="530" t="s">
        <v>14</v>
      </c>
      <c r="U42" s="531">
        <f t="shared" si="13"/>
        <v>100</v>
      </c>
      <c r="V42" s="530" t="s">
        <v>14</v>
      </c>
      <c r="W42" s="531">
        <f t="shared" si="14"/>
        <v>100</v>
      </c>
      <c r="X42" s="532"/>
      <c r="Y42" s="4413"/>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11"/>
      <c r="Q43" s="1001" t="str">
        <f t="shared" si="11"/>
        <v>内部装修</v>
      </c>
      <c r="R43" s="527" t="s">
        <v>14</v>
      </c>
      <c r="S43" s="528">
        <f t="shared" si="12"/>
        <v>100</v>
      </c>
      <c r="T43" s="527" t="s">
        <v>14</v>
      </c>
      <c r="U43" s="528">
        <f t="shared" si="13"/>
        <v>100</v>
      </c>
      <c r="V43" s="527" t="s">
        <v>14</v>
      </c>
      <c r="W43" s="528">
        <f t="shared" si="14"/>
        <v>100</v>
      </c>
      <c r="X43" s="1004"/>
      <c r="Y43" s="4413"/>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11"/>
      <c r="Q44" s="1001" t="str">
        <f t="shared" si="11"/>
        <v>内部装修维护情况</v>
      </c>
      <c r="R44" s="527" t="s">
        <v>14</v>
      </c>
      <c r="S44" s="528">
        <f t="shared" si="12"/>
        <v>100</v>
      </c>
      <c r="T44" s="527" t="s">
        <v>14</v>
      </c>
      <c r="U44" s="528">
        <f t="shared" si="13"/>
        <v>100</v>
      </c>
      <c r="V44" s="527" t="s">
        <v>14</v>
      </c>
      <c r="W44" s="528">
        <f t="shared" si="14"/>
        <v>100</v>
      </c>
      <c r="X44" s="1004"/>
      <c r="Y44" s="4413"/>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11"/>
      <c r="Q45" s="993">
        <f t="shared" si="11"/>
        <v>111</v>
      </c>
      <c r="R45" s="523" t="s">
        <v>14</v>
      </c>
      <c r="S45" s="524">
        <f t="shared" si="12"/>
        <v>100</v>
      </c>
      <c r="T45" s="523" t="s">
        <v>14</v>
      </c>
      <c r="U45" s="524">
        <f t="shared" si="13"/>
        <v>100</v>
      </c>
      <c r="V45" s="523" t="s">
        <v>14</v>
      </c>
      <c r="W45" s="524">
        <f t="shared" si="14"/>
        <v>100</v>
      </c>
      <c r="X45" s="525"/>
      <c r="Y45" s="4413"/>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11"/>
      <c r="Q46" s="1001">
        <f t="shared" si="11"/>
        <v>111</v>
      </c>
      <c r="R46" s="527" t="s">
        <v>14</v>
      </c>
      <c r="S46" s="528">
        <f t="shared" si="12"/>
        <v>100</v>
      </c>
      <c r="T46" s="527" t="s">
        <v>14</v>
      </c>
      <c r="U46" s="528">
        <f t="shared" si="13"/>
        <v>100</v>
      </c>
      <c r="V46" s="527" t="s">
        <v>14</v>
      </c>
      <c r="W46" s="528">
        <f t="shared" si="14"/>
        <v>100</v>
      </c>
      <c r="X46" s="1004"/>
      <c r="Y46" s="4413"/>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12"/>
      <c r="Q47" s="1001">
        <f t="shared" si="11"/>
        <v>111</v>
      </c>
      <c r="R47" s="527" t="s">
        <v>14</v>
      </c>
      <c r="S47" s="528">
        <f t="shared" si="12"/>
        <v>100</v>
      </c>
      <c r="T47" s="527" t="s">
        <v>14</v>
      </c>
      <c r="U47" s="528">
        <f t="shared" si="13"/>
        <v>100</v>
      </c>
      <c r="V47" s="527" t="s">
        <v>14</v>
      </c>
      <c r="W47" s="528">
        <f t="shared" si="14"/>
        <v>100</v>
      </c>
      <c r="X47" s="1004"/>
      <c r="Y47" s="4414"/>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01" t="str">
        <f>A48</f>
        <v>成交单价（元/平方米）</v>
      </c>
      <c r="Q48" s="4402"/>
      <c r="R48" s="4356">
        <f>E48</f>
        <v>0</v>
      </c>
      <c r="S48" s="4356"/>
      <c r="T48" s="4356">
        <f>G48</f>
        <v>0</v>
      </c>
      <c r="U48" s="4356"/>
      <c r="V48" s="4356">
        <f>I48</f>
        <v>0</v>
      </c>
      <c r="W48" s="4356"/>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01" t="str">
        <f>A49</f>
        <v>比较价值（元/平方米）</v>
      </c>
      <c r="Q49" s="4402"/>
      <c r="R49" s="4356" t="e">
        <f>IF(F1="售价",ROUND(PRODUCT(R48,AA7:AA47),0),ROUND(PRODUCT(R48,AA7:AA47),1))</f>
        <v>#DIV/0!</v>
      </c>
      <c r="S49" s="4356"/>
      <c r="T49" s="4356" t="e">
        <f>IF(F1="售价",ROUND(PRODUCT(T48,AB7:AB47),0),ROUND(PRODUCT(T48,AB7:AB47),1))</f>
        <v>#DIV/0!</v>
      </c>
      <c r="U49" s="4356"/>
      <c r="V49" s="4356" t="e">
        <f>IF(F1="售价",ROUND(PRODUCT(V48,AC7:AC47),0),ROUND(PRODUCT(V48,AC7:AC47),1))</f>
        <v>#DIV/0!</v>
      </c>
      <c r="W49" s="4356"/>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03" t="str">
        <f>A50</f>
        <v>估价对象XX用房的比较价值（楼面单价，元/平方米）</v>
      </c>
      <c r="Q50" s="4404"/>
      <c r="R50" s="4405" t="e">
        <f>IF(F1="售价",ROUND(IF(D49="简单平均",AVERAGE(R49:V49),R49*F49+T49*H49+V49*J49),0),ROUND(IF(D49="简单平均",AVERAGE(R49:V49),R49*F49+T49*H49+V49*J49),1))</f>
        <v>#DIV/0!</v>
      </c>
      <c r="S50" s="4405"/>
      <c r="T50" s="4405"/>
      <c r="U50" s="4405"/>
      <c r="V50" s="4405"/>
      <c r="W50" s="4405"/>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686"/>
      <c r="M4" s="687"/>
      <c r="N4" s="687"/>
      <c r="O4" s="687"/>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686"/>
      <c r="M5" s="687"/>
      <c r="N5" s="687"/>
      <c r="O5" s="687"/>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686"/>
      <c r="M6" s="687"/>
      <c r="N6" s="687"/>
      <c r="O6" s="687"/>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43" t="s">
        <v>1682</v>
      </c>
      <c r="Q8" s="4442"/>
      <c r="R8" s="523" t="s">
        <v>14</v>
      </c>
      <c r="S8" s="524">
        <f t="shared" si="0"/>
        <v>100</v>
      </c>
      <c r="T8" s="523" t="s">
        <v>14</v>
      </c>
      <c r="U8" s="524">
        <f t="shared" si="1"/>
        <v>100</v>
      </c>
      <c r="V8" s="523" t="s">
        <v>14</v>
      </c>
      <c r="W8" s="524">
        <f t="shared" si="2"/>
        <v>100</v>
      </c>
      <c r="X8" s="525"/>
      <c r="Y8" s="4443" t="s">
        <v>1682</v>
      </c>
      <c r="Z8" s="4442"/>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02"/>
      <c r="Q11" s="993" t="str">
        <f t="shared" si="6"/>
        <v>容积率</v>
      </c>
      <c r="R11" s="523" t="s">
        <v>14</v>
      </c>
      <c r="S11" s="524">
        <f t="shared" si="0"/>
        <v>100</v>
      </c>
      <c r="T11" s="523" t="s">
        <v>14</v>
      </c>
      <c r="U11" s="524">
        <f t="shared" si="1"/>
        <v>100</v>
      </c>
      <c r="V11" s="523" t="s">
        <v>14</v>
      </c>
      <c r="W11" s="524">
        <f t="shared" si="2"/>
        <v>100</v>
      </c>
      <c r="X11" s="525"/>
      <c r="Y11" s="4415"/>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9"/>
      <c r="Q16" s="1001"/>
      <c r="R16" s="527"/>
      <c r="S16" s="528"/>
      <c r="T16" s="527"/>
      <c r="U16" s="528"/>
      <c r="V16" s="527"/>
      <c r="W16" s="528"/>
      <c r="X16" s="1004"/>
      <c r="Y16" s="4409"/>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9"/>
      <c r="Q18" s="1001"/>
      <c r="R18" s="527"/>
      <c r="S18" s="528"/>
      <c r="T18" s="527"/>
      <c r="U18" s="528"/>
      <c r="V18" s="527"/>
      <c r="W18" s="528"/>
      <c r="X18" s="1004"/>
      <c r="Y18" s="4409"/>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9"/>
      <c r="Q19" s="1001" t="str">
        <f>B19</f>
        <v>公共配套设施</v>
      </c>
      <c r="R19" s="527" t="s">
        <v>14</v>
      </c>
      <c r="S19" s="528">
        <f>F19</f>
        <v>100</v>
      </c>
      <c r="T19" s="527" t="s">
        <v>14</v>
      </c>
      <c r="U19" s="528">
        <f>H19</f>
        <v>100</v>
      </c>
      <c r="V19" s="527" t="s">
        <v>14</v>
      </c>
      <c r="W19" s="528">
        <f>J19</f>
        <v>100</v>
      </c>
      <c r="X19" s="1004"/>
      <c r="Y19" s="4409"/>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9"/>
      <c r="Q20" s="1001"/>
      <c r="R20" s="527"/>
      <c r="S20" s="528"/>
      <c r="T20" s="527"/>
      <c r="U20" s="528"/>
      <c r="V20" s="527"/>
      <c r="W20" s="528"/>
      <c r="X20" s="1004"/>
      <c r="Y20" s="4409"/>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9"/>
      <c r="Q21" s="1001" t="str">
        <f>B21</f>
        <v>基础设施水平</v>
      </c>
      <c r="R21" s="527" t="s">
        <v>14</v>
      </c>
      <c r="S21" s="528">
        <f>F21</f>
        <v>100</v>
      </c>
      <c r="T21" s="527" t="s">
        <v>14</v>
      </c>
      <c r="U21" s="528">
        <f>H21</f>
        <v>100</v>
      </c>
      <c r="V21" s="527" t="s">
        <v>14</v>
      </c>
      <c r="W21" s="528">
        <f>J21</f>
        <v>100</v>
      </c>
      <c r="X21" s="1004"/>
      <c r="Y21" s="4409"/>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9"/>
      <c r="Q22" s="1001"/>
      <c r="R22" s="527"/>
      <c r="S22" s="528"/>
      <c r="T22" s="527"/>
      <c r="U22" s="528"/>
      <c r="V22" s="527"/>
      <c r="W22" s="528"/>
      <c r="X22" s="1004"/>
      <c r="Y22" s="4409"/>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9"/>
      <c r="Q23" s="1001" t="str">
        <f>B23</f>
        <v>环境质量</v>
      </c>
      <c r="R23" s="527" t="s">
        <v>14</v>
      </c>
      <c r="S23" s="528">
        <f>F23</f>
        <v>100</v>
      </c>
      <c r="T23" s="527" t="s">
        <v>14</v>
      </c>
      <c r="U23" s="528">
        <f>H23</f>
        <v>100</v>
      </c>
      <c r="V23" s="527" t="s">
        <v>14</v>
      </c>
      <c r="W23" s="528">
        <f>J23</f>
        <v>100</v>
      </c>
      <c r="X23" s="1004"/>
      <c r="Y23" s="4409"/>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9"/>
      <c r="Q24" s="1001"/>
      <c r="R24" s="527"/>
      <c r="S24" s="528"/>
      <c r="T24" s="527"/>
      <c r="U24" s="528"/>
      <c r="V24" s="527"/>
      <c r="W24" s="528"/>
      <c r="X24" s="1004"/>
      <c r="Y24" s="4409"/>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9"/>
      <c r="Q25" s="1001">
        <f>B25</f>
        <v>111</v>
      </c>
      <c r="R25" s="527" t="s">
        <v>14</v>
      </c>
      <c r="S25" s="528">
        <f>F25</f>
        <v>100</v>
      </c>
      <c r="T25" s="527" t="s">
        <v>14</v>
      </c>
      <c r="U25" s="528">
        <f>H25</f>
        <v>100</v>
      </c>
      <c r="V25" s="527" t="s">
        <v>14</v>
      </c>
      <c r="W25" s="528">
        <f>J25</f>
        <v>100</v>
      </c>
      <c r="X25" s="1004"/>
      <c r="Y25" s="4409"/>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9"/>
      <c r="Q26" s="1001">
        <f t="shared" ref="Q26:Q40" si="11">B26</f>
        <v>111</v>
      </c>
      <c r="R26" s="527" t="s">
        <v>14</v>
      </c>
      <c r="S26" s="528">
        <f>F26</f>
        <v>100</v>
      </c>
      <c r="T26" s="527" t="s">
        <v>14</v>
      </c>
      <c r="U26" s="528">
        <f>H26</f>
        <v>100</v>
      </c>
      <c r="V26" s="527" t="s">
        <v>14</v>
      </c>
      <c r="W26" s="528">
        <f>J26</f>
        <v>100</v>
      </c>
      <c r="X26" s="1004"/>
      <c r="Y26" s="4409"/>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9"/>
      <c r="Q27" s="993">
        <f t="shared" si="11"/>
        <v>111</v>
      </c>
      <c r="R27" s="523" t="s">
        <v>14</v>
      </c>
      <c r="S27" s="524">
        <f>F27</f>
        <v>100</v>
      </c>
      <c r="T27" s="523" t="s">
        <v>14</v>
      </c>
      <c r="U27" s="524">
        <f>H27</f>
        <v>100</v>
      </c>
      <c r="V27" s="523" t="s">
        <v>14</v>
      </c>
      <c r="W27" s="524">
        <f>J27</f>
        <v>100</v>
      </c>
      <c r="X27" s="525"/>
      <c r="Y27" s="4409"/>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9"/>
      <c r="Q28" s="1001">
        <f t="shared" si="11"/>
        <v>111</v>
      </c>
      <c r="R28" s="527" t="s">
        <v>14</v>
      </c>
      <c r="S28" s="528">
        <f t="shared" ref="S28:S40" si="12">F28</f>
        <v>100</v>
      </c>
      <c r="T28" s="527" t="s">
        <v>14</v>
      </c>
      <c r="U28" s="528">
        <f t="shared" ref="U28:U40" si="13">H28</f>
        <v>100</v>
      </c>
      <c r="V28" s="527" t="s">
        <v>14</v>
      </c>
      <c r="W28" s="528">
        <f t="shared" ref="W28:W40" si="14">J28</f>
        <v>100</v>
      </c>
      <c r="X28" s="1004"/>
      <c r="Y28" s="4409"/>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4" t="s">
        <v>1695</v>
      </c>
      <c r="Q29" s="1001" t="str">
        <f t="shared" si="11"/>
        <v>建筑类型</v>
      </c>
      <c r="R29" s="527" t="s">
        <v>14</v>
      </c>
      <c r="S29" s="528">
        <f t="shared" si="12"/>
        <v>100</v>
      </c>
      <c r="T29" s="527" t="s">
        <v>14</v>
      </c>
      <c r="U29" s="528">
        <f t="shared" si="13"/>
        <v>100</v>
      </c>
      <c r="V29" s="527" t="s">
        <v>14</v>
      </c>
      <c r="W29" s="528">
        <f t="shared" si="14"/>
        <v>100</v>
      </c>
      <c r="X29" s="1004"/>
      <c r="Y29" s="4413"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13"/>
      <c r="Q30" s="529" t="str">
        <f t="shared" si="11"/>
        <v>项目建筑规模</v>
      </c>
      <c r="R30" s="530" t="s">
        <v>14</v>
      </c>
      <c r="S30" s="531" t="e">
        <f t="shared" si="12"/>
        <v>#N/A</v>
      </c>
      <c r="T30" s="530" t="s">
        <v>14</v>
      </c>
      <c r="U30" s="531" t="e">
        <f t="shared" si="13"/>
        <v>#N/A</v>
      </c>
      <c r="V30" s="530" t="s">
        <v>14</v>
      </c>
      <c r="W30" s="531" t="e">
        <f t="shared" si="14"/>
        <v>#N/A</v>
      </c>
      <c r="X30" s="532"/>
      <c r="Y30" s="4413"/>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13"/>
      <c r="Q31" s="1001" t="str">
        <f t="shared" si="11"/>
        <v>建筑结构</v>
      </c>
      <c r="R31" s="527" t="s">
        <v>14</v>
      </c>
      <c r="S31" s="528">
        <f t="shared" si="12"/>
        <v>100</v>
      </c>
      <c r="T31" s="527" t="s">
        <v>14</v>
      </c>
      <c r="U31" s="528">
        <f t="shared" si="13"/>
        <v>100</v>
      </c>
      <c r="V31" s="527" t="s">
        <v>14</v>
      </c>
      <c r="W31" s="528">
        <f t="shared" si="14"/>
        <v>100</v>
      </c>
      <c r="X31" s="1004"/>
      <c r="Y31" s="4413"/>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13"/>
      <c r="Q32" s="1001" t="str">
        <f t="shared" si="11"/>
        <v>公共部分装修</v>
      </c>
      <c r="R32" s="527" t="s">
        <v>14</v>
      </c>
      <c r="S32" s="528">
        <f t="shared" si="12"/>
        <v>100</v>
      </c>
      <c r="T32" s="527" t="s">
        <v>14</v>
      </c>
      <c r="U32" s="528">
        <f t="shared" si="13"/>
        <v>100</v>
      </c>
      <c r="V32" s="527" t="s">
        <v>14</v>
      </c>
      <c r="W32" s="528">
        <f t="shared" si="14"/>
        <v>100</v>
      </c>
      <c r="X32" s="1004"/>
      <c r="Y32" s="4413"/>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13"/>
      <c r="Q33" s="1001" t="str">
        <f t="shared" si="11"/>
        <v>成新度</v>
      </c>
      <c r="R33" s="527" t="s">
        <v>14</v>
      </c>
      <c r="S33" s="528" t="e">
        <f t="shared" si="12"/>
        <v>#N/A</v>
      </c>
      <c r="T33" s="527" t="s">
        <v>14</v>
      </c>
      <c r="U33" s="528" t="e">
        <f t="shared" si="13"/>
        <v>#N/A</v>
      </c>
      <c r="V33" s="527" t="s">
        <v>14</v>
      </c>
      <c r="W33" s="528" t="e">
        <f t="shared" si="14"/>
        <v>#N/A</v>
      </c>
      <c r="X33" s="1004"/>
      <c r="Y33" s="4413"/>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13"/>
      <c r="Q34" s="993" t="str">
        <f t="shared" si="11"/>
        <v>物业管理</v>
      </c>
      <c r="R34" s="523" t="s">
        <v>14</v>
      </c>
      <c r="S34" s="524">
        <f t="shared" si="12"/>
        <v>100</v>
      </c>
      <c r="T34" s="523" t="s">
        <v>14</v>
      </c>
      <c r="U34" s="524">
        <f t="shared" si="13"/>
        <v>100</v>
      </c>
      <c r="V34" s="523" t="s">
        <v>14</v>
      </c>
      <c r="W34" s="524">
        <f t="shared" si="14"/>
        <v>100</v>
      </c>
      <c r="X34" s="525"/>
      <c r="Y34" s="4413"/>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13" t="s">
        <v>1695</v>
      </c>
      <c r="Q35" s="1001" t="str">
        <f t="shared" si="11"/>
        <v>市政基础设施</v>
      </c>
      <c r="R35" s="527" t="s">
        <v>14</v>
      </c>
      <c r="S35" s="528">
        <f t="shared" si="12"/>
        <v>100</v>
      </c>
      <c r="T35" s="527" t="s">
        <v>14</v>
      </c>
      <c r="U35" s="528">
        <f t="shared" si="13"/>
        <v>100</v>
      </c>
      <c r="V35" s="527" t="s">
        <v>14</v>
      </c>
      <c r="W35" s="528">
        <f t="shared" si="14"/>
        <v>100</v>
      </c>
      <c r="X35" s="1004"/>
      <c r="Y35" s="4413"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13"/>
      <c r="Q36" s="1001" t="str">
        <f t="shared" si="11"/>
        <v>内部装修</v>
      </c>
      <c r="R36" s="527" t="s">
        <v>14</v>
      </c>
      <c r="S36" s="528">
        <f t="shared" si="12"/>
        <v>100</v>
      </c>
      <c r="T36" s="527" t="s">
        <v>14</v>
      </c>
      <c r="U36" s="528">
        <f t="shared" si="13"/>
        <v>100</v>
      </c>
      <c r="V36" s="527" t="s">
        <v>14</v>
      </c>
      <c r="W36" s="528">
        <f t="shared" si="14"/>
        <v>100</v>
      </c>
      <c r="X36" s="1004"/>
      <c r="Y36" s="4413"/>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13"/>
      <c r="Q37" s="1001" t="str">
        <f t="shared" si="11"/>
        <v>内部装修状况</v>
      </c>
      <c r="R37" s="527" t="s">
        <v>14</v>
      </c>
      <c r="S37" s="528">
        <f t="shared" si="12"/>
        <v>100</v>
      </c>
      <c r="T37" s="527" t="s">
        <v>14</v>
      </c>
      <c r="U37" s="528">
        <f t="shared" si="13"/>
        <v>100</v>
      </c>
      <c r="V37" s="527" t="s">
        <v>14</v>
      </c>
      <c r="W37" s="528">
        <f t="shared" si="14"/>
        <v>100</v>
      </c>
      <c r="X37" s="1004"/>
      <c r="Y37" s="4413"/>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13"/>
      <c r="Q38" s="529">
        <f t="shared" si="11"/>
        <v>111</v>
      </c>
      <c r="R38" s="530" t="s">
        <v>14</v>
      </c>
      <c r="S38" s="531">
        <f t="shared" si="12"/>
        <v>100</v>
      </c>
      <c r="T38" s="530" t="s">
        <v>14</v>
      </c>
      <c r="U38" s="531">
        <f t="shared" si="13"/>
        <v>100</v>
      </c>
      <c r="V38" s="530" t="s">
        <v>14</v>
      </c>
      <c r="W38" s="531">
        <f t="shared" si="14"/>
        <v>100</v>
      </c>
      <c r="X38" s="532"/>
      <c r="Y38" s="4413"/>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13"/>
      <c r="Q39" s="1001">
        <f t="shared" si="11"/>
        <v>111</v>
      </c>
      <c r="R39" s="527" t="s">
        <v>14</v>
      </c>
      <c r="S39" s="528">
        <f t="shared" si="12"/>
        <v>100</v>
      </c>
      <c r="T39" s="527" t="s">
        <v>14</v>
      </c>
      <c r="U39" s="528">
        <f t="shared" si="13"/>
        <v>100</v>
      </c>
      <c r="V39" s="527" t="s">
        <v>14</v>
      </c>
      <c r="W39" s="528">
        <f t="shared" si="14"/>
        <v>100</v>
      </c>
      <c r="X39" s="1004"/>
      <c r="Y39" s="4413"/>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4"/>
      <c r="Q40" s="1001">
        <f t="shared" si="11"/>
        <v>111</v>
      </c>
      <c r="R40" s="527" t="s">
        <v>14</v>
      </c>
      <c r="S40" s="528">
        <f t="shared" si="12"/>
        <v>100</v>
      </c>
      <c r="T40" s="527" t="s">
        <v>14</v>
      </c>
      <c r="U40" s="528">
        <f t="shared" si="13"/>
        <v>100</v>
      </c>
      <c r="V40" s="527" t="s">
        <v>14</v>
      </c>
      <c r="W40" s="528">
        <f t="shared" si="14"/>
        <v>100</v>
      </c>
      <c r="X40" s="1004"/>
      <c r="Y40" s="4414"/>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02" t="str">
        <f>A41</f>
        <v>成交单价（元/平方米）</v>
      </c>
      <c r="Q41" s="4402"/>
      <c r="R41" s="4356">
        <f>E41</f>
        <v>0</v>
      </c>
      <c r="S41" s="4356"/>
      <c r="T41" s="4356">
        <f>G41</f>
        <v>0</v>
      </c>
      <c r="U41" s="4356"/>
      <c r="V41" s="4356">
        <f>I41</f>
        <v>0</v>
      </c>
      <c r="W41" s="4356"/>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02" t="str">
        <f>A42</f>
        <v>比较价值（元/平方米）</v>
      </c>
      <c r="Q42" s="4402"/>
      <c r="R42" s="4356" t="e">
        <f>IF(F1="售价",ROUND(PRODUCT(R41,AA7:AA40),0),ROUND(PRODUCT(R41,AA7:AA40),1))</f>
        <v>#DIV/0!</v>
      </c>
      <c r="S42" s="4356"/>
      <c r="T42" s="4356" t="e">
        <f>IF(F1="售价",ROUND(PRODUCT(T41,AB7:AB40),0),ROUND(PRODUCT(T41,AB7:AB40),1))</f>
        <v>#DIV/0!</v>
      </c>
      <c r="U42" s="4356"/>
      <c r="V42" s="4356" t="e">
        <f>IF(F1="售价",ROUND(PRODUCT(V41,AC7:AC40),0),ROUND(PRODUCT(V41,AC7:AC40),1))</f>
        <v>#DIV/0!</v>
      </c>
      <c r="W42" s="4356"/>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2" t="str">
        <f>A43</f>
        <v>估价对象XX用房的比较价值（楼面单价，元/平方米）</v>
      </c>
      <c r="Q43" s="4453"/>
      <c r="R43" s="4359" t="e">
        <f>IF(F1="售价",ROUND(IF(D42="简单平均",AVERAGE(R42:V42),R42*F42+T42*H42+V42*J42),0),ROUND(IF(D42="简单平均",AVERAGE(R42:V42),R42*F42+T42*H42+V42*J42),1))</f>
        <v>#DIV/0!</v>
      </c>
      <c r="S43" s="4359"/>
      <c r="T43" s="4359"/>
      <c r="U43" s="4359"/>
      <c r="V43" s="4359"/>
      <c r="W43" s="4359"/>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9"/>
      <c r="Q15" s="1001"/>
      <c r="R15" s="527"/>
      <c r="S15" s="528"/>
      <c r="T15" s="527"/>
      <c r="U15" s="528"/>
      <c r="V15" s="527"/>
      <c r="W15" s="528"/>
      <c r="X15" s="1004"/>
      <c r="Y15" s="4409"/>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9"/>
      <c r="Q17" s="1001"/>
      <c r="R17" s="527"/>
      <c r="S17" s="528"/>
      <c r="T17" s="527"/>
      <c r="U17" s="528"/>
      <c r="V17" s="527"/>
      <c r="W17" s="528"/>
      <c r="X17" s="1004"/>
      <c r="Y17" s="4409"/>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9"/>
      <c r="Q19" s="1001"/>
      <c r="R19" s="527"/>
      <c r="S19" s="528"/>
      <c r="T19" s="527"/>
      <c r="U19" s="528"/>
      <c r="V19" s="527"/>
      <c r="W19" s="528"/>
      <c r="X19" s="1004"/>
      <c r="Y19" s="4409"/>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9"/>
      <c r="Q21" s="1001"/>
      <c r="R21" s="527"/>
      <c r="S21" s="528"/>
      <c r="T21" s="527"/>
      <c r="U21" s="528"/>
      <c r="V21" s="527"/>
      <c r="W21" s="528"/>
      <c r="X21" s="1004"/>
      <c r="Y21" s="4409"/>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9"/>
      <c r="Q24" s="1001">
        <f t="shared" ref="Q24:Q36"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4"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13"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13"/>
      <c r="Q27" s="529" t="str">
        <f t="shared" si="11"/>
        <v>项目停车位配比</v>
      </c>
      <c r="R27" s="530" t="s">
        <v>14</v>
      </c>
      <c r="S27" s="531">
        <f t="shared" si="12"/>
        <v>100</v>
      </c>
      <c r="T27" s="530" t="s">
        <v>14</v>
      </c>
      <c r="U27" s="531">
        <f t="shared" si="13"/>
        <v>100</v>
      </c>
      <c r="V27" s="530" t="s">
        <v>14</v>
      </c>
      <c r="W27" s="531">
        <f t="shared" si="14"/>
        <v>100</v>
      </c>
      <c r="X27" s="532"/>
      <c r="Y27" s="4413"/>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13"/>
      <c r="Q28" s="1001" t="str">
        <f t="shared" si="11"/>
        <v>公共部分装修</v>
      </c>
      <c r="R28" s="527" t="s">
        <v>14</v>
      </c>
      <c r="S28" s="528">
        <f t="shared" si="12"/>
        <v>100</v>
      </c>
      <c r="T28" s="527" t="s">
        <v>14</v>
      </c>
      <c r="U28" s="528">
        <f t="shared" si="13"/>
        <v>100</v>
      </c>
      <c r="V28" s="527" t="s">
        <v>14</v>
      </c>
      <c r="W28" s="528">
        <f t="shared" si="14"/>
        <v>100</v>
      </c>
      <c r="X28" s="1004"/>
      <c r="Y28" s="4413"/>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13"/>
      <c r="Q29" s="1001" t="str">
        <f t="shared" si="11"/>
        <v>成新率</v>
      </c>
      <c r="R29" s="527" t="s">
        <v>14</v>
      </c>
      <c r="S29" s="528" t="e">
        <f t="shared" si="12"/>
        <v>#N/A</v>
      </c>
      <c r="T29" s="527" t="s">
        <v>14</v>
      </c>
      <c r="U29" s="528" t="e">
        <f t="shared" si="13"/>
        <v>#N/A</v>
      </c>
      <c r="V29" s="527" t="s">
        <v>14</v>
      </c>
      <c r="W29" s="528" t="e">
        <f t="shared" si="14"/>
        <v>#N/A</v>
      </c>
      <c r="X29" s="1004"/>
      <c r="Y29" s="4413"/>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13"/>
      <c r="Q30" s="1001" t="str">
        <f t="shared" si="11"/>
        <v>物业等级</v>
      </c>
      <c r="R30" s="527" t="s">
        <v>14</v>
      </c>
      <c r="S30" s="528">
        <f t="shared" si="12"/>
        <v>100</v>
      </c>
      <c r="T30" s="527" t="s">
        <v>14</v>
      </c>
      <c r="U30" s="528">
        <f t="shared" si="13"/>
        <v>100</v>
      </c>
      <c r="V30" s="527" t="s">
        <v>14</v>
      </c>
      <c r="W30" s="528">
        <f t="shared" si="14"/>
        <v>100</v>
      </c>
      <c r="X30" s="1004"/>
      <c r="Y30" s="4413"/>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13"/>
      <c r="Q31" s="993" t="str">
        <f t="shared" si="11"/>
        <v>停车位面积</v>
      </c>
      <c r="R31" s="523" t="s">
        <v>14</v>
      </c>
      <c r="S31" s="524" t="e">
        <f t="shared" si="12"/>
        <v>#N/A</v>
      </c>
      <c r="T31" s="523" t="s">
        <v>14</v>
      </c>
      <c r="U31" s="524" t="e">
        <f t="shared" si="13"/>
        <v>#N/A</v>
      </c>
      <c r="V31" s="523" t="s">
        <v>14</v>
      </c>
      <c r="W31" s="524" t="e">
        <f t="shared" si="14"/>
        <v>#N/A</v>
      </c>
      <c r="X31" s="525"/>
      <c r="Y31" s="4413"/>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13" t="s">
        <v>1695</v>
      </c>
      <c r="Q32" s="1001" t="str">
        <f t="shared" si="11"/>
        <v>车位类型</v>
      </c>
      <c r="R32" s="527" t="s">
        <v>14</v>
      </c>
      <c r="S32" s="528">
        <f t="shared" si="12"/>
        <v>100</v>
      </c>
      <c r="T32" s="527" t="s">
        <v>14</v>
      </c>
      <c r="U32" s="528">
        <f t="shared" si="13"/>
        <v>100</v>
      </c>
      <c r="V32" s="527" t="s">
        <v>14</v>
      </c>
      <c r="W32" s="528">
        <f t="shared" si="14"/>
        <v>100</v>
      </c>
      <c r="X32" s="1004"/>
      <c r="Y32" s="4413"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13"/>
      <c r="Q33" s="1001" t="str">
        <f t="shared" si="11"/>
        <v>是否直接入户</v>
      </c>
      <c r="R33" s="527" t="s">
        <v>14</v>
      </c>
      <c r="S33" s="528">
        <f t="shared" si="12"/>
        <v>100</v>
      </c>
      <c r="T33" s="527" t="s">
        <v>14</v>
      </c>
      <c r="U33" s="528">
        <f t="shared" si="13"/>
        <v>100</v>
      </c>
      <c r="V33" s="527" t="s">
        <v>14</v>
      </c>
      <c r="W33" s="528">
        <f t="shared" si="14"/>
        <v>100</v>
      </c>
      <c r="X33" s="1004"/>
      <c r="Y33" s="4413"/>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13"/>
      <c r="Q35" s="529">
        <f t="shared" si="11"/>
        <v>111</v>
      </c>
      <c r="R35" s="530" t="s">
        <v>14</v>
      </c>
      <c r="S35" s="531">
        <f t="shared" si="12"/>
        <v>100</v>
      </c>
      <c r="T35" s="530" t="s">
        <v>14</v>
      </c>
      <c r="U35" s="531">
        <f t="shared" si="13"/>
        <v>100</v>
      </c>
      <c r="V35" s="530" t="s">
        <v>14</v>
      </c>
      <c r="W35" s="531">
        <f t="shared" si="14"/>
        <v>100</v>
      </c>
      <c r="X35" s="532"/>
      <c r="Y35" s="4413"/>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13"/>
      <c r="Q36" s="1001">
        <f t="shared" si="11"/>
        <v>111</v>
      </c>
      <c r="R36" s="527" t="s">
        <v>14</v>
      </c>
      <c r="S36" s="528">
        <f t="shared" si="12"/>
        <v>100</v>
      </c>
      <c r="T36" s="527" t="s">
        <v>14</v>
      </c>
      <c r="U36" s="528">
        <f t="shared" si="13"/>
        <v>100</v>
      </c>
      <c r="V36" s="527" t="s">
        <v>14</v>
      </c>
      <c r="W36" s="528">
        <f t="shared" si="14"/>
        <v>100</v>
      </c>
      <c r="X36" s="1004"/>
      <c r="Y36" s="4413"/>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02" t="str">
        <f>A37</f>
        <v>成交单价</v>
      </c>
      <c r="Q37" s="4402"/>
      <c r="R37" s="4356">
        <f>E37</f>
        <v>0</v>
      </c>
      <c r="S37" s="4356"/>
      <c r="T37" s="4356">
        <f>G37</f>
        <v>0</v>
      </c>
      <c r="U37" s="4356"/>
      <c r="V37" s="4356">
        <f>I37</f>
        <v>0</v>
      </c>
      <c r="W37" s="4356"/>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02" t="str">
        <f>A38</f>
        <v>比较价值（元/平方米）</v>
      </c>
      <c r="Q38" s="4402"/>
      <c r="R38" s="4356" t="e">
        <f>IF(F1="售价",ROUND(PRODUCT(R37,AA7:AA36),0),ROUND(PRODUCT(R37,AA7:AA36),1))</f>
        <v>#DIV/0!</v>
      </c>
      <c r="S38" s="4356"/>
      <c r="T38" s="4356" t="e">
        <f>IF(F1="售价",ROUND(PRODUCT(T37,AB7:AB36),0),ROUND(PRODUCT(T37,AB7:AB36),1))</f>
        <v>#DIV/0!</v>
      </c>
      <c r="U38" s="4356"/>
      <c r="V38" s="4356" t="e">
        <f>IF(F1="售价",ROUND(PRODUCT(V37,AC7:AC36),0),ROUND(PRODUCT(V37,AC7:AC36),1))</f>
        <v>#DIV/0!</v>
      </c>
      <c r="W38" s="4356"/>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2" t="str">
        <f>A39</f>
        <v>估价对象XX用房的比较价值（楼面单价，元/平方米）</v>
      </c>
      <c r="Q39" s="4453"/>
      <c r="R39" s="4462" t="e">
        <f>IF(F1="售价",ROUND(IF(D38="简单平均",AVERAGE(R38:W38),R38*F38+T38*H38+V38*J38),0),ROUND(IF(D38="简单平均",AVERAGE(R38:V38),R38*F38+T38*H38+V38*J38),1))</f>
        <v>#DIV/0!</v>
      </c>
      <c r="S39" s="4462"/>
      <c r="T39" s="4462"/>
      <c r="U39" s="4462"/>
      <c r="V39" s="4462"/>
      <c r="W39" s="4462"/>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43" t="s">
        <v>1679</v>
      </c>
      <c r="Q7" s="4444"/>
      <c r="R7" s="523" t="s">
        <v>14</v>
      </c>
      <c r="S7" s="524">
        <f t="shared" ref="S7:S14" si="0">F7</f>
        <v>0</v>
      </c>
      <c r="T7" s="523" t="s">
        <v>14</v>
      </c>
      <c r="U7" s="524">
        <f t="shared" ref="U7:U14" si="1">H7</f>
        <v>0</v>
      </c>
      <c r="V7" s="523" t="s">
        <v>14</v>
      </c>
      <c r="W7" s="524">
        <f t="shared" ref="W7:W14" si="2">J7</f>
        <v>0</v>
      </c>
      <c r="X7" s="525"/>
      <c r="Y7" s="4443" t="s">
        <v>1679</v>
      </c>
      <c r="Z7" s="4442"/>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43" t="s">
        <v>1682</v>
      </c>
      <c r="Q8" s="4442"/>
      <c r="R8" s="523" t="s">
        <v>14</v>
      </c>
      <c r="S8" s="524">
        <f t="shared" si="0"/>
        <v>100</v>
      </c>
      <c r="T8" s="523" t="s">
        <v>14</v>
      </c>
      <c r="U8" s="524">
        <f t="shared" si="1"/>
        <v>100</v>
      </c>
      <c r="V8" s="523" t="s">
        <v>14</v>
      </c>
      <c r="W8" s="524">
        <f t="shared" si="2"/>
        <v>100</v>
      </c>
      <c r="X8" s="525"/>
      <c r="Y8" s="4443" t="s">
        <v>1682</v>
      </c>
      <c r="Z8" s="4442"/>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02" t="s">
        <v>1685</v>
      </c>
      <c r="Q9" s="993" t="str">
        <f t="shared" ref="Q9:Q14" si="6">B9</f>
        <v>用途</v>
      </c>
      <c r="R9" s="523" t="s">
        <v>14</v>
      </c>
      <c r="S9" s="524">
        <f t="shared" si="0"/>
        <v>100</v>
      </c>
      <c r="T9" s="523" t="s">
        <v>14</v>
      </c>
      <c r="U9" s="524">
        <f t="shared" si="1"/>
        <v>100</v>
      </c>
      <c r="V9" s="523" t="s">
        <v>14</v>
      </c>
      <c r="W9" s="524">
        <f t="shared" si="2"/>
        <v>100</v>
      </c>
      <c r="X9" s="525"/>
      <c r="Y9" s="4415"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02"/>
      <c r="Q10" s="993" t="str">
        <f t="shared" si="6"/>
        <v>土地使用年限（年）</v>
      </c>
      <c r="R10" s="523" t="s">
        <v>14</v>
      </c>
      <c r="S10" s="524">
        <f t="shared" si="0"/>
        <v>100</v>
      </c>
      <c r="T10" s="523" t="s">
        <v>14</v>
      </c>
      <c r="U10" s="524">
        <f t="shared" si="1"/>
        <v>100</v>
      </c>
      <c r="V10" s="523" t="s">
        <v>14</v>
      </c>
      <c r="W10" s="524">
        <f t="shared" si="2"/>
        <v>100</v>
      </c>
      <c r="X10" s="525"/>
      <c r="Y10" s="4415"/>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02"/>
      <c r="Q11" s="993">
        <f t="shared" si="6"/>
        <v>111</v>
      </c>
      <c r="R11" s="523" t="s">
        <v>14</v>
      </c>
      <c r="S11" s="524">
        <f t="shared" si="0"/>
        <v>100</v>
      </c>
      <c r="T11" s="523" t="s">
        <v>14</v>
      </c>
      <c r="U11" s="524">
        <f t="shared" si="1"/>
        <v>100</v>
      </c>
      <c r="V11" s="523" t="s">
        <v>14</v>
      </c>
      <c r="W11" s="524">
        <f t="shared" si="2"/>
        <v>100</v>
      </c>
      <c r="X11" s="525"/>
      <c r="Y11" s="4415"/>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8" t="s">
        <v>1690</v>
      </c>
      <c r="Q14" s="1001" t="str">
        <f t="shared" si="6"/>
        <v>交通便捷度</v>
      </c>
      <c r="R14" s="527" t="s">
        <v>14</v>
      </c>
      <c r="S14" s="528">
        <f t="shared" si="0"/>
        <v>100</v>
      </c>
      <c r="T14" s="527" t="s">
        <v>14</v>
      </c>
      <c r="U14" s="528">
        <f t="shared" si="1"/>
        <v>100</v>
      </c>
      <c r="V14" s="527" t="s">
        <v>14</v>
      </c>
      <c r="W14" s="528">
        <f t="shared" si="2"/>
        <v>100</v>
      </c>
      <c r="X14" s="1004"/>
      <c r="Y14" s="4408"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9"/>
      <c r="Q15" s="1001"/>
      <c r="R15" s="527"/>
      <c r="S15" s="528"/>
      <c r="T15" s="527"/>
      <c r="U15" s="528"/>
      <c r="V15" s="527"/>
      <c r="W15" s="528"/>
      <c r="X15" s="1004"/>
      <c r="Y15" s="4409"/>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9"/>
      <c r="Q16" s="1001" t="str">
        <f>B16</f>
        <v>公共配套设施</v>
      </c>
      <c r="R16" s="527" t="s">
        <v>14</v>
      </c>
      <c r="S16" s="528">
        <f>F16</f>
        <v>100</v>
      </c>
      <c r="T16" s="527" t="s">
        <v>14</v>
      </c>
      <c r="U16" s="528">
        <f>H16</f>
        <v>100</v>
      </c>
      <c r="V16" s="527" t="s">
        <v>14</v>
      </c>
      <c r="W16" s="528">
        <f>J16</f>
        <v>100</v>
      </c>
      <c r="X16" s="1004"/>
      <c r="Y16" s="4409"/>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9"/>
      <c r="Q17" s="1001"/>
      <c r="R17" s="527"/>
      <c r="S17" s="528"/>
      <c r="T17" s="527"/>
      <c r="U17" s="528"/>
      <c r="V17" s="527"/>
      <c r="W17" s="528"/>
      <c r="X17" s="1004"/>
      <c r="Y17" s="4409"/>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9"/>
      <c r="Q18" s="1001" t="str">
        <f>B18</f>
        <v>基础设施水平</v>
      </c>
      <c r="R18" s="527" t="s">
        <v>14</v>
      </c>
      <c r="S18" s="528">
        <f>F18</f>
        <v>100</v>
      </c>
      <c r="T18" s="527" t="s">
        <v>14</v>
      </c>
      <c r="U18" s="528">
        <f>H18</f>
        <v>100</v>
      </c>
      <c r="V18" s="527" t="s">
        <v>14</v>
      </c>
      <c r="W18" s="528">
        <f>J18</f>
        <v>100</v>
      </c>
      <c r="X18" s="1004"/>
      <c r="Y18" s="4409"/>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9"/>
      <c r="Q19" s="1001"/>
      <c r="R19" s="527"/>
      <c r="S19" s="528"/>
      <c r="T19" s="527"/>
      <c r="U19" s="528"/>
      <c r="V19" s="527"/>
      <c r="W19" s="528"/>
      <c r="X19" s="1004"/>
      <c r="Y19" s="4409"/>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9"/>
      <c r="Q20" s="1001" t="str">
        <f>B20</f>
        <v>自然及人文环境</v>
      </c>
      <c r="R20" s="527" t="s">
        <v>14</v>
      </c>
      <c r="S20" s="528">
        <f>F20</f>
        <v>100</v>
      </c>
      <c r="T20" s="527" t="s">
        <v>14</v>
      </c>
      <c r="U20" s="528">
        <f>H20</f>
        <v>100</v>
      </c>
      <c r="V20" s="527" t="s">
        <v>14</v>
      </c>
      <c r="W20" s="528">
        <f>J20</f>
        <v>100</v>
      </c>
      <c r="X20" s="1004"/>
      <c r="Y20" s="4409"/>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9"/>
      <c r="Q21" s="1001"/>
      <c r="R21" s="527"/>
      <c r="S21" s="528"/>
      <c r="T21" s="527"/>
      <c r="U21" s="528"/>
      <c r="V21" s="527"/>
      <c r="W21" s="528"/>
      <c r="X21" s="1004"/>
      <c r="Y21" s="4409"/>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9"/>
      <c r="Q22" s="1001" t="str">
        <f>B22</f>
        <v>楼层</v>
      </c>
      <c r="R22" s="527" t="s">
        <v>14</v>
      </c>
      <c r="S22" s="528">
        <f>F22</f>
        <v>100</v>
      </c>
      <c r="T22" s="527" t="s">
        <v>14</v>
      </c>
      <c r="U22" s="528">
        <f>H22</f>
        <v>100</v>
      </c>
      <c r="V22" s="527" t="s">
        <v>14</v>
      </c>
      <c r="W22" s="528">
        <f>J22</f>
        <v>100</v>
      </c>
      <c r="X22" s="1004"/>
      <c r="Y22" s="4409"/>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9"/>
      <c r="Q23" s="1001">
        <f>B23</f>
        <v>111</v>
      </c>
      <c r="R23" s="527" t="s">
        <v>14</v>
      </c>
      <c r="S23" s="528">
        <f>F23</f>
        <v>100</v>
      </c>
      <c r="T23" s="527" t="s">
        <v>14</v>
      </c>
      <c r="U23" s="528">
        <f>H23</f>
        <v>100</v>
      </c>
      <c r="V23" s="527" t="s">
        <v>14</v>
      </c>
      <c r="W23" s="528">
        <f>J23</f>
        <v>100</v>
      </c>
      <c r="X23" s="1004"/>
      <c r="Y23" s="4409"/>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9"/>
      <c r="Q24" s="1001">
        <f t="shared" ref="Q24:Q34" si="11">B24</f>
        <v>111</v>
      </c>
      <c r="R24" s="527" t="s">
        <v>14</v>
      </c>
      <c r="S24" s="528">
        <f>F24</f>
        <v>100</v>
      </c>
      <c r="T24" s="527" t="s">
        <v>14</v>
      </c>
      <c r="U24" s="528">
        <f>H24</f>
        <v>100</v>
      </c>
      <c r="V24" s="527" t="s">
        <v>14</v>
      </c>
      <c r="W24" s="528">
        <f>J24</f>
        <v>100</v>
      </c>
      <c r="X24" s="1004"/>
      <c r="Y24" s="4409"/>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9"/>
      <c r="Q25" s="993">
        <f t="shared" si="11"/>
        <v>111</v>
      </c>
      <c r="R25" s="523" t="s">
        <v>14</v>
      </c>
      <c r="S25" s="524">
        <f>F25</f>
        <v>100</v>
      </c>
      <c r="T25" s="523" t="s">
        <v>14</v>
      </c>
      <c r="U25" s="524">
        <f>H25</f>
        <v>100</v>
      </c>
      <c r="V25" s="523" t="s">
        <v>14</v>
      </c>
      <c r="W25" s="524">
        <f>J25</f>
        <v>100</v>
      </c>
      <c r="X25" s="525"/>
      <c r="Y25" s="4409"/>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4"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13"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13"/>
      <c r="Q27" s="529" t="str">
        <f t="shared" si="11"/>
        <v>成新率</v>
      </c>
      <c r="R27" s="530" t="s">
        <v>14</v>
      </c>
      <c r="S27" s="531" t="e">
        <f t="shared" si="12"/>
        <v>#N/A</v>
      </c>
      <c r="T27" s="530" t="s">
        <v>14</v>
      </c>
      <c r="U27" s="531" t="e">
        <f t="shared" si="13"/>
        <v>#N/A</v>
      </c>
      <c r="V27" s="530" t="s">
        <v>14</v>
      </c>
      <c r="W27" s="531" t="e">
        <f t="shared" si="14"/>
        <v>#N/A</v>
      </c>
      <c r="X27" s="532"/>
      <c r="Y27" s="4413"/>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13"/>
      <c r="Q28" s="1001" t="str">
        <f t="shared" si="11"/>
        <v>物业等级</v>
      </c>
      <c r="R28" s="527" t="s">
        <v>14</v>
      </c>
      <c r="S28" s="528">
        <f t="shared" si="12"/>
        <v>100</v>
      </c>
      <c r="T28" s="527" t="s">
        <v>14</v>
      </c>
      <c r="U28" s="528">
        <f t="shared" si="13"/>
        <v>100</v>
      </c>
      <c r="V28" s="527" t="s">
        <v>14</v>
      </c>
      <c r="W28" s="528">
        <f t="shared" si="14"/>
        <v>100</v>
      </c>
      <c r="X28" s="1004"/>
      <c r="Y28" s="4413"/>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13"/>
      <c r="Q29" s="1001" t="str">
        <f t="shared" si="11"/>
        <v>有无电梯</v>
      </c>
      <c r="R29" s="527" t="s">
        <v>14</v>
      </c>
      <c r="S29" s="528">
        <f t="shared" si="12"/>
        <v>100</v>
      </c>
      <c r="T29" s="527" t="s">
        <v>14</v>
      </c>
      <c r="U29" s="528">
        <f t="shared" si="13"/>
        <v>100</v>
      </c>
      <c r="V29" s="527" t="s">
        <v>14</v>
      </c>
      <c r="W29" s="528">
        <f t="shared" si="14"/>
        <v>100</v>
      </c>
      <c r="X29" s="1004"/>
      <c r="Y29" s="4413"/>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13"/>
      <c r="Q30" s="1001" t="str">
        <f t="shared" si="11"/>
        <v>建筑面积</v>
      </c>
      <c r="R30" s="527" t="s">
        <v>14</v>
      </c>
      <c r="S30" s="528" t="e">
        <f t="shared" si="12"/>
        <v>#N/A</v>
      </c>
      <c r="T30" s="527" t="s">
        <v>14</v>
      </c>
      <c r="U30" s="528" t="e">
        <f t="shared" si="13"/>
        <v>#N/A</v>
      </c>
      <c r="V30" s="527" t="s">
        <v>14</v>
      </c>
      <c r="W30" s="528" t="e">
        <f t="shared" si="14"/>
        <v>#N/A</v>
      </c>
      <c r="X30" s="1004"/>
      <c r="Y30" s="4413"/>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13"/>
      <c r="Q31" s="993" t="str">
        <f t="shared" si="11"/>
        <v>是否封闭</v>
      </c>
      <c r="R31" s="523" t="s">
        <v>14</v>
      </c>
      <c r="S31" s="524">
        <f t="shared" si="12"/>
        <v>100</v>
      </c>
      <c r="T31" s="523" t="s">
        <v>14</v>
      </c>
      <c r="U31" s="524">
        <f t="shared" si="13"/>
        <v>100</v>
      </c>
      <c r="V31" s="523" t="s">
        <v>14</v>
      </c>
      <c r="W31" s="524">
        <f t="shared" si="14"/>
        <v>100</v>
      </c>
      <c r="X31" s="525"/>
      <c r="Y31" s="4413"/>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13" t="s">
        <v>1695</v>
      </c>
      <c r="Q32" s="1001">
        <f t="shared" si="11"/>
        <v>111</v>
      </c>
      <c r="R32" s="527" t="s">
        <v>14</v>
      </c>
      <c r="S32" s="528">
        <f t="shared" si="12"/>
        <v>100</v>
      </c>
      <c r="T32" s="527" t="s">
        <v>14</v>
      </c>
      <c r="U32" s="528">
        <f t="shared" si="13"/>
        <v>100</v>
      </c>
      <c r="V32" s="527" t="s">
        <v>14</v>
      </c>
      <c r="W32" s="528">
        <f t="shared" si="14"/>
        <v>100</v>
      </c>
      <c r="X32" s="1004"/>
      <c r="Y32" s="4413"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13"/>
      <c r="Q33" s="1001">
        <f t="shared" si="11"/>
        <v>111</v>
      </c>
      <c r="R33" s="527" t="s">
        <v>14</v>
      </c>
      <c r="S33" s="528">
        <f t="shared" si="12"/>
        <v>100</v>
      </c>
      <c r="T33" s="527" t="s">
        <v>14</v>
      </c>
      <c r="U33" s="528">
        <f t="shared" si="13"/>
        <v>100</v>
      </c>
      <c r="V33" s="527" t="s">
        <v>14</v>
      </c>
      <c r="W33" s="528">
        <f t="shared" si="14"/>
        <v>100</v>
      </c>
      <c r="X33" s="1004"/>
      <c r="Y33" s="4413"/>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13"/>
      <c r="Q34" s="1001">
        <f t="shared" si="11"/>
        <v>111</v>
      </c>
      <c r="R34" s="527" t="s">
        <v>14</v>
      </c>
      <c r="S34" s="528">
        <f t="shared" si="12"/>
        <v>100</v>
      </c>
      <c r="T34" s="527" t="s">
        <v>14</v>
      </c>
      <c r="U34" s="528">
        <f t="shared" si="13"/>
        <v>100</v>
      </c>
      <c r="V34" s="527" t="s">
        <v>14</v>
      </c>
      <c r="W34" s="528">
        <f t="shared" si="14"/>
        <v>100</v>
      </c>
      <c r="X34" s="1004"/>
      <c r="Y34" s="4413"/>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02" t="str">
        <f>A35</f>
        <v>成交单价（元/平方米）</v>
      </c>
      <c r="Q35" s="4402"/>
      <c r="R35" s="4356">
        <f>E35</f>
        <v>0</v>
      </c>
      <c r="S35" s="4356"/>
      <c r="T35" s="4356">
        <f>G35</f>
        <v>0</v>
      </c>
      <c r="U35" s="4356"/>
      <c r="V35" s="4356">
        <f>I35</f>
        <v>0</v>
      </c>
      <c r="W35" s="4356"/>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02" t="str">
        <f>A36</f>
        <v>比较价值（元/平方米）</v>
      </c>
      <c r="Q36" s="4402"/>
      <c r="R36" s="4356" t="e">
        <f>IF(F1="售价",ROUND(PRODUCT(R35,AA7:AA34),0),ROUND(PRODUCT(R35,AA7:AA34),1))</f>
        <v>#DIV/0!</v>
      </c>
      <c r="S36" s="4356"/>
      <c r="T36" s="4356" t="e">
        <f>IF(F1="售价",ROUND(PRODUCT(T35,AB7:AB34),0),ROUND(PRODUCT(T35,AB7:AB34),1))</f>
        <v>#DIV/0!</v>
      </c>
      <c r="U36" s="4356"/>
      <c r="V36" s="4356" t="e">
        <f>IF(F1="售价",ROUND(PRODUCT(V35,AC7:AC34),0),ROUND(PRODUCT(V35,AC7:AC34),1))</f>
        <v>#DIV/0!</v>
      </c>
      <c r="W36" s="4356"/>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2" t="str">
        <f>A37</f>
        <v>估价对象XX用房的比较价值（楼面单价，元/平方米）</v>
      </c>
      <c r="Q37" s="4453"/>
      <c r="R37" s="4462" t="e">
        <f>IF(F1="售价",ROUND(IF(D36="简单平均",AVERAGE(R36:W36),R36*F36+T36*H36+V36*J36),0),ROUND(IF(D36="简单平均",AVERAGE(R36:V36),R36*F36+T36*H36+V36*J36),1))</f>
        <v>#DIV/0!</v>
      </c>
      <c r="S37" s="4462"/>
      <c r="T37" s="4462"/>
      <c r="U37" s="4462"/>
      <c r="V37" s="4462"/>
      <c r="W37" s="4462"/>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30"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30" ht="15.75" thickBot="1">
      <c r="A6" s="221"/>
      <c r="B6" s="222"/>
      <c r="C6" s="4437" t="s">
        <v>1676</v>
      </c>
      <c r="D6" s="4438"/>
      <c r="E6" s="4445" t="s">
        <v>1676</v>
      </c>
      <c r="F6" s="4446"/>
      <c r="G6" s="4437" t="s">
        <v>1676</v>
      </c>
      <c r="H6" s="4438"/>
      <c r="I6" s="4437" t="s">
        <v>1676</v>
      </c>
      <c r="J6" s="4438"/>
      <c r="K6" s="415" t="s">
        <v>1677</v>
      </c>
      <c r="L6" s="1802"/>
      <c r="M6" s="1803"/>
      <c r="N6" s="1803"/>
      <c r="O6" s="1803"/>
      <c r="P6" s="4459"/>
      <c r="Q6" s="4428"/>
      <c r="R6" s="4431"/>
      <c r="S6" s="4432"/>
      <c r="T6" s="4433"/>
      <c r="U6" s="4434"/>
      <c r="V6" s="4436"/>
      <c r="W6" s="4436"/>
      <c r="X6" s="1004"/>
      <c r="Y6" s="4433"/>
      <c r="Z6" s="4434"/>
      <c r="AA6" s="4449"/>
      <c r="AB6" s="4449"/>
      <c r="AC6" s="4449"/>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02"/>
      <c r="Q12" s="993" t="str">
        <f t="shared" si="6"/>
        <v>配建</v>
      </c>
      <c r="R12" s="523" t="s">
        <v>14</v>
      </c>
      <c r="S12" s="524">
        <f t="shared" si="0"/>
        <v>100</v>
      </c>
      <c r="T12" s="523" t="s">
        <v>14</v>
      </c>
      <c r="U12" s="524">
        <f t="shared" si="1"/>
        <v>100</v>
      </c>
      <c r="V12" s="523" t="s">
        <v>14</v>
      </c>
      <c r="W12" s="524">
        <f t="shared" si="2"/>
        <v>100</v>
      </c>
      <c r="X12" s="525"/>
      <c r="Y12" s="4415"/>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8" t="s">
        <v>1690</v>
      </c>
      <c r="Q15" s="1001" t="str">
        <f t="shared" si="6"/>
        <v>居住社区成熟度</v>
      </c>
      <c r="R15" s="527" t="s">
        <v>14</v>
      </c>
      <c r="S15" s="528">
        <f t="shared" si="0"/>
        <v>100</v>
      </c>
      <c r="T15" s="527" t="s">
        <v>14</v>
      </c>
      <c r="U15" s="528">
        <f t="shared" si="1"/>
        <v>100</v>
      </c>
      <c r="V15" s="527" t="s">
        <v>14</v>
      </c>
      <c r="W15" s="528">
        <f t="shared" si="2"/>
        <v>100</v>
      </c>
      <c r="X15" s="1004"/>
      <c r="Y15" s="4408"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9"/>
      <c r="Q17" s="1001" t="str">
        <f>B17</f>
        <v>商业繁华度</v>
      </c>
      <c r="R17" s="527" t="s">
        <v>14</v>
      </c>
      <c r="S17" s="528">
        <f>F17</f>
        <v>100</v>
      </c>
      <c r="T17" s="527" t="s">
        <v>14</v>
      </c>
      <c r="U17" s="528">
        <f>H17</f>
        <v>100</v>
      </c>
      <c r="V17" s="527" t="s">
        <v>14</v>
      </c>
      <c r="W17" s="528">
        <f>J17</f>
        <v>100</v>
      </c>
      <c r="X17" s="1004"/>
      <c r="Y17" s="4409"/>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9"/>
      <c r="Q19" s="1001" t="str">
        <f>B19</f>
        <v>办公集聚程度</v>
      </c>
      <c r="R19" s="527" t="s">
        <v>14</v>
      </c>
      <c r="S19" s="528">
        <f>F19</f>
        <v>100</v>
      </c>
      <c r="T19" s="527" t="s">
        <v>14</v>
      </c>
      <c r="U19" s="528">
        <f>H19</f>
        <v>100</v>
      </c>
      <c r="V19" s="527" t="s">
        <v>14</v>
      </c>
      <c r="W19" s="528">
        <f>J19</f>
        <v>100</v>
      </c>
      <c r="X19" s="1004"/>
      <c r="Y19" s="4409"/>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9"/>
      <c r="Q20" s="1001"/>
      <c r="R20" s="527"/>
      <c r="S20" s="528"/>
      <c r="T20" s="527"/>
      <c r="U20" s="528"/>
      <c r="V20" s="527"/>
      <c r="W20" s="528"/>
      <c r="X20" s="1004"/>
      <c r="Y20" s="4409"/>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9"/>
      <c r="Q21" s="1001" t="str">
        <f>B21</f>
        <v>交通便捷度</v>
      </c>
      <c r="R21" s="527" t="s">
        <v>14</v>
      </c>
      <c r="S21" s="528">
        <f>F21</f>
        <v>100</v>
      </c>
      <c r="T21" s="527" t="s">
        <v>14</v>
      </c>
      <c r="U21" s="528">
        <f>H21</f>
        <v>100</v>
      </c>
      <c r="V21" s="527" t="s">
        <v>14</v>
      </c>
      <c r="W21" s="528">
        <f>J21</f>
        <v>100</v>
      </c>
      <c r="X21" s="1004"/>
      <c r="Y21" s="4409"/>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9"/>
      <c r="Q23" s="1001" t="str">
        <f t="shared" ref="Q23:Q37" si="8">B23</f>
        <v>区域土地利用方向</v>
      </c>
      <c r="R23" s="527" t="s">
        <v>14</v>
      </c>
      <c r="S23" s="528">
        <f>F23</f>
        <v>100</v>
      </c>
      <c r="T23" s="527" t="s">
        <v>14</v>
      </c>
      <c r="U23" s="528">
        <f>H23</f>
        <v>100</v>
      </c>
      <c r="V23" s="527" t="s">
        <v>14</v>
      </c>
      <c r="W23" s="528">
        <f>J23</f>
        <v>100</v>
      </c>
      <c r="X23" s="1004"/>
      <c r="Y23" s="4409"/>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9"/>
      <c r="Q24" s="1001"/>
      <c r="R24" s="527"/>
      <c r="S24" s="528"/>
      <c r="T24" s="527"/>
      <c r="U24" s="528"/>
      <c r="V24" s="527"/>
      <c r="W24" s="528"/>
      <c r="X24" s="1004"/>
      <c r="Y24" s="4409"/>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9"/>
      <c r="Q25" s="1001" t="str">
        <f t="shared" si="8"/>
        <v>自然及人文环境状况</v>
      </c>
      <c r="R25" s="527" t="s">
        <v>14</v>
      </c>
      <c r="S25" s="528">
        <f>F25</f>
        <v>100</v>
      </c>
      <c r="T25" s="527" t="s">
        <v>14</v>
      </c>
      <c r="U25" s="528">
        <f>H25</f>
        <v>100</v>
      </c>
      <c r="V25" s="527" t="s">
        <v>14</v>
      </c>
      <c r="W25" s="528">
        <f>J25</f>
        <v>100</v>
      </c>
      <c r="X25" s="1004"/>
      <c r="Y25" s="4409"/>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9"/>
      <c r="Q26" s="1001"/>
      <c r="R26" s="527"/>
      <c r="S26" s="528"/>
      <c r="T26" s="527"/>
      <c r="U26" s="528"/>
      <c r="V26" s="527"/>
      <c r="W26" s="528"/>
      <c r="X26" s="1004"/>
      <c r="Y26" s="4409"/>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9"/>
      <c r="Q27" s="993" t="str">
        <f t="shared" si="8"/>
        <v>公共配套设施</v>
      </c>
      <c r="R27" s="523" t="s">
        <v>14</v>
      </c>
      <c r="S27" s="524">
        <f>F27</f>
        <v>100</v>
      </c>
      <c r="T27" s="523" t="s">
        <v>14</v>
      </c>
      <c r="U27" s="524">
        <f>H27</f>
        <v>100</v>
      </c>
      <c r="V27" s="523" t="s">
        <v>14</v>
      </c>
      <c r="W27" s="524">
        <f>J27</f>
        <v>100</v>
      </c>
      <c r="X27" s="525"/>
      <c r="Y27" s="4409"/>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9"/>
      <c r="Q28" s="993"/>
      <c r="R28" s="523"/>
      <c r="S28" s="524"/>
      <c r="T28" s="523"/>
      <c r="U28" s="524"/>
      <c r="V28" s="523"/>
      <c r="W28" s="524"/>
      <c r="X28" s="525"/>
      <c r="Y28" s="4409"/>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9"/>
      <c r="Q29" s="993" t="str">
        <f t="shared" ref="Q29" si="9">B29</f>
        <v>基础设施水平</v>
      </c>
      <c r="R29" s="523" t="s">
        <v>14</v>
      </c>
      <c r="S29" s="524">
        <f>F29</f>
        <v>100</v>
      </c>
      <c r="T29" s="523" t="s">
        <v>14</v>
      </c>
      <c r="U29" s="524">
        <f>H29</f>
        <v>100</v>
      </c>
      <c r="V29" s="523" t="s">
        <v>14</v>
      </c>
      <c r="W29" s="524">
        <f>J29</f>
        <v>100</v>
      </c>
      <c r="X29" s="525"/>
      <c r="Y29" s="4409"/>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9"/>
      <c r="Q30" s="993"/>
      <c r="R30" s="523"/>
      <c r="S30" s="524"/>
      <c r="T30" s="523"/>
      <c r="U30" s="524"/>
      <c r="V30" s="523"/>
      <c r="W30" s="524"/>
      <c r="X30" s="525"/>
      <c r="Y30" s="4409"/>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9"/>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9"/>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9"/>
      <c r="Q32" s="1001" t="str">
        <f t="shared" si="8"/>
        <v>毗邻道路的类型与等级</v>
      </c>
      <c r="R32" s="527" t="s">
        <v>14</v>
      </c>
      <c r="S32" s="528">
        <f t="shared" si="10"/>
        <v>100</v>
      </c>
      <c r="T32" s="527" t="s">
        <v>14</v>
      </c>
      <c r="U32" s="528">
        <f t="shared" si="11"/>
        <v>100</v>
      </c>
      <c r="V32" s="527" t="s">
        <v>14</v>
      </c>
      <c r="W32" s="528">
        <f t="shared" si="12"/>
        <v>100</v>
      </c>
      <c r="X32" s="1004"/>
      <c r="Y32" s="4409"/>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9"/>
      <c r="Q33" s="1001"/>
      <c r="R33" s="527"/>
      <c r="S33" s="528"/>
      <c r="T33" s="527"/>
      <c r="U33" s="528"/>
      <c r="V33" s="527"/>
      <c r="W33" s="528"/>
      <c r="X33" s="1004"/>
      <c r="Y33" s="4409"/>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9"/>
      <c r="Q34" s="1001" t="str">
        <f t="shared" si="8"/>
        <v>土地级别</v>
      </c>
      <c r="R34" s="527" t="s">
        <v>14</v>
      </c>
      <c r="S34" s="528">
        <f t="shared" si="10"/>
        <v>100</v>
      </c>
      <c r="T34" s="527" t="s">
        <v>14</v>
      </c>
      <c r="U34" s="528">
        <f t="shared" si="11"/>
        <v>100</v>
      </c>
      <c r="V34" s="527" t="s">
        <v>14</v>
      </c>
      <c r="W34" s="528">
        <f t="shared" si="12"/>
        <v>100</v>
      </c>
      <c r="X34" s="1004"/>
      <c r="Y34" s="4409"/>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9"/>
      <c r="Q35" s="1001">
        <f t="shared" si="8"/>
        <v>111</v>
      </c>
      <c r="R35" s="527" t="s">
        <v>14</v>
      </c>
      <c r="S35" s="528">
        <f t="shared" si="10"/>
        <v>100</v>
      </c>
      <c r="T35" s="527" t="s">
        <v>14</v>
      </c>
      <c r="U35" s="528">
        <f t="shared" si="11"/>
        <v>100</v>
      </c>
      <c r="V35" s="527" t="s">
        <v>14</v>
      </c>
      <c r="W35" s="528">
        <f t="shared" si="12"/>
        <v>100</v>
      </c>
      <c r="X35" s="1004"/>
      <c r="Y35" s="4409"/>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4" t="s">
        <v>1695</v>
      </c>
      <c r="Q36" s="1001">
        <f t="shared" si="8"/>
        <v>111</v>
      </c>
      <c r="R36" s="527" t="s">
        <v>14</v>
      </c>
      <c r="S36" s="528">
        <f t="shared" si="10"/>
        <v>100</v>
      </c>
      <c r="T36" s="527" t="s">
        <v>14</v>
      </c>
      <c r="U36" s="528">
        <f t="shared" si="11"/>
        <v>100</v>
      </c>
      <c r="V36" s="527" t="s">
        <v>14</v>
      </c>
      <c r="W36" s="528">
        <f t="shared" si="12"/>
        <v>100</v>
      </c>
      <c r="X36" s="1004"/>
      <c r="Y36" s="4413"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13"/>
      <c r="Q37" s="1001">
        <f t="shared" si="8"/>
        <v>111</v>
      </c>
      <c r="R37" s="530" t="s">
        <v>14</v>
      </c>
      <c r="S37" s="531">
        <f t="shared" si="10"/>
        <v>100</v>
      </c>
      <c r="T37" s="530" t="s">
        <v>14</v>
      </c>
      <c r="U37" s="531">
        <f t="shared" si="11"/>
        <v>100</v>
      </c>
      <c r="V37" s="530" t="s">
        <v>14</v>
      </c>
      <c r="W37" s="531">
        <f t="shared" si="12"/>
        <v>100</v>
      </c>
      <c r="X37" s="532"/>
      <c r="Y37" s="4413"/>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13"/>
      <c r="Q38" s="1001" t="str">
        <f>B38</f>
        <v>宗地面积</v>
      </c>
      <c r="R38" s="527" t="s">
        <v>14</v>
      </c>
      <c r="S38" s="528" t="e">
        <f t="shared" si="10"/>
        <v>#N/A</v>
      </c>
      <c r="T38" s="527" t="s">
        <v>14</v>
      </c>
      <c r="U38" s="528" t="e">
        <f t="shared" si="11"/>
        <v>#N/A</v>
      </c>
      <c r="V38" s="527" t="s">
        <v>14</v>
      </c>
      <c r="W38" s="528" t="e">
        <f t="shared" si="12"/>
        <v>#N/A</v>
      </c>
      <c r="X38" s="1004"/>
      <c r="Y38" s="4413"/>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13"/>
      <c r="Q39" s="1001" t="str">
        <f t="shared" ref="Q39:Q45" si="14">B39</f>
        <v>宗地形状</v>
      </c>
      <c r="R39" s="527" t="s">
        <v>14</v>
      </c>
      <c r="S39" s="528">
        <f t="shared" si="10"/>
        <v>100</v>
      </c>
      <c r="T39" s="527" t="s">
        <v>14</v>
      </c>
      <c r="U39" s="528">
        <f t="shared" si="11"/>
        <v>100</v>
      </c>
      <c r="V39" s="527" t="s">
        <v>14</v>
      </c>
      <c r="W39" s="528">
        <f t="shared" si="12"/>
        <v>100</v>
      </c>
      <c r="X39" s="1004"/>
      <c r="Y39" s="4413"/>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13"/>
      <c r="Q40" s="1001" t="str">
        <f t="shared" si="14"/>
        <v>临街宽度及深度</v>
      </c>
      <c r="R40" s="527" t="s">
        <v>14</v>
      </c>
      <c r="S40" s="528">
        <f t="shared" si="10"/>
        <v>100</v>
      </c>
      <c r="T40" s="527" t="s">
        <v>14</v>
      </c>
      <c r="U40" s="528">
        <f t="shared" si="11"/>
        <v>100</v>
      </c>
      <c r="V40" s="527" t="s">
        <v>14</v>
      </c>
      <c r="W40" s="528">
        <f t="shared" si="12"/>
        <v>100</v>
      </c>
      <c r="X40" s="1004"/>
      <c r="Y40" s="4413"/>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13"/>
      <c r="Q41" s="1001" t="str">
        <f t="shared" si="14"/>
        <v>宗地开发程度</v>
      </c>
      <c r="R41" s="523" t="s">
        <v>14</v>
      </c>
      <c r="S41" s="524">
        <f t="shared" si="10"/>
        <v>100</v>
      </c>
      <c r="T41" s="523" t="s">
        <v>14</v>
      </c>
      <c r="U41" s="524">
        <f t="shared" si="11"/>
        <v>100</v>
      </c>
      <c r="V41" s="523" t="s">
        <v>14</v>
      </c>
      <c r="W41" s="524">
        <f t="shared" si="12"/>
        <v>100</v>
      </c>
      <c r="X41" s="525"/>
      <c r="Y41" s="4413"/>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13" t="s">
        <v>1695</v>
      </c>
      <c r="Q42" s="1001" t="str">
        <f t="shared" si="14"/>
        <v>工程地质条件</v>
      </c>
      <c r="R42" s="527" t="s">
        <v>14</v>
      </c>
      <c r="S42" s="528">
        <f t="shared" si="10"/>
        <v>100</v>
      </c>
      <c r="T42" s="527" t="s">
        <v>14</v>
      </c>
      <c r="U42" s="528">
        <f t="shared" si="11"/>
        <v>100</v>
      </c>
      <c r="V42" s="527" t="s">
        <v>14</v>
      </c>
      <c r="W42" s="528">
        <f t="shared" si="12"/>
        <v>100</v>
      </c>
      <c r="X42" s="1004"/>
      <c r="Y42" s="4413"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13"/>
      <c r="Q43" s="1001">
        <f t="shared" si="14"/>
        <v>111</v>
      </c>
      <c r="R43" s="527" t="s">
        <v>14</v>
      </c>
      <c r="S43" s="528">
        <f t="shared" si="10"/>
        <v>100</v>
      </c>
      <c r="T43" s="527" t="s">
        <v>14</v>
      </c>
      <c r="U43" s="528">
        <f t="shared" si="11"/>
        <v>100</v>
      </c>
      <c r="V43" s="527" t="s">
        <v>14</v>
      </c>
      <c r="W43" s="528">
        <f t="shared" si="12"/>
        <v>100</v>
      </c>
      <c r="X43" s="1004"/>
      <c r="Y43" s="4413"/>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13"/>
      <c r="Q44" s="1001">
        <f t="shared" si="14"/>
        <v>111</v>
      </c>
      <c r="R44" s="527" t="s">
        <v>14</v>
      </c>
      <c r="S44" s="528">
        <f t="shared" si="10"/>
        <v>100</v>
      </c>
      <c r="T44" s="527" t="s">
        <v>14</v>
      </c>
      <c r="U44" s="528">
        <f t="shared" si="11"/>
        <v>100</v>
      </c>
      <c r="V44" s="527" t="s">
        <v>14</v>
      </c>
      <c r="W44" s="528">
        <f t="shared" si="12"/>
        <v>100</v>
      </c>
      <c r="X44" s="1004"/>
      <c r="Y44" s="4413"/>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13"/>
      <c r="Q45" s="1001">
        <f t="shared" si="14"/>
        <v>111</v>
      </c>
      <c r="R45" s="530" t="s">
        <v>14</v>
      </c>
      <c r="S45" s="531">
        <f t="shared" si="10"/>
        <v>100</v>
      </c>
      <c r="T45" s="530" t="s">
        <v>14</v>
      </c>
      <c r="U45" s="531">
        <f t="shared" si="11"/>
        <v>100</v>
      </c>
      <c r="V45" s="530" t="s">
        <v>14</v>
      </c>
      <c r="W45" s="531">
        <f t="shared" si="12"/>
        <v>100</v>
      </c>
      <c r="X45" s="532"/>
      <c r="Y45" s="4413"/>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02" t="str">
        <f>A46</f>
        <v>成交单价</v>
      </c>
      <c r="Q46" s="4402"/>
      <c r="R46" s="4436">
        <f>E46</f>
        <v>0</v>
      </c>
      <c r="S46" s="4436"/>
      <c r="T46" s="4436">
        <f>G46</f>
        <v>0</v>
      </c>
      <c r="U46" s="4436"/>
      <c r="V46" s="4436">
        <f>I46</f>
        <v>0</v>
      </c>
      <c r="W46" s="4436"/>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02" t="str">
        <f>A47</f>
        <v>比较价值（元/平方米）</v>
      </c>
      <c r="Q47" s="4402"/>
      <c r="R47" s="4463" t="e">
        <f>ROUND(PRODUCT(R46,AA7:AA45),0)</f>
        <v>#DIV/0!</v>
      </c>
      <c r="S47" s="4463"/>
      <c r="T47" s="4463" t="e">
        <f>ROUND(PRODUCT(T46,AB7:AB45),0)</f>
        <v>#DIV/0!</v>
      </c>
      <c r="U47" s="4463"/>
      <c r="V47" s="4463" t="e">
        <f>ROUND(PRODUCT(V46,AC7:AC45),0)</f>
        <v>#DIV/0!</v>
      </c>
      <c r="W47" s="4463"/>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2" t="str">
        <f>A48</f>
        <v>估价对象XX用房的比较价值（楼面单价，元/平方米）</v>
      </c>
      <c r="Q48" s="4453"/>
      <c r="R48" s="4464" t="e">
        <f>ROUND(IF(D47="简单平均",AVERAGE(R47:W47),R47*F47+T47*H47+V47*J47),0)</f>
        <v>#DIV/0!</v>
      </c>
      <c r="S48" s="4464"/>
      <c r="T48" s="4464"/>
      <c r="U48" s="4464"/>
      <c r="V48" s="4464"/>
      <c r="W48" s="4464"/>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9" t="s">
        <v>1886</v>
      </c>
      <c r="H55" s="4465"/>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01"/>
      <c r="H56" s="4402"/>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9" t="s">
        <v>1769</v>
      </c>
      <c r="D4" s="4420"/>
      <c r="E4" s="4421" t="s">
        <v>1770</v>
      </c>
      <c r="F4" s="4422"/>
      <c r="G4" s="4419" t="s">
        <v>1771</v>
      </c>
      <c r="H4" s="4420"/>
      <c r="I4" s="4419" t="s">
        <v>1772</v>
      </c>
      <c r="J4" s="4420"/>
      <c r="K4" s="415" t="s">
        <v>1773</v>
      </c>
      <c r="L4" s="1802"/>
      <c r="M4" s="1803"/>
      <c r="N4" s="1803"/>
      <c r="O4" s="1803"/>
      <c r="P4" s="4456" t="s">
        <v>1774</v>
      </c>
      <c r="Q4" s="4457"/>
      <c r="R4" s="4460" t="s">
        <v>1770</v>
      </c>
      <c r="S4" s="4461"/>
      <c r="T4" s="4460" t="s">
        <v>1771</v>
      </c>
      <c r="U4" s="4461"/>
      <c r="V4" s="4436" t="s">
        <v>1772</v>
      </c>
      <c r="W4" s="4436"/>
      <c r="X4" s="1004"/>
      <c r="Y4" s="4460" t="s">
        <v>1774</v>
      </c>
      <c r="Z4" s="4461"/>
      <c r="AA4" s="4455" t="s">
        <v>1770</v>
      </c>
      <c r="AB4" s="4448" t="s">
        <v>1771</v>
      </c>
      <c r="AC4" s="4455" t="s">
        <v>1772</v>
      </c>
    </row>
    <row r="5" spans="1:29" ht="15">
      <c r="A5" s="219"/>
      <c r="B5" s="220"/>
      <c r="C5" s="4439" t="s">
        <v>1672</v>
      </c>
      <c r="D5" s="4440"/>
      <c r="E5" s="4450" t="s">
        <v>1673</v>
      </c>
      <c r="F5" s="4451"/>
      <c r="G5" s="4439" t="s">
        <v>1674</v>
      </c>
      <c r="H5" s="4440"/>
      <c r="I5" s="4439" t="s">
        <v>1675</v>
      </c>
      <c r="J5" s="4440"/>
      <c r="K5" s="415"/>
      <c r="L5" s="1802"/>
      <c r="M5" s="1803"/>
      <c r="N5" s="1803"/>
      <c r="O5" s="1803"/>
      <c r="P5" s="4458"/>
      <c r="Q5" s="4426"/>
      <c r="R5" s="4431"/>
      <c r="S5" s="4432"/>
      <c r="T5" s="4431"/>
      <c r="U5" s="4432"/>
      <c r="V5" s="4436"/>
      <c r="W5" s="4436"/>
      <c r="X5" s="1004"/>
      <c r="Y5" s="4431"/>
      <c r="Z5" s="4432"/>
      <c r="AA5" s="4448"/>
      <c r="AB5" s="4448"/>
      <c r="AC5" s="4448"/>
    </row>
    <row r="6" spans="1:29" ht="15.75" thickBot="1">
      <c r="A6" s="221"/>
      <c r="B6" s="222"/>
      <c r="C6" s="4466" t="s">
        <v>1918</v>
      </c>
      <c r="D6" s="4467"/>
      <c r="E6" s="4468" t="s">
        <v>1918</v>
      </c>
      <c r="F6" s="4469"/>
      <c r="G6" s="4466" t="s">
        <v>1918</v>
      </c>
      <c r="H6" s="4467"/>
      <c r="I6" s="4466" t="s">
        <v>1918</v>
      </c>
      <c r="J6" s="4467"/>
      <c r="K6" s="415" t="s">
        <v>1677</v>
      </c>
      <c r="L6" s="1802"/>
      <c r="M6" s="1803"/>
      <c r="N6" s="1803"/>
      <c r="O6" s="1803"/>
      <c r="P6" s="4459"/>
      <c r="Q6" s="4428"/>
      <c r="R6" s="4431"/>
      <c r="S6" s="4432"/>
      <c r="T6" s="4433"/>
      <c r="U6" s="4434"/>
      <c r="V6" s="4436"/>
      <c r="W6" s="4436"/>
      <c r="X6" s="1004"/>
      <c r="Y6" s="4433"/>
      <c r="Z6" s="4434"/>
      <c r="AA6" s="4449"/>
      <c r="AB6" s="4449"/>
      <c r="AC6" s="4449"/>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43" t="s">
        <v>1679</v>
      </c>
      <c r="Q7" s="4444"/>
      <c r="R7" s="523" t="s">
        <v>14</v>
      </c>
      <c r="S7" s="524">
        <f t="shared" ref="S7:S15" si="0">F7</f>
        <v>0</v>
      </c>
      <c r="T7" s="523" t="s">
        <v>14</v>
      </c>
      <c r="U7" s="524">
        <f t="shared" ref="U7:U15" si="1">H7</f>
        <v>0</v>
      </c>
      <c r="V7" s="523" t="s">
        <v>14</v>
      </c>
      <c r="W7" s="524">
        <f t="shared" ref="W7:W15" si="2">J7</f>
        <v>0</v>
      </c>
      <c r="X7" s="525"/>
      <c r="Y7" s="4443" t="s">
        <v>1679</v>
      </c>
      <c r="Z7" s="4442"/>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43" t="s">
        <v>1682</v>
      </c>
      <c r="Q8" s="4442"/>
      <c r="R8" s="523" t="s">
        <v>14</v>
      </c>
      <c r="S8" s="524">
        <f t="shared" si="0"/>
        <v>0</v>
      </c>
      <c r="T8" s="523" t="s">
        <v>14</v>
      </c>
      <c r="U8" s="524">
        <f t="shared" si="1"/>
        <v>0</v>
      </c>
      <c r="V8" s="523" t="s">
        <v>14</v>
      </c>
      <c r="W8" s="524">
        <f t="shared" si="2"/>
        <v>0</v>
      </c>
      <c r="X8" s="525"/>
      <c r="Y8" s="4443" t="s">
        <v>1682</v>
      </c>
      <c r="Z8" s="4442"/>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02" t="s">
        <v>1685</v>
      </c>
      <c r="Q9" s="993" t="str">
        <f t="shared" ref="Q9:Q15" si="6">B9</f>
        <v>用途</v>
      </c>
      <c r="R9" s="523" t="s">
        <v>14</v>
      </c>
      <c r="S9" s="524">
        <f t="shared" si="0"/>
        <v>100</v>
      </c>
      <c r="T9" s="523" t="s">
        <v>14</v>
      </c>
      <c r="U9" s="524">
        <f t="shared" si="1"/>
        <v>100</v>
      </c>
      <c r="V9" s="523" t="s">
        <v>14</v>
      </c>
      <c r="W9" s="524">
        <f t="shared" si="2"/>
        <v>100</v>
      </c>
      <c r="X9" s="525"/>
      <c r="Y9" s="4415"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02"/>
      <c r="Q10" s="993" t="str">
        <f t="shared" si="6"/>
        <v>土地使用年限（年）</v>
      </c>
      <c r="R10" s="523" t="s">
        <v>14</v>
      </c>
      <c r="S10" s="524" t="e">
        <f t="shared" si="0"/>
        <v>#DIV/0!</v>
      </c>
      <c r="T10" s="523" t="s">
        <v>14</v>
      </c>
      <c r="U10" s="524" t="e">
        <f t="shared" si="1"/>
        <v>#DIV/0!</v>
      </c>
      <c r="V10" s="523" t="s">
        <v>14</v>
      </c>
      <c r="W10" s="524" t="e">
        <f t="shared" si="2"/>
        <v>#DIV/0!</v>
      </c>
      <c r="X10" s="525"/>
      <c r="Y10" s="4415"/>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02"/>
      <c r="Q11" s="993" t="str">
        <f t="shared" si="6"/>
        <v>容积率</v>
      </c>
      <c r="R11" s="523" t="s">
        <v>14</v>
      </c>
      <c r="S11" s="524" t="e">
        <f t="shared" si="0"/>
        <v>#N/A</v>
      </c>
      <c r="T11" s="523" t="s">
        <v>14</v>
      </c>
      <c r="U11" s="524" t="e">
        <f t="shared" si="1"/>
        <v>#N/A</v>
      </c>
      <c r="V11" s="523" t="s">
        <v>14</v>
      </c>
      <c r="W11" s="524" t="e">
        <f t="shared" si="2"/>
        <v>#N/A</v>
      </c>
      <c r="X11" s="525"/>
      <c r="Y11" s="4415"/>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02"/>
      <c r="Q12" s="993">
        <f t="shared" si="6"/>
        <v>111</v>
      </c>
      <c r="R12" s="523" t="s">
        <v>14</v>
      </c>
      <c r="S12" s="524">
        <f t="shared" si="0"/>
        <v>100</v>
      </c>
      <c r="T12" s="523" t="s">
        <v>14</v>
      </c>
      <c r="U12" s="524">
        <f t="shared" si="1"/>
        <v>100</v>
      </c>
      <c r="V12" s="523" t="s">
        <v>14</v>
      </c>
      <c r="W12" s="524">
        <f t="shared" si="2"/>
        <v>100</v>
      </c>
      <c r="X12" s="525"/>
      <c r="Y12" s="4415"/>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02"/>
      <c r="Q13" s="993">
        <f t="shared" si="6"/>
        <v>111</v>
      </c>
      <c r="R13" s="523" t="s">
        <v>14</v>
      </c>
      <c r="S13" s="524">
        <f t="shared" si="0"/>
        <v>100</v>
      </c>
      <c r="T13" s="523" t="s">
        <v>14</v>
      </c>
      <c r="U13" s="524">
        <f t="shared" si="1"/>
        <v>100</v>
      </c>
      <c r="V13" s="523" t="s">
        <v>14</v>
      </c>
      <c r="W13" s="524">
        <f t="shared" si="2"/>
        <v>100</v>
      </c>
      <c r="X13" s="525"/>
      <c r="Y13" s="4415"/>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02"/>
      <c r="Q14" s="993">
        <f t="shared" si="6"/>
        <v>111</v>
      </c>
      <c r="R14" s="523" t="s">
        <v>14</v>
      </c>
      <c r="S14" s="524">
        <f t="shared" si="0"/>
        <v>100</v>
      </c>
      <c r="T14" s="523" t="s">
        <v>14</v>
      </c>
      <c r="U14" s="524">
        <f t="shared" si="1"/>
        <v>100</v>
      </c>
      <c r="V14" s="523" t="s">
        <v>14</v>
      </c>
      <c r="W14" s="524">
        <f t="shared" si="2"/>
        <v>100</v>
      </c>
      <c r="X14" s="525"/>
      <c r="Y14" s="4415"/>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8" t="s">
        <v>1690</v>
      </c>
      <c r="Q15" s="1001" t="str">
        <f t="shared" si="6"/>
        <v>产业集聚程度</v>
      </c>
      <c r="R15" s="527" t="s">
        <v>14</v>
      </c>
      <c r="S15" s="528">
        <f t="shared" si="0"/>
        <v>100</v>
      </c>
      <c r="T15" s="527" t="s">
        <v>14</v>
      </c>
      <c r="U15" s="528">
        <f t="shared" si="1"/>
        <v>100</v>
      </c>
      <c r="V15" s="527" t="s">
        <v>14</v>
      </c>
      <c r="W15" s="528">
        <f t="shared" si="2"/>
        <v>100</v>
      </c>
      <c r="X15" s="1004"/>
      <c r="Y15" s="4408"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9"/>
      <c r="Q16" s="1001"/>
      <c r="R16" s="527"/>
      <c r="S16" s="528"/>
      <c r="T16" s="527"/>
      <c r="U16" s="528"/>
      <c r="V16" s="527"/>
      <c r="W16" s="528"/>
      <c r="X16" s="1004"/>
      <c r="Y16" s="4409"/>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9"/>
      <c r="Q17" s="1001" t="str">
        <f>B17</f>
        <v>交通便捷度</v>
      </c>
      <c r="R17" s="527" t="s">
        <v>14</v>
      </c>
      <c r="S17" s="528">
        <f>F17</f>
        <v>100</v>
      </c>
      <c r="T17" s="527" t="s">
        <v>14</v>
      </c>
      <c r="U17" s="528">
        <f>H17</f>
        <v>100</v>
      </c>
      <c r="V17" s="527" t="s">
        <v>14</v>
      </c>
      <c r="W17" s="528">
        <f>J17</f>
        <v>100</v>
      </c>
      <c r="X17" s="1004"/>
      <c r="Y17" s="4409"/>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9"/>
      <c r="Q18" s="1001"/>
      <c r="R18" s="527"/>
      <c r="S18" s="528"/>
      <c r="T18" s="527"/>
      <c r="U18" s="528"/>
      <c r="V18" s="527"/>
      <c r="W18" s="528"/>
      <c r="X18" s="1004"/>
      <c r="Y18" s="4409"/>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9"/>
      <c r="Q19" s="1001" t="str">
        <f t="shared" ref="Q19:Q33" si="8">B19</f>
        <v>区域土地利用方向</v>
      </c>
      <c r="R19" s="527" t="s">
        <v>14</v>
      </c>
      <c r="S19" s="528">
        <f>F19</f>
        <v>100</v>
      </c>
      <c r="T19" s="527" t="s">
        <v>14</v>
      </c>
      <c r="U19" s="528">
        <f>H19</f>
        <v>100</v>
      </c>
      <c r="V19" s="527" t="s">
        <v>14</v>
      </c>
      <c r="W19" s="528">
        <f>J19</f>
        <v>100</v>
      </c>
      <c r="X19" s="1004"/>
      <c r="Y19" s="4409"/>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9"/>
      <c r="Q20" s="1001"/>
      <c r="R20" s="527"/>
      <c r="S20" s="528"/>
      <c r="T20" s="527"/>
      <c r="U20" s="528"/>
      <c r="V20" s="527"/>
      <c r="W20" s="528"/>
      <c r="X20" s="1004"/>
      <c r="Y20" s="4409"/>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9"/>
      <c r="Q21" s="1001" t="str">
        <f t="shared" si="8"/>
        <v>环境状况</v>
      </c>
      <c r="R21" s="527" t="s">
        <v>14</v>
      </c>
      <c r="S21" s="528">
        <f>F21</f>
        <v>100</v>
      </c>
      <c r="T21" s="527" t="s">
        <v>14</v>
      </c>
      <c r="U21" s="528">
        <f>H21</f>
        <v>100</v>
      </c>
      <c r="V21" s="527" t="s">
        <v>14</v>
      </c>
      <c r="W21" s="528">
        <f>J21</f>
        <v>100</v>
      </c>
      <c r="X21" s="1004"/>
      <c r="Y21" s="4409"/>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9"/>
      <c r="Q22" s="1001"/>
      <c r="R22" s="527"/>
      <c r="S22" s="528"/>
      <c r="T22" s="527"/>
      <c r="U22" s="528"/>
      <c r="V22" s="527"/>
      <c r="W22" s="528"/>
      <c r="X22" s="1004"/>
      <c r="Y22" s="4409"/>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9"/>
      <c r="Q23" s="993" t="str">
        <f t="shared" si="8"/>
        <v>公共配套设施</v>
      </c>
      <c r="R23" s="523" t="s">
        <v>14</v>
      </c>
      <c r="S23" s="524">
        <f>F23</f>
        <v>100</v>
      </c>
      <c r="T23" s="523" t="s">
        <v>14</v>
      </c>
      <c r="U23" s="524">
        <f>H23</f>
        <v>100</v>
      </c>
      <c r="V23" s="523" t="s">
        <v>14</v>
      </c>
      <c r="W23" s="524">
        <f>J23</f>
        <v>100</v>
      </c>
      <c r="X23" s="525"/>
      <c r="Y23" s="4409"/>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9"/>
      <c r="Q24" s="993"/>
      <c r="R24" s="523"/>
      <c r="S24" s="524"/>
      <c r="T24" s="523"/>
      <c r="U24" s="524"/>
      <c r="V24" s="523"/>
      <c r="W24" s="524"/>
      <c r="X24" s="525"/>
      <c r="Y24" s="4409"/>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9"/>
      <c r="Q25" s="993" t="str">
        <f t="shared" ref="Q25" si="9">B25</f>
        <v>基础设施水平</v>
      </c>
      <c r="R25" s="523" t="s">
        <v>14</v>
      </c>
      <c r="S25" s="524">
        <f>F25</f>
        <v>100</v>
      </c>
      <c r="T25" s="523" t="s">
        <v>14</v>
      </c>
      <c r="U25" s="524">
        <f>H25</f>
        <v>100</v>
      </c>
      <c r="V25" s="523" t="s">
        <v>14</v>
      </c>
      <c r="W25" s="524">
        <f>J25</f>
        <v>100</v>
      </c>
      <c r="X25" s="525"/>
      <c r="Y25" s="4409"/>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9"/>
      <c r="Q26" s="993"/>
      <c r="R26" s="523"/>
      <c r="S26" s="524"/>
      <c r="T26" s="523"/>
      <c r="U26" s="524"/>
      <c r="V26" s="523"/>
      <c r="W26" s="524"/>
      <c r="X26" s="525"/>
      <c r="Y26" s="4409"/>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9"/>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9"/>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9"/>
      <c r="Q28" s="1001" t="str">
        <f t="shared" si="8"/>
        <v>毗邻道路的类型与等级</v>
      </c>
      <c r="R28" s="527" t="s">
        <v>14</v>
      </c>
      <c r="S28" s="528">
        <f t="shared" si="10"/>
        <v>100</v>
      </c>
      <c r="T28" s="527" t="s">
        <v>14</v>
      </c>
      <c r="U28" s="528">
        <f t="shared" si="11"/>
        <v>100</v>
      </c>
      <c r="V28" s="527" t="s">
        <v>14</v>
      </c>
      <c r="W28" s="528">
        <f t="shared" si="12"/>
        <v>100</v>
      </c>
      <c r="X28" s="1004"/>
      <c r="Y28" s="4409"/>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9"/>
      <c r="Q29" s="1001"/>
      <c r="R29" s="527"/>
      <c r="S29" s="528"/>
      <c r="T29" s="527"/>
      <c r="U29" s="528"/>
      <c r="V29" s="527"/>
      <c r="W29" s="528"/>
      <c r="X29" s="1004"/>
      <c r="Y29" s="4409"/>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9"/>
      <c r="Q30" s="1001" t="str">
        <f t="shared" si="8"/>
        <v>土地级别</v>
      </c>
      <c r="R30" s="527" t="s">
        <v>14</v>
      </c>
      <c r="S30" s="528">
        <f t="shared" si="10"/>
        <v>100</v>
      </c>
      <c r="T30" s="527" t="s">
        <v>14</v>
      </c>
      <c r="U30" s="528">
        <f t="shared" si="11"/>
        <v>100</v>
      </c>
      <c r="V30" s="527" t="s">
        <v>14</v>
      </c>
      <c r="W30" s="528">
        <f t="shared" si="12"/>
        <v>100</v>
      </c>
      <c r="X30" s="1004"/>
      <c r="Y30" s="4409"/>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9"/>
      <c r="Q31" s="1001">
        <f t="shared" si="8"/>
        <v>111</v>
      </c>
      <c r="R31" s="527" t="s">
        <v>14</v>
      </c>
      <c r="S31" s="528">
        <f t="shared" si="10"/>
        <v>100</v>
      </c>
      <c r="T31" s="527" t="s">
        <v>14</v>
      </c>
      <c r="U31" s="528">
        <f t="shared" si="11"/>
        <v>100</v>
      </c>
      <c r="V31" s="527" t="s">
        <v>14</v>
      </c>
      <c r="W31" s="528">
        <f t="shared" si="12"/>
        <v>100</v>
      </c>
      <c r="X31" s="1004"/>
      <c r="Y31" s="4409"/>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4" t="s">
        <v>1695</v>
      </c>
      <c r="Q32" s="1001">
        <f t="shared" si="8"/>
        <v>111</v>
      </c>
      <c r="R32" s="527" t="s">
        <v>14</v>
      </c>
      <c r="S32" s="528">
        <f t="shared" si="10"/>
        <v>100</v>
      </c>
      <c r="T32" s="527" t="s">
        <v>14</v>
      </c>
      <c r="U32" s="528">
        <f t="shared" si="11"/>
        <v>100</v>
      </c>
      <c r="V32" s="527" t="s">
        <v>14</v>
      </c>
      <c r="W32" s="528">
        <f t="shared" si="12"/>
        <v>100</v>
      </c>
      <c r="X32" s="1004"/>
      <c r="Y32" s="4413"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13"/>
      <c r="Q33" s="1001">
        <f t="shared" si="8"/>
        <v>111</v>
      </c>
      <c r="R33" s="530" t="s">
        <v>14</v>
      </c>
      <c r="S33" s="531">
        <f t="shared" si="10"/>
        <v>100</v>
      </c>
      <c r="T33" s="530" t="s">
        <v>14</v>
      </c>
      <c r="U33" s="531">
        <f t="shared" si="11"/>
        <v>100</v>
      </c>
      <c r="V33" s="530" t="s">
        <v>14</v>
      </c>
      <c r="W33" s="531">
        <f t="shared" si="12"/>
        <v>100</v>
      </c>
      <c r="X33" s="532"/>
      <c r="Y33" s="4413"/>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13"/>
      <c r="Q34" s="1001" t="str">
        <f>B34</f>
        <v>宗地面积</v>
      </c>
      <c r="R34" s="527" t="s">
        <v>14</v>
      </c>
      <c r="S34" s="528" t="e">
        <f t="shared" si="10"/>
        <v>#N/A</v>
      </c>
      <c r="T34" s="527" t="s">
        <v>14</v>
      </c>
      <c r="U34" s="528" t="e">
        <f t="shared" si="11"/>
        <v>#N/A</v>
      </c>
      <c r="V34" s="527" t="s">
        <v>14</v>
      </c>
      <c r="W34" s="528" t="e">
        <f t="shared" si="12"/>
        <v>#N/A</v>
      </c>
      <c r="X34" s="1004"/>
      <c r="Y34" s="4413"/>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13"/>
      <c r="Q35" s="1001" t="str">
        <f t="shared" ref="Q35:Q40" si="14">B35</f>
        <v>宗地形状</v>
      </c>
      <c r="R35" s="527" t="s">
        <v>14</v>
      </c>
      <c r="S35" s="528">
        <f t="shared" si="10"/>
        <v>100</v>
      </c>
      <c r="T35" s="527" t="s">
        <v>14</v>
      </c>
      <c r="U35" s="528">
        <f t="shared" si="11"/>
        <v>100</v>
      </c>
      <c r="V35" s="527" t="s">
        <v>14</v>
      </c>
      <c r="W35" s="528">
        <f t="shared" si="12"/>
        <v>100</v>
      </c>
      <c r="X35" s="1004"/>
      <c r="Y35" s="4413"/>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13"/>
      <c r="Q36" s="1001" t="str">
        <f t="shared" si="14"/>
        <v>宗地开发程度</v>
      </c>
      <c r="R36" s="523" t="s">
        <v>14</v>
      </c>
      <c r="S36" s="524">
        <f t="shared" si="10"/>
        <v>100</v>
      </c>
      <c r="T36" s="523" t="s">
        <v>14</v>
      </c>
      <c r="U36" s="524">
        <f t="shared" si="11"/>
        <v>100</v>
      </c>
      <c r="V36" s="523" t="s">
        <v>14</v>
      </c>
      <c r="W36" s="524">
        <f t="shared" si="12"/>
        <v>100</v>
      </c>
      <c r="X36" s="525"/>
      <c r="Y36" s="4413"/>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13" t="s">
        <v>1695</v>
      </c>
      <c r="Q37" s="1001" t="str">
        <f t="shared" si="14"/>
        <v>工程地质条件</v>
      </c>
      <c r="R37" s="527" t="s">
        <v>14</v>
      </c>
      <c r="S37" s="528">
        <f t="shared" si="10"/>
        <v>100</v>
      </c>
      <c r="T37" s="527" t="s">
        <v>14</v>
      </c>
      <c r="U37" s="528">
        <f t="shared" si="11"/>
        <v>100</v>
      </c>
      <c r="V37" s="527" t="s">
        <v>14</v>
      </c>
      <c r="W37" s="528">
        <f t="shared" si="12"/>
        <v>100</v>
      </c>
      <c r="X37" s="1004"/>
      <c r="Y37" s="4413"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13"/>
      <c r="Q38" s="1001">
        <f t="shared" si="14"/>
        <v>111</v>
      </c>
      <c r="R38" s="527" t="s">
        <v>14</v>
      </c>
      <c r="S38" s="528">
        <f t="shared" si="10"/>
        <v>100</v>
      </c>
      <c r="T38" s="527" t="s">
        <v>14</v>
      </c>
      <c r="U38" s="528">
        <f t="shared" si="11"/>
        <v>100</v>
      </c>
      <c r="V38" s="527" t="s">
        <v>14</v>
      </c>
      <c r="W38" s="528">
        <f t="shared" si="12"/>
        <v>100</v>
      </c>
      <c r="X38" s="1004"/>
      <c r="Y38" s="4413"/>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13"/>
      <c r="Q39" s="1001">
        <f t="shared" si="14"/>
        <v>111</v>
      </c>
      <c r="R39" s="527" t="s">
        <v>14</v>
      </c>
      <c r="S39" s="528">
        <f t="shared" si="10"/>
        <v>100</v>
      </c>
      <c r="T39" s="527" t="s">
        <v>14</v>
      </c>
      <c r="U39" s="528">
        <f t="shared" si="11"/>
        <v>100</v>
      </c>
      <c r="V39" s="527" t="s">
        <v>14</v>
      </c>
      <c r="W39" s="528">
        <f t="shared" si="12"/>
        <v>100</v>
      </c>
      <c r="X39" s="1004"/>
      <c r="Y39" s="4413"/>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13"/>
      <c r="Q40" s="1001">
        <f t="shared" si="14"/>
        <v>111</v>
      </c>
      <c r="R40" s="530" t="s">
        <v>14</v>
      </c>
      <c r="S40" s="531">
        <f t="shared" si="10"/>
        <v>100</v>
      </c>
      <c r="T40" s="530" t="s">
        <v>14</v>
      </c>
      <c r="U40" s="531">
        <f t="shared" si="11"/>
        <v>100</v>
      </c>
      <c r="V40" s="530" t="s">
        <v>14</v>
      </c>
      <c r="W40" s="531">
        <f t="shared" si="12"/>
        <v>100</v>
      </c>
      <c r="X40" s="532"/>
      <c r="Y40" s="4413"/>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02" t="str">
        <f>A41</f>
        <v>成交单价</v>
      </c>
      <c r="Q41" s="4402"/>
      <c r="R41" s="4436">
        <f>E41</f>
        <v>0</v>
      </c>
      <c r="S41" s="4436"/>
      <c r="T41" s="4436">
        <f>G41</f>
        <v>0</v>
      </c>
      <c r="U41" s="4436"/>
      <c r="V41" s="4436">
        <f>I41</f>
        <v>0</v>
      </c>
      <c r="W41" s="4436"/>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02" t="str">
        <f>A42</f>
        <v>比较价值（元/平方米）</v>
      </c>
      <c r="Q42" s="4402"/>
      <c r="R42" s="4463" t="e">
        <f>ROUND(PRODUCT(R41,AA7:AA40),0)</f>
        <v>#DIV/0!</v>
      </c>
      <c r="S42" s="4463"/>
      <c r="T42" s="4463" t="e">
        <f>ROUND(PRODUCT(T41,AB7:AB40),0)</f>
        <v>#DIV/0!</v>
      </c>
      <c r="U42" s="4463"/>
      <c r="V42" s="4463" t="e">
        <f>ROUND(PRODUCT(V41,AC7:AC40),0)</f>
        <v>#DIV/0!</v>
      </c>
      <c r="W42" s="4463"/>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2" t="str">
        <f>A43</f>
        <v>估价对象XX用房的比较价值（楼面单价，元/平方米）</v>
      </c>
      <c r="Q43" s="4453"/>
      <c r="R43" s="4464" t="e">
        <f>ROUND(IF(D42="简单平均",AVERAGE(R42:W42),R42*F42+T42*H42+V42*J42),0)</f>
        <v>#DIV/0!</v>
      </c>
      <c r="S43" s="4464"/>
      <c r="T43" s="4464"/>
      <c r="U43" s="4464"/>
      <c r="V43" s="4464"/>
      <c r="W43" s="4464"/>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9" t="s">
        <v>1886</v>
      </c>
      <c r="H50" s="4465"/>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01"/>
      <c r="H51" s="4402"/>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3" t="s">
        <v>2083</v>
      </c>
      <c r="D1" s="4474"/>
      <c r="E1" s="4474"/>
      <c r="F1" s="4474"/>
      <c r="G1" s="4474"/>
      <c r="H1" s="4474"/>
      <c r="I1" s="4474"/>
      <c r="J1" s="4474"/>
      <c r="K1" s="4474"/>
      <c r="L1" s="4474"/>
      <c r="M1" s="4474"/>
      <c r="N1" s="4474"/>
      <c r="O1" s="4474"/>
      <c r="P1" s="4474"/>
      <c r="Q1" s="4474"/>
      <c r="R1" s="4474"/>
      <c r="S1" s="4475"/>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70" t="s">
        <v>27</v>
      </c>
      <c r="D22" s="4471"/>
      <c r="E22" s="4471"/>
      <c r="F22" s="4471"/>
      <c r="G22" s="4471"/>
      <c r="H22" s="4471"/>
      <c r="I22" s="4471"/>
      <c r="J22" s="4471"/>
      <c r="K22" s="4471"/>
      <c r="L22" s="4471"/>
      <c r="M22" s="4471"/>
      <c r="N22" s="4471"/>
      <c r="O22" s="4471"/>
      <c r="P22" s="4471"/>
      <c r="Q22" s="4472"/>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3"/>
      <c r="B4" s="4484"/>
      <c r="C4" s="4484"/>
      <c r="D4" s="4485"/>
      <c r="E4" s="4485"/>
      <c r="F4" s="4485"/>
      <c r="G4" s="4485"/>
      <c r="H4" s="4485"/>
      <c r="I4" s="4485"/>
      <c r="J4" s="4486"/>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80" t="s">
        <v>1959</v>
      </c>
      <c r="X8" s="4481"/>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2"/>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2"/>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7" t="s">
        <v>3255</v>
      </c>
      <c r="B20" s="54" t="s">
        <v>1993</v>
      </c>
      <c r="C20" s="2379" t="e">
        <f>ROUND(IF(F21="与级别开发程度一致",0,(G21-E21)/C21),0)</f>
        <v>#DIV/0!</v>
      </c>
      <c r="D20" s="2395" t="s">
        <v>1997</v>
      </c>
      <c r="E20" s="2396"/>
      <c r="F20" s="4493" t="s">
        <v>1994</v>
      </c>
      <c r="G20" s="4494"/>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8"/>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91"/>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2"/>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2"/>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9" t="s">
        <v>3295</v>
      </c>
      <c r="B103" s="4489"/>
      <c r="C103" s="4489"/>
      <c r="D103" s="4489"/>
      <c r="E103" s="4489"/>
      <c r="F103" s="4489"/>
      <c r="G103" s="4489"/>
      <c r="H103" s="4489"/>
      <c r="I103" s="4489"/>
      <c r="J103" s="4489"/>
      <c r="K103" s="2444"/>
      <c r="L103" s="2444"/>
      <c r="M103" s="2444"/>
      <c r="N103" s="2444"/>
    </row>
    <row r="104" spans="1:14">
      <c r="A104" s="4490" t="s">
        <v>3296</v>
      </c>
      <c r="B104" s="4490" t="s">
        <v>3297</v>
      </c>
      <c r="C104" s="2445" t="s">
        <v>3298</v>
      </c>
      <c r="D104" s="2446"/>
      <c r="E104" s="2446"/>
      <c r="F104" s="2446"/>
      <c r="G104" s="2446"/>
      <c r="H104" s="2446"/>
      <c r="I104" s="2446"/>
      <c r="J104" s="2447"/>
      <c r="K104" s="2448"/>
      <c r="L104" s="2448"/>
      <c r="M104" s="2448"/>
      <c r="N104" s="2448"/>
    </row>
    <row r="105" spans="1:14">
      <c r="A105" s="4490"/>
      <c r="B105" s="4490"/>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6"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7"/>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7"/>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7"/>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7"/>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7"/>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8"/>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9" t="s">
        <v>3312</v>
      </c>
      <c r="B113" s="4479"/>
      <c r="C113" s="4479"/>
      <c r="D113" s="4479"/>
      <c r="E113" s="4479"/>
      <c r="F113" s="4479"/>
      <c r="G113" s="4479"/>
      <c r="H113" s="4479"/>
      <c r="I113" s="4479"/>
      <c r="J113" s="4479"/>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4" t="s">
        <v>2604</v>
      </c>
      <c r="B20" s="4499" t="s">
        <v>2625</v>
      </c>
      <c r="C20" s="2157" t="s">
        <v>2436</v>
      </c>
      <c r="D20" s="2158"/>
      <c r="E20" s="2159">
        <v>1</v>
      </c>
      <c r="F20" s="2160" t="s">
        <v>2437</v>
      </c>
      <c r="G20" s="2160"/>
    </row>
    <row r="21" spans="1:13" ht="19.5" customHeight="1">
      <c r="A21" s="4505"/>
      <c r="B21" s="4498"/>
      <c r="C21" s="2161" t="s">
        <v>2438</v>
      </c>
      <c r="D21" s="2162"/>
      <c r="E21" s="2163">
        <v>1</v>
      </c>
      <c r="F21" s="2160" t="s">
        <v>2439</v>
      </c>
      <c r="G21" s="2160"/>
    </row>
    <row r="22" spans="1:13" ht="19.5" customHeight="1">
      <c r="A22" s="4505"/>
      <c r="B22" s="4498"/>
      <c r="C22" s="2161" t="s">
        <v>2440</v>
      </c>
      <c r="D22" s="2162"/>
      <c r="E22" s="2163">
        <v>0.9</v>
      </c>
      <c r="F22" s="2160" t="s">
        <v>2441</v>
      </c>
      <c r="G22" s="2160"/>
    </row>
    <row r="23" spans="1:13" ht="19.5" customHeight="1">
      <c r="A23" s="4505"/>
      <c r="B23" s="4498"/>
      <c r="C23" s="2161" t="s">
        <v>2442</v>
      </c>
      <c r="D23" s="2162"/>
      <c r="E23" s="2163">
        <v>0.9</v>
      </c>
      <c r="F23" s="2160" t="s">
        <v>2443</v>
      </c>
      <c r="G23" s="2160"/>
    </row>
    <row r="24" spans="1:13" ht="19.5" customHeight="1">
      <c r="A24" s="4505"/>
      <c r="B24" s="4498"/>
      <c r="C24" s="2161" t="s">
        <v>2444</v>
      </c>
      <c r="D24" s="2162"/>
      <c r="E24" s="2163">
        <v>0.8</v>
      </c>
      <c r="F24" s="2160" t="s">
        <v>2445</v>
      </c>
      <c r="G24" s="2160"/>
    </row>
    <row r="25" spans="1:13" ht="19.5" customHeight="1" thickBot="1">
      <c r="A25" s="4506"/>
      <c r="B25" s="4500"/>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501" t="s">
        <v>2628</v>
      </c>
      <c r="B27" s="4499" t="s">
        <v>2609</v>
      </c>
      <c r="C27" s="2157" t="s">
        <v>2449</v>
      </c>
      <c r="D27" s="2158"/>
      <c r="E27" s="2159">
        <v>1</v>
      </c>
      <c r="F27" s="2160" t="s">
        <v>2450</v>
      </c>
      <c r="G27" s="2160"/>
    </row>
    <row r="28" spans="1:13" ht="19.5" customHeight="1">
      <c r="A28" s="4502"/>
      <c r="B28" s="4498"/>
      <c r="C28" s="2161" t="s">
        <v>2451</v>
      </c>
      <c r="D28" s="2162"/>
      <c r="E28" s="2163">
        <v>1</v>
      </c>
      <c r="F28" s="2160" t="s">
        <v>2452</v>
      </c>
      <c r="G28" s="2160"/>
    </row>
    <row r="29" spans="1:13" ht="19.5" customHeight="1">
      <c r="A29" s="4502"/>
      <c r="B29" s="4498"/>
      <c r="C29" s="2161" t="s">
        <v>2453</v>
      </c>
      <c r="D29" s="2162"/>
      <c r="E29" s="2163">
        <v>0.8</v>
      </c>
      <c r="F29" s="2160" t="s">
        <v>2454</v>
      </c>
      <c r="G29" s="2160"/>
    </row>
    <row r="30" spans="1:13" ht="19.5" customHeight="1">
      <c r="A30" s="4502"/>
      <c r="B30" s="4498"/>
      <c r="C30" s="2161" t="s">
        <v>2455</v>
      </c>
      <c r="D30" s="2162"/>
      <c r="E30" s="2163">
        <v>0.8</v>
      </c>
      <c r="F30" s="2160" t="s">
        <v>2456</v>
      </c>
      <c r="G30" s="2160"/>
    </row>
    <row r="31" spans="1:13" ht="19.5" customHeight="1">
      <c r="A31" s="4502"/>
      <c r="B31" s="4498"/>
      <c r="C31" s="2161" t="s">
        <v>2457</v>
      </c>
      <c r="D31" s="2162"/>
      <c r="E31" s="2163">
        <v>0.8</v>
      </c>
      <c r="F31" s="2160" t="s">
        <v>2458</v>
      </c>
      <c r="G31" s="2160"/>
    </row>
    <row r="32" spans="1:13" ht="19.5" customHeight="1">
      <c r="A32" s="4502"/>
      <c r="B32" s="4498"/>
      <c r="C32" s="2161" t="s">
        <v>2459</v>
      </c>
      <c r="D32" s="2162"/>
      <c r="E32" s="2163">
        <v>0.7</v>
      </c>
      <c r="F32" s="2160" t="s">
        <v>2460</v>
      </c>
      <c r="G32" s="2160"/>
    </row>
    <row r="33" spans="1:7" ht="19.5" customHeight="1">
      <c r="A33" s="4502"/>
      <c r="B33" s="4498"/>
      <c r="C33" s="2161" t="s">
        <v>2461</v>
      </c>
      <c r="D33" s="2162"/>
      <c r="E33" s="2163">
        <v>0.8</v>
      </c>
      <c r="F33" s="2160" t="s">
        <v>2462</v>
      </c>
      <c r="G33" s="2160"/>
    </row>
    <row r="34" spans="1:7" ht="19.5" customHeight="1">
      <c r="A34" s="4502"/>
      <c r="B34" s="4498"/>
      <c r="C34" s="2161" t="s">
        <v>2463</v>
      </c>
      <c r="D34" s="2162"/>
      <c r="E34" s="2163">
        <v>0.6</v>
      </c>
      <c r="F34" s="2160" t="s">
        <v>2464</v>
      </c>
      <c r="G34" s="2160"/>
    </row>
    <row r="35" spans="1:7" ht="19.5" customHeight="1">
      <c r="A35" s="4502"/>
      <c r="B35" s="4498"/>
      <c r="C35" s="2161" t="s">
        <v>2465</v>
      </c>
      <c r="D35" s="2162"/>
      <c r="E35" s="2163">
        <v>0.2</v>
      </c>
      <c r="F35" s="2160" t="s">
        <v>2466</v>
      </c>
      <c r="G35" s="2160"/>
    </row>
    <row r="36" spans="1:7" ht="19.5" customHeight="1">
      <c r="A36" s="4502"/>
      <c r="B36" s="4498"/>
      <c r="C36" s="2161" t="s">
        <v>2467</v>
      </c>
      <c r="D36" s="2162"/>
      <c r="E36" s="2163">
        <v>0.2</v>
      </c>
      <c r="F36" s="2160" t="s">
        <v>2468</v>
      </c>
      <c r="G36" s="2160"/>
    </row>
    <row r="37" spans="1:7" ht="19.5" customHeight="1">
      <c r="A37" s="4502"/>
      <c r="B37" s="4496" t="s">
        <v>2629</v>
      </c>
      <c r="C37" s="2161" t="s">
        <v>2469</v>
      </c>
      <c r="D37" s="2162"/>
      <c r="E37" s="2163">
        <v>0.6</v>
      </c>
      <c r="F37" s="2160" t="s">
        <v>2470</v>
      </c>
      <c r="G37" s="2160"/>
    </row>
    <row r="38" spans="1:7" ht="19.5" customHeight="1">
      <c r="A38" s="4502"/>
      <c r="B38" s="4498"/>
      <c r="C38" s="2161" t="s">
        <v>2471</v>
      </c>
      <c r="D38" s="2162"/>
      <c r="E38" s="2163">
        <v>0.6</v>
      </c>
      <c r="F38" s="2160" t="s">
        <v>2472</v>
      </c>
      <c r="G38" s="2160"/>
    </row>
    <row r="39" spans="1:7" ht="19.5" customHeight="1" thickBot="1">
      <c r="A39" s="4503"/>
      <c r="B39" s="4500"/>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4" t="s">
        <v>2607</v>
      </c>
      <c r="B41" s="4499" t="s">
        <v>2631</v>
      </c>
      <c r="C41" s="2157" t="s">
        <v>2476</v>
      </c>
      <c r="D41" s="2158"/>
      <c r="E41" s="2159">
        <v>1</v>
      </c>
      <c r="F41" s="2160" t="s">
        <v>2477</v>
      </c>
      <c r="G41" s="2160"/>
    </row>
    <row r="42" spans="1:7" ht="19.5" customHeight="1">
      <c r="A42" s="4505"/>
      <c r="B42" s="4498"/>
      <c r="C42" s="2161" t="s">
        <v>2478</v>
      </c>
      <c r="D42" s="2162"/>
      <c r="E42" s="2163">
        <v>1</v>
      </c>
      <c r="F42" s="2160" t="s">
        <v>2479</v>
      </c>
      <c r="G42" s="2160"/>
    </row>
    <row r="43" spans="1:7" ht="19.5" customHeight="1">
      <c r="A43" s="4505"/>
      <c r="B43" s="4497"/>
      <c r="C43" s="2161" t="s">
        <v>2480</v>
      </c>
      <c r="D43" s="2162"/>
      <c r="E43" s="2163">
        <v>1.5</v>
      </c>
      <c r="F43" s="2160" t="s">
        <v>2481</v>
      </c>
      <c r="G43" s="2160"/>
    </row>
    <row r="44" spans="1:7" ht="19.5" customHeight="1">
      <c r="A44" s="4505"/>
      <c r="B44" s="2172" t="s">
        <v>2632</v>
      </c>
      <c r="C44" s="2161" t="s">
        <v>2633</v>
      </c>
      <c r="D44" s="2162"/>
      <c r="E44" s="2163">
        <v>2</v>
      </c>
      <c r="F44" s="2160" t="s">
        <v>2482</v>
      </c>
      <c r="G44" s="2160"/>
    </row>
    <row r="45" spans="1:7" ht="19.5" customHeight="1">
      <c r="A45" s="4505"/>
      <c r="B45" s="4496" t="s">
        <v>2634</v>
      </c>
      <c r="C45" s="2161" t="s">
        <v>2483</v>
      </c>
      <c r="D45" s="2162"/>
      <c r="E45" s="2163">
        <v>1</v>
      </c>
      <c r="F45" s="2160" t="s">
        <v>2484</v>
      </c>
      <c r="G45" s="2160"/>
    </row>
    <row r="46" spans="1:7" ht="19.5" customHeight="1">
      <c r="A46" s="4505"/>
      <c r="B46" s="4498"/>
      <c r="C46" s="2161" t="s">
        <v>2485</v>
      </c>
      <c r="D46" s="2162"/>
      <c r="E46" s="2163">
        <v>1</v>
      </c>
      <c r="F46" s="2160" t="s">
        <v>2486</v>
      </c>
      <c r="G46" s="2160"/>
    </row>
    <row r="47" spans="1:7" ht="19.5" customHeight="1">
      <c r="A47" s="4505"/>
      <c r="B47" s="4498"/>
      <c r="C47" s="2161" t="s">
        <v>2487</v>
      </c>
      <c r="D47" s="2162"/>
      <c r="E47" s="2163">
        <v>1</v>
      </c>
      <c r="F47" s="2160" t="s">
        <v>2488</v>
      </c>
      <c r="G47" s="2160"/>
    </row>
    <row r="48" spans="1:7" ht="19.5" customHeight="1">
      <c r="A48" s="4505"/>
      <c r="B48" s="4498"/>
      <c r="C48" s="2161" t="s">
        <v>2489</v>
      </c>
      <c r="D48" s="2162"/>
      <c r="E48" s="2163">
        <v>1</v>
      </c>
      <c r="F48" s="2160" t="s">
        <v>2490</v>
      </c>
      <c r="G48" s="2160"/>
    </row>
    <row r="49" spans="1:7" ht="19.5" customHeight="1">
      <c r="A49" s="4505"/>
      <c r="B49" s="4498"/>
      <c r="C49" s="2161" t="s">
        <v>2491</v>
      </c>
      <c r="D49" s="2162"/>
      <c r="E49" s="2163">
        <v>1</v>
      </c>
      <c r="F49" s="2160" t="s">
        <v>2492</v>
      </c>
      <c r="G49" s="2160"/>
    </row>
    <row r="50" spans="1:7" ht="19.5" customHeight="1">
      <c r="A50" s="4505"/>
      <c r="B50" s="4498"/>
      <c r="C50" s="2161" t="s">
        <v>2493</v>
      </c>
      <c r="D50" s="2162"/>
      <c r="E50" s="2163">
        <v>1</v>
      </c>
      <c r="F50" s="2160" t="s">
        <v>2494</v>
      </c>
      <c r="G50" s="2160"/>
    </row>
    <row r="51" spans="1:7" ht="19.5" customHeight="1" thickBot="1">
      <c r="A51" s="4506"/>
      <c r="B51" s="4500"/>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6" t="s">
        <v>2648</v>
      </c>
      <c r="C73" s="2146" t="s">
        <v>2649</v>
      </c>
      <c r="D73" s="2146" t="s">
        <v>2650</v>
      </c>
      <c r="E73" s="2172">
        <v>0.2</v>
      </c>
      <c r="F73" s="2172">
        <v>25</v>
      </c>
    </row>
    <row r="74" spans="1:7" ht="24">
      <c r="A74" s="2172">
        <v>2</v>
      </c>
      <c r="B74" s="4498"/>
      <c r="C74" s="2146" t="s">
        <v>2651</v>
      </c>
      <c r="D74" s="2146" t="s">
        <v>2652</v>
      </c>
      <c r="E74" s="2172">
        <v>0.2</v>
      </c>
      <c r="F74" s="2172">
        <v>25</v>
      </c>
    </row>
    <row r="75" spans="1:7" ht="24">
      <c r="A75" s="2172">
        <v>3</v>
      </c>
      <c r="B75" s="4498"/>
      <c r="C75" s="2146" t="s">
        <v>2653</v>
      </c>
      <c r="D75" s="2146" t="s">
        <v>2654</v>
      </c>
      <c r="E75" s="2172">
        <v>0.2</v>
      </c>
      <c r="F75" s="2172">
        <v>25</v>
      </c>
    </row>
    <row r="76" spans="1:7" ht="13.5">
      <c r="A76" s="2172">
        <v>4</v>
      </c>
      <c r="B76" s="4498"/>
      <c r="C76" s="2146" t="s">
        <v>2655</v>
      </c>
      <c r="D76" s="2146" t="s">
        <v>2656</v>
      </c>
      <c r="E76" s="2172">
        <v>0.15</v>
      </c>
      <c r="F76" s="2172">
        <v>20</v>
      </c>
    </row>
    <row r="77" spans="1:7" ht="24">
      <c r="A77" s="2172">
        <v>5</v>
      </c>
      <c r="B77" s="4498"/>
      <c r="C77" s="2146" t="s">
        <v>2657</v>
      </c>
      <c r="D77" s="2146" t="s">
        <v>2658</v>
      </c>
      <c r="E77" s="2172">
        <v>0.15</v>
      </c>
      <c r="F77" s="2172">
        <v>20</v>
      </c>
    </row>
    <row r="78" spans="1:7" ht="24">
      <c r="A78" s="2172">
        <v>6</v>
      </c>
      <c r="B78" s="4498"/>
      <c r="C78" s="2146" t="s">
        <v>2659</v>
      </c>
      <c r="D78" s="2146" t="s">
        <v>2660</v>
      </c>
      <c r="E78" s="2172">
        <v>0.15</v>
      </c>
      <c r="F78" s="2172">
        <v>20</v>
      </c>
    </row>
    <row r="79" spans="1:7" ht="24">
      <c r="A79" s="2172">
        <v>7</v>
      </c>
      <c r="B79" s="4498"/>
      <c r="C79" s="2146" t="s">
        <v>2661</v>
      </c>
      <c r="D79" s="2146" t="s">
        <v>2662</v>
      </c>
      <c r="E79" s="2172">
        <v>0.15</v>
      </c>
      <c r="F79" s="2172">
        <v>20</v>
      </c>
    </row>
    <row r="80" spans="1:7" ht="24">
      <c r="A80" s="2172">
        <v>8</v>
      </c>
      <c r="B80" s="4498"/>
      <c r="C80" s="2146" t="s">
        <v>2663</v>
      </c>
      <c r="D80" s="2146" t="s">
        <v>2664</v>
      </c>
      <c r="E80" s="2172">
        <v>0.1</v>
      </c>
      <c r="F80" s="2172">
        <v>15</v>
      </c>
    </row>
    <row r="81" spans="1:6" ht="24">
      <c r="A81" s="2172">
        <v>9</v>
      </c>
      <c r="B81" s="4498"/>
      <c r="C81" s="2146" t="s">
        <v>2665</v>
      </c>
      <c r="D81" s="2146" t="s">
        <v>2666</v>
      </c>
      <c r="E81" s="2172">
        <v>0.1</v>
      </c>
      <c r="F81" s="2172">
        <v>15</v>
      </c>
    </row>
    <row r="82" spans="1:6" ht="24">
      <c r="A82" s="2172">
        <v>10</v>
      </c>
      <c r="B82" s="4498"/>
      <c r="C82" s="2146" t="s">
        <v>2667</v>
      </c>
      <c r="D82" s="2146" t="s">
        <v>2668</v>
      </c>
      <c r="E82" s="2172">
        <v>0.1</v>
      </c>
      <c r="F82" s="2172">
        <v>15</v>
      </c>
    </row>
    <row r="83" spans="1:6" ht="24">
      <c r="A83" s="2172">
        <v>11</v>
      </c>
      <c r="B83" s="4498"/>
      <c r="C83" s="2146" t="s">
        <v>2669</v>
      </c>
      <c r="D83" s="2146" t="s">
        <v>2670</v>
      </c>
      <c r="E83" s="2172">
        <v>0.1</v>
      </c>
      <c r="F83" s="2172">
        <v>15</v>
      </c>
    </row>
    <row r="84" spans="1:6" ht="24">
      <c r="A84" s="2172">
        <v>12</v>
      </c>
      <c r="B84" s="4498"/>
      <c r="C84" s="2146" t="s">
        <v>2671</v>
      </c>
      <c r="D84" s="2146" t="s">
        <v>2672</v>
      </c>
      <c r="E84" s="2172">
        <v>0.1</v>
      </c>
      <c r="F84" s="2172">
        <v>15</v>
      </c>
    </row>
    <row r="85" spans="1:6" ht="13.5">
      <c r="A85" s="2172">
        <v>13</v>
      </c>
      <c r="B85" s="4498"/>
      <c r="C85" s="2146" t="s">
        <v>2673</v>
      </c>
      <c r="D85" s="2146" t="s">
        <v>2674</v>
      </c>
      <c r="E85" s="2172">
        <v>0.1</v>
      </c>
      <c r="F85" s="2172">
        <v>15</v>
      </c>
    </row>
    <row r="86" spans="1:6" ht="13.5">
      <c r="A86" s="2172">
        <v>14</v>
      </c>
      <c r="B86" s="4498"/>
      <c r="C86" s="2146" t="s">
        <v>2675</v>
      </c>
      <c r="D86" s="2146" t="s">
        <v>2676</v>
      </c>
      <c r="E86" s="2172">
        <v>0.1</v>
      </c>
      <c r="F86" s="2172">
        <v>15</v>
      </c>
    </row>
    <row r="87" spans="1:6" ht="13.5">
      <c r="A87" s="2172">
        <v>15</v>
      </c>
      <c r="B87" s="4498"/>
      <c r="C87" s="2146" t="s">
        <v>2677</v>
      </c>
      <c r="D87" s="2146" t="s">
        <v>2678</v>
      </c>
      <c r="E87" s="2172">
        <v>0.1</v>
      </c>
      <c r="F87" s="2172">
        <v>15</v>
      </c>
    </row>
    <row r="88" spans="1:6" ht="24">
      <c r="A88" s="2172">
        <v>16</v>
      </c>
      <c r="B88" s="4498"/>
      <c r="C88" s="2146" t="s">
        <v>2679</v>
      </c>
      <c r="D88" s="2146" t="s">
        <v>2680</v>
      </c>
      <c r="E88" s="2172">
        <v>0.1</v>
      </c>
      <c r="F88" s="2172">
        <v>15</v>
      </c>
    </row>
    <row r="89" spans="1:6" ht="24">
      <c r="A89" s="2172">
        <v>17</v>
      </c>
      <c r="B89" s="4497"/>
      <c r="C89" s="2146" t="s">
        <v>2681</v>
      </c>
      <c r="D89" s="2146" t="s">
        <v>2682</v>
      </c>
      <c r="E89" s="2172">
        <v>0.1</v>
      </c>
      <c r="F89" s="2172">
        <v>15</v>
      </c>
    </row>
    <row r="90" spans="1:6" ht="13.5">
      <c r="A90" s="2172">
        <v>18</v>
      </c>
      <c r="B90" s="4496" t="s">
        <v>2683</v>
      </c>
      <c r="C90" s="2146" t="s">
        <v>2684</v>
      </c>
      <c r="D90" s="2146" t="s">
        <v>2685</v>
      </c>
      <c r="E90" s="2172">
        <v>0.2</v>
      </c>
      <c r="F90" s="2172">
        <v>25</v>
      </c>
    </row>
    <row r="91" spans="1:6" ht="24">
      <c r="A91" s="2172">
        <v>19</v>
      </c>
      <c r="B91" s="4498"/>
      <c r="C91" s="2146" t="s">
        <v>2686</v>
      </c>
      <c r="D91" s="2146" t="s">
        <v>2687</v>
      </c>
      <c r="E91" s="2172">
        <v>0.2</v>
      </c>
      <c r="F91" s="2172">
        <v>25</v>
      </c>
    </row>
    <row r="92" spans="1:6" ht="13.5">
      <c r="A92" s="2172">
        <v>20</v>
      </c>
      <c r="B92" s="4498"/>
      <c r="C92" s="2146" t="s">
        <v>2688</v>
      </c>
      <c r="D92" s="2146" t="s">
        <v>2689</v>
      </c>
      <c r="E92" s="2172">
        <v>0.15</v>
      </c>
      <c r="F92" s="2172">
        <v>20</v>
      </c>
    </row>
    <row r="93" spans="1:6" ht="13.5">
      <c r="A93" s="2172">
        <v>21</v>
      </c>
      <c r="B93" s="4498"/>
      <c r="C93" s="2146" t="s">
        <v>2690</v>
      </c>
      <c r="D93" s="2146" t="s">
        <v>2691</v>
      </c>
      <c r="E93" s="2172">
        <v>0.15</v>
      </c>
      <c r="F93" s="2172">
        <v>20</v>
      </c>
    </row>
    <row r="94" spans="1:6" ht="13.5">
      <c r="A94" s="2172">
        <v>22</v>
      </c>
      <c r="B94" s="4498"/>
      <c r="C94" s="2146" t="s">
        <v>2692</v>
      </c>
      <c r="D94" s="2146" t="s">
        <v>2693</v>
      </c>
      <c r="E94" s="2172">
        <v>0.15</v>
      </c>
      <c r="F94" s="2172">
        <v>20</v>
      </c>
    </row>
    <row r="95" spans="1:6" ht="36">
      <c r="A95" s="2172">
        <v>23</v>
      </c>
      <c r="B95" s="4498"/>
      <c r="C95" s="2146" t="s">
        <v>2694</v>
      </c>
      <c r="D95" s="2146" t="s">
        <v>2695</v>
      </c>
      <c r="E95" s="2172">
        <v>0.15</v>
      </c>
      <c r="F95" s="2172">
        <v>20</v>
      </c>
    </row>
    <row r="96" spans="1:6" ht="13.5">
      <c r="A96" s="2172">
        <v>24</v>
      </c>
      <c r="B96" s="4498"/>
      <c r="C96" s="2146" t="s">
        <v>2696</v>
      </c>
      <c r="D96" s="2146" t="s">
        <v>2697</v>
      </c>
      <c r="E96" s="2172">
        <v>0.1</v>
      </c>
      <c r="F96" s="2172">
        <v>15</v>
      </c>
    </row>
    <row r="97" spans="1:6" ht="13.5">
      <c r="A97" s="2172">
        <v>25</v>
      </c>
      <c r="B97" s="4498"/>
      <c r="C97" s="2146" t="s">
        <v>2698</v>
      </c>
      <c r="D97" s="2146" t="s">
        <v>2699</v>
      </c>
      <c r="E97" s="2172">
        <v>0.1</v>
      </c>
      <c r="F97" s="2172">
        <v>15</v>
      </c>
    </row>
    <row r="98" spans="1:6" ht="24">
      <c r="A98" s="2172">
        <v>26</v>
      </c>
      <c r="B98" s="4498"/>
      <c r="C98" s="2146" t="s">
        <v>2700</v>
      </c>
      <c r="D98" s="2146" t="s">
        <v>2701</v>
      </c>
      <c r="E98" s="2172">
        <v>0.1</v>
      </c>
      <c r="F98" s="2172">
        <v>15</v>
      </c>
    </row>
    <row r="99" spans="1:6" ht="24">
      <c r="A99" s="2172">
        <v>27</v>
      </c>
      <c r="B99" s="4498"/>
      <c r="C99" s="2146" t="s">
        <v>2702</v>
      </c>
      <c r="D99" s="2146" t="s">
        <v>2703</v>
      </c>
      <c r="E99" s="2172">
        <v>0.1</v>
      </c>
      <c r="F99" s="2172">
        <v>15</v>
      </c>
    </row>
    <row r="100" spans="1:6" ht="13.5">
      <c r="A100" s="2172">
        <v>28</v>
      </c>
      <c r="B100" s="4498"/>
      <c r="C100" s="2146" t="s">
        <v>2704</v>
      </c>
      <c r="D100" s="2146" t="s">
        <v>2705</v>
      </c>
      <c r="E100" s="2172">
        <v>0.1</v>
      </c>
      <c r="F100" s="2172">
        <v>15</v>
      </c>
    </row>
    <row r="101" spans="1:6" ht="13.5">
      <c r="A101" s="2172">
        <v>29</v>
      </c>
      <c r="B101" s="4498"/>
      <c r="C101" s="2146" t="s">
        <v>2706</v>
      </c>
      <c r="D101" s="2146" t="s">
        <v>2707</v>
      </c>
      <c r="E101" s="2172">
        <v>0.1</v>
      </c>
      <c r="F101" s="2172">
        <v>15</v>
      </c>
    </row>
    <row r="102" spans="1:6" ht="13.5">
      <c r="A102" s="2172">
        <v>30</v>
      </c>
      <c r="B102" s="4498"/>
      <c r="C102" s="2146" t="s">
        <v>2708</v>
      </c>
      <c r="D102" s="2146" t="s">
        <v>2709</v>
      </c>
      <c r="E102" s="2172">
        <v>0.1</v>
      </c>
      <c r="F102" s="2172">
        <v>15</v>
      </c>
    </row>
    <row r="103" spans="1:6" ht="24">
      <c r="A103" s="2172">
        <v>31</v>
      </c>
      <c r="B103" s="4498"/>
      <c r="C103" s="2146" t="s">
        <v>2710</v>
      </c>
      <c r="D103" s="2146" t="s">
        <v>2711</v>
      </c>
      <c r="E103" s="2172">
        <v>0.1</v>
      </c>
      <c r="F103" s="2172">
        <v>15</v>
      </c>
    </row>
    <row r="104" spans="1:6" ht="24">
      <c r="A104" s="2172">
        <v>32</v>
      </c>
      <c r="B104" s="4498"/>
      <c r="C104" s="2146" t="s">
        <v>2712</v>
      </c>
      <c r="D104" s="2146" t="s">
        <v>2713</v>
      </c>
      <c r="E104" s="2172">
        <v>0.1</v>
      </c>
      <c r="F104" s="2172">
        <v>15</v>
      </c>
    </row>
    <row r="105" spans="1:6" ht="24">
      <c r="A105" s="2172">
        <v>33</v>
      </c>
      <c r="B105" s="4498"/>
      <c r="C105" s="2146" t="s">
        <v>2714</v>
      </c>
      <c r="D105" s="2146" t="s">
        <v>2715</v>
      </c>
      <c r="E105" s="2172">
        <v>0.1</v>
      </c>
      <c r="F105" s="2172">
        <v>15</v>
      </c>
    </row>
    <row r="106" spans="1:6" ht="24">
      <c r="A106" s="2172">
        <v>34</v>
      </c>
      <c r="B106" s="4497"/>
      <c r="C106" s="2146" t="s">
        <v>2716</v>
      </c>
      <c r="D106" s="2146" t="s">
        <v>2717</v>
      </c>
      <c r="E106" s="2172">
        <v>0.1</v>
      </c>
      <c r="F106" s="2172">
        <v>15</v>
      </c>
    </row>
    <row r="107" spans="1:6" ht="24">
      <c r="A107" s="2172">
        <v>35</v>
      </c>
      <c r="B107" s="4496" t="s">
        <v>2718</v>
      </c>
      <c r="C107" s="2172" t="s">
        <v>2719</v>
      </c>
      <c r="D107" s="2146" t="s">
        <v>2720</v>
      </c>
      <c r="E107" s="2172">
        <v>0.15</v>
      </c>
      <c r="F107" s="2172">
        <v>20</v>
      </c>
    </row>
    <row r="108" spans="1:6" ht="13.5">
      <c r="A108" s="2172">
        <v>36</v>
      </c>
      <c r="B108" s="4498"/>
      <c r="C108" s="2172" t="s">
        <v>2721</v>
      </c>
      <c r="D108" s="2146" t="s">
        <v>2722</v>
      </c>
      <c r="E108" s="2172">
        <v>0.15</v>
      </c>
      <c r="F108" s="2172">
        <v>20</v>
      </c>
    </row>
    <row r="109" spans="1:6" ht="13.5">
      <c r="A109" s="2172">
        <v>37</v>
      </c>
      <c r="B109" s="4498"/>
      <c r="C109" s="2172" t="s">
        <v>2723</v>
      </c>
      <c r="D109" s="2146" t="s">
        <v>2724</v>
      </c>
      <c r="E109" s="2172">
        <v>0.15</v>
      </c>
      <c r="F109" s="2172">
        <v>20</v>
      </c>
    </row>
    <row r="110" spans="1:6" ht="13.5">
      <c r="A110" s="2172">
        <v>38</v>
      </c>
      <c r="B110" s="4498"/>
      <c r="C110" s="2172" t="s">
        <v>2725</v>
      </c>
      <c r="D110" s="2146" t="s">
        <v>2726</v>
      </c>
      <c r="E110" s="2172">
        <v>0.1</v>
      </c>
      <c r="F110" s="2172">
        <v>15</v>
      </c>
    </row>
    <row r="111" spans="1:6" ht="24">
      <c r="A111" s="2172">
        <v>39</v>
      </c>
      <c r="B111" s="4498"/>
      <c r="C111" s="2172" t="s">
        <v>2727</v>
      </c>
      <c r="D111" s="2146" t="s">
        <v>2728</v>
      </c>
      <c r="E111" s="2172">
        <v>0.1</v>
      </c>
      <c r="F111" s="2172">
        <v>15</v>
      </c>
    </row>
    <row r="112" spans="1:6" ht="24">
      <c r="A112" s="2172">
        <v>40</v>
      </c>
      <c r="B112" s="4497"/>
      <c r="C112" s="2172" t="s">
        <v>2729</v>
      </c>
      <c r="D112" s="2146" t="s">
        <v>2730</v>
      </c>
      <c r="E112" s="2172">
        <v>0.1</v>
      </c>
      <c r="F112" s="2172">
        <v>15</v>
      </c>
    </row>
    <row r="113" spans="1:6" ht="13.5">
      <c r="A113" s="2172">
        <v>41</v>
      </c>
      <c r="B113" s="4495" t="s">
        <v>2731</v>
      </c>
      <c r="C113" s="2172" t="s">
        <v>2732</v>
      </c>
      <c r="D113" s="2146" t="s">
        <v>2733</v>
      </c>
      <c r="E113" s="2172">
        <v>0.1</v>
      </c>
      <c r="F113" s="2172">
        <v>15</v>
      </c>
    </row>
    <row r="114" spans="1:6" ht="13.5">
      <c r="A114" s="2172">
        <v>42</v>
      </c>
      <c r="B114" s="4495"/>
      <c r="C114" s="2172" t="s">
        <v>2734</v>
      </c>
      <c r="D114" s="2146" t="s">
        <v>2735</v>
      </c>
      <c r="E114" s="2172">
        <v>0.1</v>
      </c>
      <c r="F114" s="2172">
        <v>15</v>
      </c>
    </row>
    <row r="115" spans="1:6" ht="24">
      <c r="A115" s="2172">
        <v>43</v>
      </c>
      <c r="B115" s="4495"/>
      <c r="C115" s="2172" t="s">
        <v>2736</v>
      </c>
      <c r="D115" s="2146" t="s">
        <v>2737</v>
      </c>
      <c r="E115" s="2172">
        <v>0.1</v>
      </c>
      <c r="F115" s="2172">
        <v>15</v>
      </c>
    </row>
    <row r="116" spans="1:6" ht="13.5">
      <c r="A116" s="2172">
        <v>44</v>
      </c>
      <c r="B116" s="4496" t="s">
        <v>2738</v>
      </c>
      <c r="C116" s="2172" t="s">
        <v>2739</v>
      </c>
      <c r="D116" s="2146" t="s">
        <v>2740</v>
      </c>
      <c r="E116" s="2172">
        <v>0.1</v>
      </c>
      <c r="F116" s="2172">
        <v>15</v>
      </c>
    </row>
    <row r="117" spans="1:6" ht="24">
      <c r="A117" s="2172">
        <v>45</v>
      </c>
      <c r="B117" s="4497"/>
      <c r="C117" s="2146" t="s">
        <v>2741</v>
      </c>
      <c r="D117" s="2146" t="s">
        <v>2742</v>
      </c>
      <c r="E117" s="2172">
        <v>0.1</v>
      </c>
      <c r="F117" s="2172">
        <v>15</v>
      </c>
    </row>
    <row r="118" spans="1:6" ht="24">
      <c r="A118" s="2172">
        <v>46</v>
      </c>
      <c r="B118" s="4496" t="s">
        <v>2743</v>
      </c>
      <c r="C118" s="2172" t="s">
        <v>2744</v>
      </c>
      <c r="D118" s="2146" t="s">
        <v>2745</v>
      </c>
      <c r="E118" s="2172">
        <v>0.1</v>
      </c>
      <c r="F118" s="2172">
        <v>15</v>
      </c>
    </row>
    <row r="119" spans="1:6" ht="24">
      <c r="A119" s="2172">
        <v>47</v>
      </c>
      <c r="B119" s="4497"/>
      <c r="C119" s="2172" t="s">
        <v>2746</v>
      </c>
      <c r="D119" s="2146" t="s">
        <v>2747</v>
      </c>
      <c r="E119" s="2172">
        <v>0.1</v>
      </c>
      <c r="F119" s="2172">
        <v>15</v>
      </c>
    </row>
    <row r="120" spans="1:6" ht="13.5">
      <c r="A120" s="2172">
        <v>48</v>
      </c>
      <c r="B120" s="4496" t="s">
        <v>2748</v>
      </c>
      <c r="C120" s="2172" t="s">
        <v>2749</v>
      </c>
      <c r="D120" s="2146" t="s">
        <v>2750</v>
      </c>
      <c r="E120" s="2172">
        <v>0.1</v>
      </c>
      <c r="F120" s="2172">
        <v>15</v>
      </c>
    </row>
    <row r="121" spans="1:6" ht="13.5">
      <c r="A121" s="2172">
        <v>49</v>
      </c>
      <c r="B121" s="4497"/>
      <c r="C121" s="2172" t="s">
        <v>2751</v>
      </c>
      <c r="D121" s="2146" t="s">
        <v>2752</v>
      </c>
      <c r="E121" s="2172">
        <v>0.1</v>
      </c>
      <c r="F121" s="2172">
        <v>15</v>
      </c>
    </row>
    <row r="122" spans="1:6" ht="24">
      <c r="A122" s="2172">
        <v>50</v>
      </c>
      <c r="B122" s="4495" t="s">
        <v>2753</v>
      </c>
      <c r="C122" s="2172" t="s">
        <v>2754</v>
      </c>
      <c r="D122" s="2146" t="s">
        <v>2755</v>
      </c>
      <c r="E122" s="2172">
        <v>0.1</v>
      </c>
      <c r="F122" s="2172">
        <v>15</v>
      </c>
    </row>
    <row r="123" spans="1:6" ht="24">
      <c r="A123" s="2172">
        <v>51</v>
      </c>
      <c r="B123" s="4495"/>
      <c r="C123" s="2172" t="s">
        <v>2756</v>
      </c>
      <c r="D123" s="2146" t="s">
        <v>2757</v>
      </c>
      <c r="E123" s="2172">
        <v>0.1</v>
      </c>
      <c r="F123" s="2172">
        <v>15</v>
      </c>
    </row>
    <row r="124" spans="1:6" ht="24">
      <c r="A124" s="2172">
        <v>52</v>
      </c>
      <c r="B124" s="4495" t="s">
        <v>2758</v>
      </c>
      <c r="C124" s="2172" t="s">
        <v>2759</v>
      </c>
      <c r="D124" s="2146" t="s">
        <v>2760</v>
      </c>
      <c r="E124" s="2172">
        <v>0.1</v>
      </c>
      <c r="F124" s="2172">
        <v>15</v>
      </c>
    </row>
    <row r="125" spans="1:6" ht="24">
      <c r="A125" s="2172">
        <v>53</v>
      </c>
      <c r="B125" s="4495"/>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5" t="s">
        <v>2766</v>
      </c>
      <c r="C127" s="2172" t="s">
        <v>2767</v>
      </c>
      <c r="D127" s="2146" t="s">
        <v>2768</v>
      </c>
      <c r="E127" s="2172">
        <v>0.1</v>
      </c>
      <c r="F127" s="2172">
        <v>15</v>
      </c>
    </row>
    <row r="128" spans="1:6" ht="13.5">
      <c r="A128" s="2172">
        <v>56</v>
      </c>
      <c r="B128" s="4495"/>
      <c r="C128" s="2172" t="s">
        <v>2769</v>
      </c>
      <c r="D128" s="2146" t="s">
        <v>2770</v>
      </c>
      <c r="E128" s="2172">
        <v>0.1</v>
      </c>
      <c r="F128" s="2172">
        <v>15</v>
      </c>
    </row>
    <row r="129" spans="1:6" ht="24">
      <c r="A129" s="2172">
        <v>57</v>
      </c>
      <c r="B129" s="4495"/>
      <c r="C129" s="2172" t="s">
        <v>2771</v>
      </c>
      <c r="D129" s="2146" t="s">
        <v>2772</v>
      </c>
      <c r="E129" s="2172">
        <v>0.1</v>
      </c>
      <c r="F129" s="2172">
        <v>15</v>
      </c>
    </row>
    <row r="130" spans="1:6" ht="24">
      <c r="A130" s="2172">
        <v>58</v>
      </c>
      <c r="B130" s="4495" t="s">
        <v>2773</v>
      </c>
      <c r="C130" s="2172" t="s">
        <v>2774</v>
      </c>
      <c r="D130" s="2146" t="s">
        <v>2775</v>
      </c>
      <c r="E130" s="2172">
        <v>0.1</v>
      </c>
      <c r="F130" s="2172">
        <v>15</v>
      </c>
    </row>
    <row r="131" spans="1:6" ht="13.5">
      <c r="A131" s="2172">
        <v>59</v>
      </c>
      <c r="B131" s="4495"/>
      <c r="C131" s="2172" t="s">
        <v>2776</v>
      </c>
      <c r="D131" s="2146" t="s">
        <v>2777</v>
      </c>
      <c r="E131" s="2172">
        <v>0.1</v>
      </c>
      <c r="F131" s="2172">
        <v>15</v>
      </c>
    </row>
    <row r="132" spans="1:6" ht="13.5">
      <c r="A132" s="2172">
        <v>60</v>
      </c>
      <c r="B132" s="4496" t="s">
        <v>2778</v>
      </c>
      <c r="C132" s="2172" t="s">
        <v>2779</v>
      </c>
      <c r="D132" s="2146" t="s">
        <v>2780</v>
      </c>
      <c r="E132" s="2172">
        <v>0.1</v>
      </c>
      <c r="F132" s="2172">
        <v>15</v>
      </c>
    </row>
    <row r="133" spans="1:6" ht="13.5">
      <c r="A133" s="2172">
        <v>61</v>
      </c>
      <c r="B133" s="4497"/>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5" t="s">
        <v>2786</v>
      </c>
      <c r="C135" s="2172" t="s">
        <v>2787</v>
      </c>
      <c r="D135" s="2146" t="s">
        <v>2788</v>
      </c>
      <c r="E135" s="2172">
        <v>0.1</v>
      </c>
      <c r="F135" s="2172">
        <v>15</v>
      </c>
    </row>
    <row r="136" spans="1:6" ht="13.5">
      <c r="A136" s="2172">
        <v>64</v>
      </c>
      <c r="B136" s="4495"/>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估价结果一览表（市场价值不需“结果表-1”）</v>
      </c>
      <c r="B3" s="4103"/>
      <c r="C3" s="4103"/>
      <c r="D3" s="4103"/>
      <c r="E3" s="4103"/>
    </row>
    <row r="4" spans="1:5" ht="19.5" thickBot="1">
      <c r="A4" s="1140"/>
      <c r="B4" s="4101" t="s">
        <v>917</v>
      </c>
      <c r="C4" s="4101"/>
      <c r="D4" s="4101"/>
      <c r="E4" s="1140"/>
    </row>
    <row r="5" spans="1:5" ht="16.5" thickTop="1">
      <c r="A5" s="1138"/>
      <c r="B5" s="4099" t="s">
        <v>909</v>
      </c>
      <c r="C5" s="1141" t="s">
        <v>910</v>
      </c>
      <c r="D5" s="655" t="e">
        <f ca="1">结果表!H101</f>
        <v>#REF!</v>
      </c>
      <c r="E5" s="1138"/>
    </row>
    <row r="6" spans="1:5" ht="15.75">
      <c r="A6" s="1138"/>
      <c r="B6" s="4099"/>
      <c r="C6" s="1141" t="s">
        <v>911</v>
      </c>
      <c r="D6" s="655" t="e">
        <f ca="1">NUMBERSTRING(INT(D5*10000),2)&amp;"元整"</f>
        <v>#REF!</v>
      </c>
      <c r="E6" s="1138"/>
    </row>
    <row r="7" spans="1:5" ht="15.75">
      <c r="A7" s="1138"/>
      <c r="B7" s="4104"/>
      <c r="C7" s="1142" t="s">
        <v>912</v>
      </c>
      <c r="D7" s="656" t="e">
        <f ca="1">结果表!H102</f>
        <v>#REF!</v>
      </c>
      <c r="E7" s="1138"/>
    </row>
    <row r="8" spans="1:5" ht="15.75">
      <c r="A8" s="1138"/>
      <c r="B8" s="4105" t="str">
        <f>结果表!E103</f>
        <v>2.估价师知悉的法定优先受偿款</v>
      </c>
      <c r="C8" s="1143" t="s">
        <v>913</v>
      </c>
      <c r="D8" s="656">
        <f>结果表!H103</f>
        <v>0</v>
      </c>
      <c r="E8" s="1138"/>
    </row>
    <row r="9" spans="1:5" ht="15.75">
      <c r="A9" s="1138"/>
      <c r="B9" s="4107"/>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8" t="str">
        <f>结果表!E107</f>
        <v>3.房地产抵押价值</v>
      </c>
      <c r="C13" s="1146" t="s">
        <v>910</v>
      </c>
      <c r="D13" s="658" t="e">
        <f ca="1">结果表!H107</f>
        <v>#REF!</v>
      </c>
      <c r="E13" s="1138"/>
    </row>
    <row r="14" spans="1:5" ht="15.75">
      <c r="A14" s="1138"/>
      <c r="B14" s="4099"/>
      <c r="C14" s="1141" t="s">
        <v>911</v>
      </c>
      <c r="D14" s="655" t="e">
        <f ca="1">NUMBERSTRING(INT(D13*10000),2)&amp;"元整"</f>
        <v>#REF!</v>
      </c>
      <c r="E14" s="1138"/>
    </row>
    <row r="15" spans="1:5" ht="15">
      <c r="A15" s="1138"/>
      <c r="B15" s="4104"/>
      <c r="C15" s="1142" t="s">
        <v>921</v>
      </c>
      <c r="D15" s="660" t="e">
        <f ca="1">结果表!H108</f>
        <v>#REF!</v>
      </c>
      <c r="E15" s="1138"/>
    </row>
    <row r="16" spans="1:5" ht="15">
      <c r="A16" s="1138"/>
      <c r="B16" s="4105" t="str">
        <f>结果表!E109</f>
        <v>——</v>
      </c>
      <c r="C16" s="1146" t="s">
        <v>922</v>
      </c>
      <c r="D16" s="1147" t="str">
        <f>结果表!H109</f>
        <v>——</v>
      </c>
      <c r="E16" s="1138"/>
    </row>
    <row r="17" spans="1:5" ht="15.75">
      <c r="A17" s="1138"/>
      <c r="B17" s="4106"/>
      <c r="C17" s="1141" t="s">
        <v>923</v>
      </c>
      <c r="D17" s="655" t="e">
        <f>NUMBERSTRING(INT(D16*10000),2)&amp;"元整"</f>
        <v>#VALUE!</v>
      </c>
      <c r="E17" s="1138"/>
    </row>
    <row r="18" spans="1:5" ht="15">
      <c r="A18" s="1138"/>
      <c r="B18" s="4107"/>
      <c r="C18" s="1142" t="s">
        <v>912</v>
      </c>
      <c r="D18" s="660" t="str">
        <f>结果表!H110</f>
        <v>——</v>
      </c>
      <c r="E18" s="1138"/>
    </row>
    <row r="19" spans="1:5" ht="15.75">
      <c r="A19" s="1138"/>
      <c r="B19" s="4098" t="str">
        <f>结果表!E111</f>
        <v>——</v>
      </c>
      <c r="C19" s="1146" t="s">
        <v>910</v>
      </c>
      <c r="D19" s="656" t="str">
        <f>结果表!H111</f>
        <v>——</v>
      </c>
      <c r="E19" s="1138"/>
    </row>
    <row r="20" spans="1:5" ht="15.75">
      <c r="A20" s="1138"/>
      <c r="B20" s="4099"/>
      <c r="C20" s="1141" t="s">
        <v>923</v>
      </c>
      <c r="D20" s="655" t="e">
        <f>NUMBERSTRING(INT(D19*10000),2)&amp;"元整"</f>
        <v>#VALUE!</v>
      </c>
      <c r="E20" s="1138"/>
    </row>
    <row r="21" spans="1:5" ht="15.75" thickBot="1">
      <c r="A21" s="1138"/>
      <c r="B21" s="4100"/>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7" t="s">
        <v>94</v>
      </c>
    </row>
    <row r="43" spans="1:7" ht="13.5" customHeight="1">
      <c r="A43" s="585" t="s">
        <v>347</v>
      </c>
      <c r="B43" s="79" t="s">
        <v>426</v>
      </c>
      <c r="C43" s="102">
        <f ca="1">ROUND(IF('数据-取费表'!B22&lt;=1,C39*F22*'数据-取费表'!B21/2,C39*(POWER((1+F22),'数据-取费表'!B21/2)-1)),0)</f>
        <v>0</v>
      </c>
      <c r="D43" s="102"/>
      <c r="E43" s="102"/>
      <c r="F43" s="103"/>
      <c r="G43" s="4508"/>
    </row>
    <row r="44" spans="1:7" ht="13.5" customHeight="1">
      <c r="A44" s="585" t="s">
        <v>348</v>
      </c>
      <c r="B44" s="79" t="s">
        <v>428</v>
      </c>
      <c r="C44" s="102">
        <f ca="1">ROUND(IF('数据-取费表'!B22&lt;=1,C40*F22*'数据-取费表'!B21/2,C40*(POWER((1+F22),'数据-取费表'!B21/2)-1)),4)</f>
        <v>2.9999999999999997E-4</v>
      </c>
      <c r="D44" s="102"/>
      <c r="E44" s="102"/>
      <c r="F44" s="103"/>
      <c r="G44" s="4509"/>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2" t="s">
        <v>2840</v>
      </c>
      <c r="B1" s="4512"/>
      <c r="C1" s="4512"/>
      <c r="D1" s="4512"/>
      <c r="E1" s="4512"/>
      <c r="F1" s="4512"/>
      <c r="G1" s="4513"/>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10"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11"/>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4" t="s">
        <v>3182</v>
      </c>
      <c r="B1" s="4514"/>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5" t="s">
        <v>3233</v>
      </c>
      <c r="B1" s="4515"/>
      <c r="C1" s="4515"/>
      <c r="D1" s="4515"/>
      <c r="E1" s="4515"/>
      <c r="F1" s="4516"/>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7" t="s">
        <v>456</v>
      </c>
      <c r="S1" s="4518"/>
      <c r="T1" s="4518"/>
      <c r="U1" s="4518"/>
      <c r="V1" s="4518"/>
      <c r="W1" s="4518"/>
      <c r="X1" s="2219"/>
      <c r="Y1" s="4517" t="s">
        <v>457</v>
      </c>
      <c r="Z1" s="4518"/>
      <c r="AA1" s="4518"/>
      <c r="AB1" s="4518"/>
      <c r="AC1" s="4518"/>
      <c r="AD1" s="4518"/>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7" t="s">
        <v>2827</v>
      </c>
      <c r="S21" s="4518"/>
      <c r="T21" s="4518"/>
      <c r="U21" s="4518"/>
      <c r="V21" s="4518"/>
      <c r="W21" s="4518"/>
      <c r="X21" s="2219"/>
      <c r="Y21" s="4517" t="s">
        <v>2828</v>
      </c>
      <c r="Z21" s="4518"/>
      <c r="AA21" s="4518"/>
      <c r="AB21" s="4518"/>
      <c r="AC21" s="4518"/>
      <c r="AD21" s="4518"/>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4" t="s">
        <v>452</v>
      </c>
      <c r="C1" s="4524"/>
      <c r="D1" s="4524"/>
      <c r="E1" s="4524"/>
      <c r="F1" s="4524"/>
      <c r="G1" s="4523" t="s">
        <v>453</v>
      </c>
      <c r="H1" s="4523"/>
      <c r="I1" s="4523"/>
      <c r="J1" s="4523"/>
      <c r="K1" s="4523"/>
      <c r="L1" s="4523"/>
      <c r="N1" s="4523" t="s">
        <v>454</v>
      </c>
      <c r="O1" s="4523"/>
      <c r="P1" s="4523"/>
      <c r="Q1" s="4523"/>
      <c r="S1" s="4523" t="s">
        <v>455</v>
      </c>
      <c r="T1" s="4523"/>
      <c r="U1" s="4523"/>
      <c r="V1" s="4523"/>
      <c r="X1" s="4522" t="s">
        <v>456</v>
      </c>
      <c r="Y1" s="4523"/>
      <c r="Z1" s="4523"/>
      <c r="AA1" s="4523"/>
      <c r="AB1" s="4523"/>
      <c r="AD1" s="4522" t="s">
        <v>457</v>
      </c>
      <c r="AE1" s="4523"/>
      <c r="AF1" s="4523"/>
      <c r="AG1" s="4523"/>
      <c r="AH1" s="4523"/>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20">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20"/>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20"/>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9"/>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5">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20"/>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20"/>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9"/>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5">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20"/>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20"/>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21"/>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9">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20"/>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20"/>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21"/>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9">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20"/>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20"/>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21"/>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6">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7"/>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7"/>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8"/>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9">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20"/>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20"/>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21"/>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9">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20">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20">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21">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9">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20">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20">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21">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9">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20">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20">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21">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9">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20">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20">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21">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9">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20">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20">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21">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9">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20">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20">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21">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9">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20">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20">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21">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9">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20">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20">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21">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9">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20">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20">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21">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9">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20">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20">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21">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5" t="str">
        <f>IF(项目基本情况!B9="房地产市场价值","估价结果一览表","结果表-2")</f>
        <v>估价结果一览表</v>
      </c>
      <c r="B1" s="4115"/>
      <c r="C1" s="4115"/>
      <c r="D1" s="4115"/>
      <c r="E1" s="4115"/>
      <c r="F1" s="4115"/>
      <c r="G1" s="4115"/>
      <c r="H1" s="4115"/>
      <c r="I1" s="4115"/>
    </row>
    <row r="2" spans="1:9" ht="30" customHeight="1" thickTop="1">
      <c r="A2" s="4116" t="s">
        <v>928</v>
      </c>
      <c r="B2" s="4116" t="s">
        <v>929</v>
      </c>
      <c r="C2" s="4116" t="s">
        <v>930</v>
      </c>
      <c r="D2" s="4116" t="str">
        <f>结果表!D116</f>
        <v>出让国有建设用地使用权价值</v>
      </c>
      <c r="E2" s="4116"/>
      <c r="F2" s="4116" t="str">
        <f>结果表!F116</f>
        <v>在建建筑物价值</v>
      </c>
      <c r="G2" s="4116"/>
      <c r="H2" s="4116" t="str">
        <f>IF(项目基本情况!B9="房地产市场价值","房地产市场价值","房地产价值")</f>
        <v>房地产市场价值</v>
      </c>
      <c r="I2" s="4116"/>
    </row>
    <row r="3" spans="1:9" ht="15">
      <c r="A3" s="4111"/>
      <c r="B3" s="4111"/>
      <c r="C3" s="4111"/>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11" t="s">
        <v>927</v>
      </c>
      <c r="B5" s="4111"/>
      <c r="C5" s="4111"/>
      <c r="D5" s="4111" t="e">
        <f ca="1">结果表!D119</f>
        <v>#REF!</v>
      </c>
      <c r="E5" s="4111"/>
      <c r="F5" s="4111" t="e">
        <f ca="1">结果表!F119</f>
        <v>#REF!</v>
      </c>
      <c r="G5" s="4111"/>
      <c r="H5" s="4111" t="e">
        <f ca="1">结果表!H119</f>
        <v>#REF!</v>
      </c>
      <c r="I5" s="4111"/>
    </row>
    <row r="6" spans="1:9" ht="15.75">
      <c r="A6" s="4110" t="str">
        <f>结果表!A120</f>
        <v/>
      </c>
      <c r="B6" s="4110"/>
      <c r="C6" s="4110"/>
      <c r="D6" s="4110">
        <f>结果表!D120</f>
        <v>0</v>
      </c>
      <c r="E6" s="4110"/>
      <c r="F6" s="4110"/>
      <c r="G6" s="4110"/>
      <c r="H6" s="4110"/>
      <c r="I6" s="4110"/>
    </row>
    <row r="7" spans="1:9" ht="15">
      <c r="A7" s="4111" t="s">
        <v>927</v>
      </c>
      <c r="B7" s="4111"/>
      <c r="C7" s="4111"/>
      <c r="D7" s="4112" t="str">
        <f>结果表!D121</f>
        <v>零元整</v>
      </c>
      <c r="E7" s="4113"/>
      <c r="F7" s="4113"/>
      <c r="G7" s="4113"/>
      <c r="H7" s="4113"/>
      <c r="I7" s="4114"/>
    </row>
    <row r="8" spans="1:9" ht="15.75">
      <c r="A8" s="4110" t="str">
        <f>结果表!A122</f>
        <v/>
      </c>
      <c r="B8" s="4110"/>
      <c r="C8" s="4110"/>
      <c r="D8" s="4110" t="e">
        <f ca="1">结果表!D122</f>
        <v>#REF!</v>
      </c>
      <c r="E8" s="4110"/>
      <c r="F8" s="4110"/>
      <c r="G8" s="4110"/>
      <c r="H8" s="4110"/>
      <c r="I8" s="4110"/>
    </row>
    <row r="9" spans="1:9" ht="15">
      <c r="A9" s="4111" t="s">
        <v>927</v>
      </c>
      <c r="B9" s="4111"/>
      <c r="C9" s="4111"/>
      <c r="D9" s="4111" t="e">
        <f ca="1">结果表!D123</f>
        <v>#REF!</v>
      </c>
      <c r="E9" s="4111"/>
      <c r="F9" s="4111"/>
      <c r="G9" s="4111"/>
      <c r="H9" s="4111"/>
      <c r="I9" s="4111"/>
    </row>
    <row r="10" spans="1:9" ht="15.75">
      <c r="A10" s="4110" t="str">
        <f>结果表!A124</f>
        <v/>
      </c>
      <c r="B10" s="4110"/>
      <c r="C10" s="4110"/>
      <c r="D10" s="4110" t="str">
        <f>结果表!D124</f>
        <v>——</v>
      </c>
      <c r="E10" s="4110"/>
      <c r="F10" s="4110"/>
      <c r="G10" s="4110"/>
      <c r="H10" s="4110"/>
      <c r="I10" s="4110"/>
    </row>
    <row r="11" spans="1:9" ht="15">
      <c r="A11" s="4111" t="s">
        <v>927</v>
      </c>
      <c r="B11" s="4111"/>
      <c r="C11" s="4111"/>
      <c r="D11" s="4111" t="e">
        <f>结果表!D125</f>
        <v>#VALUE!</v>
      </c>
      <c r="E11" s="4111"/>
      <c r="F11" s="4111"/>
      <c r="G11" s="4111"/>
      <c r="H11" s="4111"/>
      <c r="I11" s="4111"/>
    </row>
    <row r="12" spans="1:9" ht="15.75">
      <c r="A12" s="4110" t="str">
        <f>结果表!A126</f>
        <v/>
      </c>
      <c r="B12" s="4110"/>
      <c r="C12" s="4110"/>
      <c r="D12" s="4110" t="str">
        <f>结果表!D126</f>
        <v>——</v>
      </c>
      <c r="E12" s="4110"/>
      <c r="F12" s="4110"/>
      <c r="G12" s="4110"/>
      <c r="H12" s="4110"/>
      <c r="I12" s="4110"/>
    </row>
    <row r="13" spans="1:9" ht="15.75" thickBot="1">
      <c r="A13" s="4108" t="s">
        <v>927</v>
      </c>
      <c r="B13" s="4108"/>
      <c r="C13" s="4108"/>
      <c r="D13" s="4108" t="e">
        <f>结果表!D127</f>
        <v>#VALUE!</v>
      </c>
      <c r="E13" s="4108"/>
      <c r="F13" s="4108"/>
      <c r="G13" s="4108"/>
      <c r="H13" s="4108"/>
      <c r="I13" s="4108"/>
    </row>
    <row r="14" spans="1:9" ht="15" thickTop="1">
      <c r="A14" s="4109" t="s">
        <v>932</v>
      </c>
      <c r="B14" s="4109"/>
      <c r="C14" s="4109"/>
      <c r="D14" s="4109"/>
      <c r="E14" s="4109"/>
      <c r="F14" s="4109"/>
      <c r="G14" s="4109"/>
      <c r="H14" s="4109"/>
      <c r="I14" s="4109"/>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3" t="s">
        <v>949</v>
      </c>
      <c r="B1" s="4123"/>
      <c r="C1" s="4123"/>
      <c r="D1" s="4123"/>
    </row>
    <row r="2" spans="1:4" ht="18">
      <c r="A2" s="4124" t="s">
        <v>933</v>
      </c>
      <c r="B2" s="4124"/>
      <c r="C2" s="4124"/>
      <c r="D2" s="4124"/>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4" t="s">
        <v>939</v>
      </c>
      <c r="B6" s="4124"/>
      <c r="C6" s="4124"/>
      <c r="D6" s="4124"/>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5" t="s">
        <v>942</v>
      </c>
      <c r="B11" s="4117"/>
      <c r="C11" s="4117"/>
      <c r="D11" s="4117"/>
    </row>
    <row r="12" spans="1:4" ht="15.75">
      <c r="A12" s="4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2"/>
      <c r="C12" s="4122"/>
      <c r="D12" s="4122"/>
    </row>
    <row r="13" spans="1:4" ht="30" customHeight="1">
      <c r="A13" s="4117" t="str">
        <f>IF(项目基本情况!B8="抵押","3.抵押双方在办理抵押登记手续时，应使用本公司出具的正式《房地产评估报告》，特提醒报告使用者注意。","——")</f>
        <v>——</v>
      </c>
      <c r="B13" s="4122"/>
      <c r="C13" s="4122"/>
      <c r="D13" s="4122"/>
    </row>
    <row r="14" spans="1:4" ht="15.75" customHeight="1">
      <c r="A14" s="4117" t="str">
        <f>IF(项目基本情况!B8="抵押","4.本次评估估价师所知悉的法定优先受偿款情况说明如下：","——")</f>
        <v>——</v>
      </c>
      <c r="B14" s="4122"/>
      <c r="C14" s="4122"/>
      <c r="D14" s="4122"/>
    </row>
    <row r="15" spans="1:4" ht="42" customHeight="1">
      <c r="A15" s="4117" t="str">
        <f>IF(项目基本情况!B8="抵押","（1）"&amp;CONCATENATE(项目基本情况!L20,项目基本情况!L21,项目基本情况!L22),"——")</f>
        <v>——</v>
      </c>
      <c r="B15" s="4117"/>
      <c r="C15" s="4117"/>
      <c r="D15" s="4117"/>
    </row>
    <row r="16" spans="1:4" ht="30" customHeight="1">
      <c r="A16" s="4119" t="s">
        <v>943</v>
      </c>
      <c r="B16" s="4119"/>
      <c r="C16" s="4119"/>
      <c r="D16" s="4119"/>
    </row>
    <row r="17" spans="1:4" ht="144" customHeight="1">
      <c r="A17" s="4119" t="s">
        <v>944</v>
      </c>
      <c r="B17" s="4119"/>
      <c r="C17" s="4119"/>
      <c r="D17" s="4119"/>
    </row>
    <row r="18" spans="1:4" ht="15.75" customHeight="1">
      <c r="A18" s="4117" t="str">
        <f>IF(项目基本情况!B8="抵押",结果表!K120,"——")</f>
        <v>——</v>
      </c>
      <c r="B18" s="4117"/>
      <c r="C18" s="4117"/>
      <c r="D18" s="4117"/>
    </row>
    <row r="19" spans="1:4" ht="46.5" customHeight="1">
      <c r="A19" s="4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7"/>
      <c r="C19" s="4117"/>
      <c r="D19" s="4117"/>
    </row>
    <row r="20" spans="1:4" ht="57.75" customHeight="1">
      <c r="A20" s="4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7"/>
      <c r="C20" s="4117"/>
      <c r="D20" s="4117"/>
    </row>
    <row r="21" spans="1:4" ht="57.75" customHeight="1">
      <c r="A21" s="4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0"/>
      <c r="C21" s="4120"/>
      <c r="D21" s="4120"/>
    </row>
    <row r="22" spans="1:4" ht="18.75" customHeight="1">
      <c r="A22" s="4121" t="s">
        <v>945</v>
      </c>
      <c r="B22" s="4121"/>
      <c r="C22" s="4121"/>
      <c r="D22" s="4121"/>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8">
        <v>42551</v>
      </c>
      <c r="D31" s="4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31" t="s">
        <v>956</v>
      </c>
      <c r="B15" s="4126" t="s">
        <v>109</v>
      </c>
      <c r="C15" s="4127"/>
    </row>
    <row r="16" spans="1:7" ht="13.5">
      <c r="A16" s="4132"/>
      <c r="B16" s="4126" t="s">
        <v>42</v>
      </c>
      <c r="C16" s="4127"/>
    </row>
    <row r="17" spans="1:3" ht="13.5">
      <c r="A17" s="4132"/>
      <c r="B17" s="4129" t="s">
        <v>957</v>
      </c>
      <c r="C17" s="1179" t="s">
        <v>956</v>
      </c>
    </row>
    <row r="18" spans="1:3" ht="13.5">
      <c r="A18" s="4132"/>
      <c r="B18" s="4129"/>
      <c r="C18" s="1179" t="s">
        <v>958</v>
      </c>
    </row>
    <row r="19" spans="1:3" ht="13.5">
      <c r="A19" s="4132"/>
      <c r="B19" s="4129"/>
      <c r="C19" s="1179" t="s">
        <v>959</v>
      </c>
    </row>
    <row r="20" spans="1:3" ht="13.5">
      <c r="A20" s="4133"/>
      <c r="B20" s="4128" t="s">
        <v>960</v>
      </c>
      <c r="C20" s="4127"/>
    </row>
    <row r="21" spans="1:3" ht="13.5">
      <c r="A21" s="1180" t="s">
        <v>961</v>
      </c>
      <c r="B21" s="1181"/>
      <c r="C21" s="1182"/>
    </row>
    <row r="22" spans="1:3" ht="13.5">
      <c r="A22" s="4130" t="s">
        <v>962</v>
      </c>
      <c r="B22" s="4128" t="s">
        <v>963</v>
      </c>
      <c r="C22" s="4127"/>
    </row>
    <row r="23" spans="1:3" ht="13.5">
      <c r="A23" s="4130"/>
      <c r="B23" s="4128" t="s">
        <v>964</v>
      </c>
      <c r="C23" s="4127"/>
    </row>
    <row r="24" spans="1:3" ht="13.5">
      <c r="A24" s="4130"/>
      <c r="B24" s="4128" t="s">
        <v>965</v>
      </c>
      <c r="C24" s="4127"/>
    </row>
    <row r="25" spans="1:3" ht="13.5">
      <c r="A25" s="4130"/>
      <c r="B25" s="4129" t="s">
        <v>966</v>
      </c>
      <c r="C25" s="1179" t="s">
        <v>967</v>
      </c>
    </row>
    <row r="26" spans="1:3" ht="13.5">
      <c r="A26" s="4130"/>
      <c r="B26" s="4129"/>
      <c r="C26" s="1179" t="s">
        <v>968</v>
      </c>
    </row>
    <row r="27" spans="1:3" ht="13.5">
      <c r="A27" s="4130"/>
      <c r="B27" s="4129"/>
      <c r="C27" s="1179" t="s">
        <v>969</v>
      </c>
    </row>
    <row r="28" spans="1:3" ht="13.5">
      <c r="A28" s="4130"/>
      <c r="B28" s="4129"/>
      <c r="C28" s="1179" t="s">
        <v>970</v>
      </c>
    </row>
    <row r="29" spans="1:3" ht="13.5">
      <c r="A29" s="4130"/>
      <c r="B29" s="4129"/>
      <c r="C29" s="1179" t="s">
        <v>971</v>
      </c>
    </row>
    <row r="30" spans="1:3" ht="13.5">
      <c r="A30" s="4130"/>
      <c r="B30" s="4129"/>
      <c r="C30" s="1179" t="s">
        <v>972</v>
      </c>
    </row>
    <row r="31" spans="1:3" ht="13.5">
      <c r="A31" s="4130"/>
      <c r="B31" s="4129"/>
      <c r="C31" s="1179" t="s">
        <v>973</v>
      </c>
    </row>
    <row r="32" spans="1:3" ht="13.5">
      <c r="A32" s="4130"/>
      <c r="B32" s="4129"/>
      <c r="C32" s="1179" t="s">
        <v>974</v>
      </c>
    </row>
    <row r="33" spans="1:3" ht="13.5">
      <c r="A33" s="4130"/>
      <c r="B33" s="4129"/>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4" t="s">
        <v>2157</v>
      </c>
      <c r="B17" s="4134"/>
      <c r="C17" s="4134"/>
      <c r="D17" s="4134"/>
      <c r="E17" s="4134"/>
      <c r="F17" s="4134"/>
      <c r="G17" s="4134"/>
      <c r="H17" s="4134"/>
    </row>
    <row r="18" spans="1:8" ht="24" customHeight="1">
      <c r="A18" s="4135" t="s">
        <v>2158</v>
      </c>
      <c r="B18" s="4135"/>
      <c r="C18" s="4135"/>
      <c r="D18" s="1673"/>
      <c r="E18" s="4136" t="s">
        <v>2159</v>
      </c>
      <c r="F18" s="4135"/>
      <c r="G18" s="4135"/>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2023-05-06T02:23:20Z</dcterms:modified>
</cp:coreProperties>
</file>