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80" yWindow="-72" windowWidth="14076" windowHeight="12288" tabRatio="900"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表"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地下车库" sheetId="82" r:id="rId23"/>
    <sheet name="收益法" sheetId="15" r:id="rId24"/>
    <sheet name="收益法地下厂房" sheetId="81"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收益法地下厂房!$A$1:$F$43,收益法地下厂房!$H$3:$M$29,收益法地下厂房!$A$46:$F$71,收益法地下厂房!$I$46:$N$65</definedName>
    <definedName name="_xlnm.Print_Area" localSheetId="22">收益法地下车库!$A$1:$F$43,收益法地下车库!$H$3:$M$29,收益法地下车库!$A$46:$F$71,收益法地下车库!$I$46:$N$65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M8" i="1" l="1"/>
  <c r="AM7" i="1"/>
  <c r="G20" i="6"/>
  <c r="G21" i="6"/>
  <c r="L7" i="1"/>
  <c r="L8" i="1"/>
  <c r="K21" i="78" l="1"/>
  <c r="K10" i="78"/>
  <c r="E109" i="40" l="1"/>
  <c r="F109" i="40"/>
  <c r="D109" i="40"/>
  <c r="O66" i="40"/>
  <c r="N66" i="40"/>
  <c r="E34" i="40"/>
  <c r="E6" i="40"/>
  <c r="E5" i="40"/>
  <c r="E7" i="40"/>
  <c r="E41" i="40"/>
  <c r="AD6" i="80"/>
  <c r="Y29" i="78"/>
  <c r="Y10" i="78"/>
  <c r="K24" i="78" l="1"/>
  <c r="AD2" i="80"/>
  <c r="N7" i="1"/>
  <c r="K18" i="78"/>
  <c r="A3" i="3" l="1"/>
  <c r="K13" i="78"/>
  <c r="K23" i="78"/>
  <c r="AC3" i="78" s="1"/>
  <c r="K12" i="78"/>
  <c r="K22" i="78"/>
  <c r="AB3" i="78" s="1"/>
  <c r="K11" i="78"/>
  <c r="AA3" i="78"/>
  <c r="K20" i="78"/>
  <c r="Z3" i="78" s="1"/>
  <c r="K9" i="78"/>
  <c r="Q68" i="78"/>
  <c r="K19" i="78" s="1"/>
  <c r="AY3" i="3" s="1"/>
  <c r="T68" i="78"/>
  <c r="R68" i="78"/>
  <c r="G71" i="78"/>
  <c r="E71" i="78"/>
  <c r="D71" i="78"/>
  <c r="K8" i="78" s="1"/>
  <c r="AD3" i="78" l="1"/>
  <c r="AE3" i="78"/>
  <c r="K25" i="78"/>
  <c r="I13" i="3"/>
  <c r="M13" i="3"/>
  <c r="AN13" i="3"/>
  <c r="K13" i="3"/>
  <c r="AL13" i="3"/>
  <c r="D3" i="4"/>
  <c r="E66" i="40" l="1"/>
  <c r="F66" i="40" s="1"/>
  <c r="G66" i="40" s="1"/>
  <c r="H66" i="40" s="1"/>
  <c r="I66" i="40" s="1"/>
  <c r="J66" i="40" s="1"/>
  <c r="K66" i="40" s="1"/>
  <c r="L66" i="40" s="1"/>
  <c r="M66" i="40" s="1"/>
  <c r="D66" i="40"/>
  <c r="I34" i="40"/>
  <c r="G34" i="40"/>
  <c r="C34" i="40"/>
  <c r="I6" i="40"/>
  <c r="G6" i="40"/>
  <c r="I41" i="40"/>
  <c r="G41" i="40"/>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Q72" i="81"/>
  <c r="Q59" i="81"/>
  <c r="K59" i="81"/>
  <c r="P74" i="81" s="1"/>
  <c r="F59" i="81"/>
  <c r="Q58" i="81"/>
  <c r="Q51" i="81"/>
  <c r="J50" i="81"/>
  <c r="M47" i="81"/>
  <c r="D46" i="81"/>
  <c r="F34" i="81"/>
  <c r="F62" i="81" s="1"/>
  <c r="F33" i="81"/>
  <c r="F61" i="81" s="1"/>
  <c r="F32" i="81"/>
  <c r="F60" i="81" s="1"/>
  <c r="F31" i="81"/>
  <c r="F28" i="81"/>
  <c r="F23" i="81"/>
  <c r="D23" i="81" s="1"/>
  <c r="F21" i="81"/>
  <c r="M20" i="81"/>
  <c r="F20" i="81"/>
  <c r="M19" i="81"/>
  <c r="M18" i="81"/>
  <c r="F18" i="81"/>
  <c r="M17" i="81"/>
  <c r="F17" i="81"/>
  <c r="F15" i="81"/>
  <c r="Y6" i="1"/>
  <c r="Y7" i="1" s="1"/>
  <c r="N14" i="1"/>
  <c r="N8" i="1"/>
  <c r="L14" i="1"/>
  <c r="I7" i="1"/>
  <c r="I7" i="40"/>
  <c r="G7" i="40"/>
  <c r="I5" i="40"/>
  <c r="G5" i="40"/>
  <c r="AD4" i="80"/>
  <c r="AD5" i="80"/>
  <c r="AD3" i="80"/>
  <c r="Y8" i="1" l="1"/>
  <c r="D24" i="82"/>
  <c r="P61" i="82"/>
  <c r="D22" i="82"/>
  <c r="D24" i="81"/>
  <c r="P61" i="81"/>
  <c r="D22" i="81"/>
  <c r="K14" i="78" l="1"/>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G12" i="1" s="1"/>
  <c r="D13" i="1"/>
  <c r="D7" i="1"/>
  <c r="D8" i="1"/>
  <c r="A7" i="1"/>
  <c r="A8" i="1"/>
  <c r="B8" i="1"/>
  <c r="E8" i="1" s="1"/>
  <c r="A9" i="1"/>
  <c r="A10" i="1"/>
  <c r="A11" i="1"/>
  <c r="A12" i="1"/>
  <c r="A13" i="1"/>
  <c r="A6" i="1"/>
  <c r="B11" i="1"/>
  <c r="E11" i="1"/>
  <c r="B7" i="1"/>
  <c r="E7"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C10" i="40" s="1"/>
  <c r="H15" i="4"/>
  <c r="G15" i="4"/>
  <c r="F8" i="1" s="1"/>
  <c r="E15" i="4"/>
  <c r="D15" i="4"/>
  <c r="F7" i="1"/>
  <c r="L21" i="4"/>
  <c r="F19" i="4"/>
  <c r="F2" i="52"/>
  <c r="B50" i="72"/>
  <c r="D2" i="52"/>
  <c r="B46" i="72"/>
  <c r="B8" i="53"/>
  <c r="B23" i="72"/>
  <c r="L4" i="9"/>
  <c r="A24" i="51" s="1"/>
  <c r="B18" i="72" s="1"/>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5" i="3" s="1"/>
  <c r="F28" i="6" s="1"/>
  <c r="F30"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S30"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c r="BL17" i="3"/>
  <c r="AZ17" i="3"/>
  <c r="J56" i="9"/>
  <c r="J57" i="9" s="1"/>
  <c r="J59" i="9" s="1"/>
  <c r="J61" i="9" s="1"/>
  <c r="U29" i="34"/>
  <c r="E5" i="6"/>
  <c r="D9" i="11" s="1"/>
  <c r="C9" i="11" s="1"/>
  <c r="E32" i="6"/>
  <c r="L19" i="6"/>
  <c r="K1" i="12"/>
  <c r="AQ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K11" i="1"/>
  <c r="M11" i="1" s="1"/>
  <c r="AP6" i="1"/>
  <c r="B9" i="1"/>
  <c r="E9" i="1"/>
  <c r="G1" i="15"/>
  <c r="G1" i="69"/>
  <c r="U32" i="40"/>
  <c r="AB31" i="40"/>
  <c r="AB28" i="40"/>
  <c r="W28" i="40"/>
  <c r="W19"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23" i="15"/>
  <c r="AO10" i="1"/>
  <c r="F26" i="15"/>
  <c r="M9" i="15"/>
  <c r="M8" i="15"/>
  <c r="F5" i="73"/>
  <c r="E13" i="76"/>
  <c r="M22" i="15"/>
  <c r="F8" i="15"/>
  <c r="J15" i="15"/>
  <c r="D2" i="35"/>
  <c r="F38" i="15"/>
  <c r="D7" i="73"/>
  <c r="F37" i="15"/>
  <c r="M26" i="15"/>
  <c r="E7" i="76"/>
  <c r="D2" i="33"/>
  <c r="D5" i="73"/>
  <c r="F13" i="15"/>
  <c r="F6" i="73"/>
  <c r="E8" i="76"/>
  <c r="F20" i="31"/>
  <c r="M27" i="15"/>
  <c r="D4" i="73"/>
  <c r="F40" i="15"/>
  <c r="B13" i="76"/>
  <c r="D6" i="73"/>
  <c r="AO13" i="1"/>
  <c r="B12" i="76"/>
  <c r="E10" i="76"/>
  <c r="B9" i="76"/>
  <c r="D2" i="21"/>
  <c r="B11" i="76"/>
  <c r="F7" i="73"/>
  <c r="D3" i="73"/>
  <c r="C76" i="15"/>
  <c r="F42" i="15"/>
  <c r="D2" i="34"/>
  <c r="M6" i="15"/>
  <c r="M28" i="15"/>
  <c r="E2" i="69"/>
  <c r="E11" i="76"/>
  <c r="D2" i="37"/>
  <c r="B7" i="76"/>
  <c r="B8" i="76"/>
  <c r="AO12" i="1"/>
  <c r="B10" i="76"/>
  <c r="AO9" i="1"/>
  <c r="L48" i="15"/>
  <c r="E9" i="76"/>
  <c r="M24" i="15"/>
  <c r="D2" i="36"/>
  <c r="F3" i="73"/>
  <c r="E12" i="76"/>
  <c r="F36" i="15"/>
  <c r="F6" i="15"/>
  <c r="F4" i="73"/>
  <c r="F9" i="15"/>
  <c r="AO11" i="1"/>
  <c r="E2" i="68"/>
  <c r="F16" i="15"/>
  <c r="L47" i="15"/>
  <c r="AR10" i="1" l="1"/>
  <c r="G1" i="81"/>
  <c r="G1" i="82"/>
  <c r="G1" i="67"/>
  <c r="G1" i="68"/>
  <c r="F3" i="35"/>
  <c r="E21" i="6"/>
  <c r="AR2" i="78"/>
  <c r="W34" i="40"/>
  <c r="BA13" i="3"/>
  <c r="BA5" i="3" s="1"/>
  <c r="E20" i="6"/>
  <c r="K7" i="1" s="1"/>
  <c r="M7" i="1" s="1"/>
  <c r="AQ2" i="78"/>
  <c r="E19" i="6"/>
  <c r="K6" i="1" s="1"/>
  <c r="AP2" i="78"/>
  <c r="AN2" i="78" s="1"/>
  <c r="U34" i="40"/>
  <c r="T13" i="1"/>
  <c r="T10" i="1"/>
  <c r="T12" i="1"/>
  <c r="AQ9" i="1"/>
  <c r="E15" i="6"/>
  <c r="E60" i="40" s="1"/>
  <c r="AR11" i="1"/>
  <c r="T11" i="1"/>
  <c r="L27" i="6"/>
  <c r="G13" i="3"/>
  <c r="G5" i="3" s="1"/>
  <c r="B3" i="3" s="1"/>
  <c r="E283" i="3" s="1"/>
  <c r="BL13" i="3"/>
  <c r="BL5" i="3" s="1"/>
  <c r="D19" i="12"/>
  <c r="C19" i="12" s="1"/>
  <c r="AZ13" i="3"/>
  <c r="AZ5" i="3" s="1"/>
  <c r="E14" i="6"/>
  <c r="E63" i="39" s="1"/>
  <c r="E11" i="6"/>
  <c r="E60" i="39" s="1"/>
  <c r="E10" i="6"/>
  <c r="E13" i="6"/>
  <c r="G8" i="1"/>
  <c r="C28" i="81"/>
  <c r="C28" i="82"/>
  <c r="J51" i="15"/>
  <c r="G7" i="1"/>
  <c r="J51" i="81"/>
  <c r="J51" i="82"/>
  <c r="C21" i="68"/>
  <c r="S34" i="40"/>
  <c r="F36" i="40"/>
  <c r="AA36" i="40" s="1"/>
  <c r="H113" i="40"/>
  <c r="I113" i="40" s="1"/>
  <c r="J113" i="40" s="1"/>
  <c r="K113" i="40" s="1"/>
  <c r="L113" i="40" s="1"/>
  <c r="M113" i="40" s="1"/>
  <c r="H36" i="40"/>
  <c r="AB36" i="40" s="1"/>
  <c r="J36" i="40"/>
  <c r="W36" i="40" s="1"/>
  <c r="S37" i="40"/>
  <c r="AC36" i="40"/>
  <c r="U36" i="40"/>
  <c r="U35" i="40"/>
  <c r="W35" i="40"/>
  <c r="AC32" i="40"/>
  <c r="W32" i="40"/>
  <c r="AA27" i="40"/>
  <c r="AB27" i="40"/>
  <c r="AB33" i="40"/>
  <c r="U25" i="40"/>
  <c r="W25" i="40"/>
  <c r="S25" i="40"/>
  <c r="F92" i="40"/>
  <c r="G92" i="40" s="1"/>
  <c r="J23" i="40"/>
  <c r="H23" i="40"/>
  <c r="AB23" i="40" s="1"/>
  <c r="F23" i="40"/>
  <c r="U23" i="40"/>
  <c r="F90" i="40"/>
  <c r="G90" i="40" s="1"/>
  <c r="J21" i="40"/>
  <c r="W21" i="40" s="1"/>
  <c r="H21" i="40"/>
  <c r="AB21" i="40" s="1"/>
  <c r="F21" i="40"/>
  <c r="U21" i="40"/>
  <c r="AC21" i="40"/>
  <c r="F86" i="40"/>
  <c r="G86" i="40" s="1"/>
  <c r="H17" i="40"/>
  <c r="J17" i="40"/>
  <c r="W17" i="40" s="1"/>
  <c r="F17" i="40"/>
  <c r="AA17" i="40" s="1"/>
  <c r="AC17" i="40"/>
  <c r="S17" i="40"/>
  <c r="F15" i="40"/>
  <c r="S15" i="40" s="1"/>
  <c r="G84" i="40"/>
  <c r="J15" i="40"/>
  <c r="H15" i="40"/>
  <c r="AA15" i="40"/>
  <c r="P61" i="15"/>
  <c r="C94" i="9"/>
  <c r="C92" i="9"/>
  <c r="C5" i="11"/>
  <c r="F28" i="15"/>
  <c r="C28" i="15" s="1"/>
  <c r="F31" i="12"/>
  <c r="F54" i="9"/>
  <c r="M18" i="67"/>
  <c r="F30" i="68"/>
  <c r="C30" i="68" s="1"/>
  <c r="C31" i="12"/>
  <c r="C24" i="12"/>
  <c r="C77" i="9"/>
  <c r="C74" i="9" s="1"/>
  <c r="C13" i="12"/>
  <c r="C36" i="11"/>
  <c r="D68" i="9"/>
  <c r="M18" i="15"/>
  <c r="F32" i="15"/>
  <c r="F60" i="15" s="1"/>
  <c r="F30" i="69"/>
  <c r="F32" i="67"/>
  <c r="F60" i="67" s="1"/>
  <c r="F52" i="9"/>
  <c r="F28" i="67"/>
  <c r="C28" i="67" s="1"/>
  <c r="F30" i="11"/>
  <c r="F53" i="9"/>
  <c r="C21" i="69"/>
  <c r="D22" i="67"/>
  <c r="F76" i="40"/>
  <c r="F11" i="40" s="1"/>
  <c r="AA9" i="40"/>
  <c r="S36" i="40"/>
  <c r="AC9" i="40"/>
  <c r="G30" i="6"/>
  <c r="E28" i="6"/>
  <c r="E102" i="3"/>
  <c r="E220" i="3"/>
  <c r="E571" i="3"/>
  <c r="E524" i="3"/>
  <c r="E176" i="3"/>
  <c r="E147" i="3"/>
  <c r="E339" i="3"/>
  <c r="E15" i="3"/>
  <c r="E54" i="3"/>
  <c r="U6" i="3"/>
  <c r="E196" i="3"/>
  <c r="E406" i="3"/>
  <c r="E468" i="3"/>
  <c r="E171" i="3"/>
  <c r="E74" i="3"/>
  <c r="E78" i="3"/>
  <c r="E209" i="3"/>
  <c r="E354" i="3"/>
  <c r="E48" i="3"/>
  <c r="E284" i="3"/>
  <c r="E19" i="3"/>
  <c r="K8" i="1"/>
  <c r="E7" i="12"/>
  <c r="G27" i="6"/>
  <c r="D9" i="68"/>
  <c r="C9" i="68" s="1"/>
  <c r="D9" i="69"/>
  <c r="C9" i="69" s="1"/>
  <c r="C36" i="69"/>
  <c r="T9" i="1"/>
  <c r="M6" i="1"/>
  <c r="O6" i="1" s="1"/>
  <c r="P6" i="1" s="1"/>
  <c r="E217" i="3"/>
  <c r="E124" i="3"/>
  <c r="E244" i="3"/>
  <c r="E252" i="3"/>
  <c r="E576" i="3"/>
  <c r="E448" i="3"/>
  <c r="E512" i="3"/>
  <c r="E451" i="3"/>
  <c r="E556" i="3"/>
  <c r="E13" i="3"/>
  <c r="E452" i="3"/>
  <c r="E420" i="3"/>
  <c r="E104" i="3"/>
  <c r="E115" i="3"/>
  <c r="E139" i="3"/>
  <c r="E281" i="3"/>
  <c r="E332" i="3"/>
  <c r="E356" i="3"/>
  <c r="E42" i="3"/>
  <c r="F27" i="6"/>
  <c r="F35" i="6" s="1"/>
  <c r="E56" i="39"/>
  <c r="E51" i="40"/>
  <c r="E12" i="6"/>
  <c r="AT6" i="3"/>
  <c r="E261" i="3"/>
  <c r="E528" i="3"/>
  <c r="E183" i="3"/>
  <c r="E361" i="3"/>
  <c r="E503" i="3"/>
  <c r="E388" i="3"/>
  <c r="E555" i="3"/>
  <c r="E410" i="3"/>
  <c r="E337" i="3"/>
  <c r="E143" i="3"/>
  <c r="E270" i="3"/>
  <c r="E533" i="3"/>
  <c r="AR6" i="3"/>
  <c r="E561" i="3"/>
  <c r="E538" i="3"/>
  <c r="E439" i="3"/>
  <c r="E380" i="3"/>
  <c r="E231" i="3"/>
  <c r="E216" i="3"/>
  <c r="E185" i="3"/>
  <c r="E135" i="3"/>
  <c r="E530" i="3"/>
  <c r="E305" i="3"/>
  <c r="E329" i="3"/>
  <c r="E510" i="3"/>
  <c r="E205" i="3"/>
  <c r="E385" i="3"/>
  <c r="AI6" i="3"/>
  <c r="E423" i="3"/>
  <c r="E263" i="3"/>
  <c r="E191" i="3"/>
  <c r="E290" i="3"/>
  <c r="E117" i="3"/>
  <c r="E45" i="3"/>
  <c r="E224" i="3"/>
  <c r="E193" i="3"/>
  <c r="E313" i="3"/>
  <c r="E519" i="3"/>
  <c r="E532" i="3"/>
  <c r="E573" i="3"/>
  <c r="E529" i="3"/>
  <c r="E458" i="3"/>
  <c r="E553" i="3"/>
  <c r="X6" i="3"/>
  <c r="E314" i="3"/>
  <c r="E16" i="3"/>
  <c r="E434" i="3"/>
  <c r="E296" i="3"/>
  <c r="E136" i="3"/>
  <c r="E228" i="3"/>
  <c r="E157" i="3"/>
  <c r="E77" i="3"/>
  <c r="E253" i="3"/>
  <c r="E199" i="3"/>
  <c r="E286" i="3"/>
  <c r="E575" i="3"/>
  <c r="E499" i="3"/>
  <c r="R6" i="3"/>
  <c r="E502" i="3"/>
  <c r="E442"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O8" i="1"/>
  <c r="P8" i="1" s="1"/>
  <c r="O11" i="1"/>
  <c r="P11" i="1" s="1"/>
  <c r="O12" i="1"/>
  <c r="P12" i="1" s="1"/>
  <c r="AY6" i="3"/>
  <c r="E3" i="6"/>
  <c r="O9" i="1"/>
  <c r="D12" i="52"/>
  <c r="D127" i="9"/>
  <c r="D13" i="52" s="1"/>
  <c r="Y5" i="71"/>
  <c r="Z5" i="71" s="1"/>
  <c r="X5" i="71"/>
  <c r="AB5" i="71"/>
  <c r="AA5" i="71"/>
  <c r="C69" i="39"/>
  <c r="D67" i="39"/>
  <c r="D69" i="39"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B12" i="70"/>
  <c r="F51" i="15"/>
  <c r="B11" i="70"/>
  <c r="L59" i="15"/>
  <c r="N59" i="15"/>
  <c r="L58" i="15"/>
  <c r="M59" i="15"/>
  <c r="F66" i="15"/>
  <c r="F64" i="15"/>
  <c r="C27" i="15"/>
  <c r="F65" i="15"/>
  <c r="B9" i="70"/>
  <c r="B13" i="70"/>
  <c r="F68" i="15"/>
  <c r="L48" i="81"/>
  <c r="F8" i="81"/>
  <c r="F6" i="81"/>
  <c r="M9" i="81"/>
  <c r="F36" i="81"/>
  <c r="F9" i="81"/>
  <c r="J15" i="81"/>
  <c r="F13" i="81"/>
  <c r="M8" i="81"/>
  <c r="M6" i="81"/>
  <c r="F40" i="81"/>
  <c r="M22" i="81"/>
  <c r="M24" i="81"/>
  <c r="M26" i="81"/>
  <c r="L47" i="81"/>
  <c r="F26" i="81"/>
  <c r="F42" i="81"/>
  <c r="M23" i="81"/>
  <c r="M28" i="81"/>
  <c r="F37" i="81"/>
  <c r="M27" i="81"/>
  <c r="F16" i="81"/>
  <c r="F38" i="81"/>
  <c r="C76" i="81"/>
  <c r="M22" i="67"/>
  <c r="L48" i="67"/>
  <c r="F26" i="67"/>
  <c r="F13" i="67"/>
  <c r="L47" i="67"/>
  <c r="F42" i="67"/>
  <c r="F6" i="67"/>
  <c r="M29" i="67"/>
  <c r="F43" i="67"/>
  <c r="M9" i="67"/>
  <c r="J15" i="67"/>
  <c r="M23" i="67"/>
  <c r="F38" i="67"/>
  <c r="C76" i="67"/>
  <c r="M8" i="67"/>
  <c r="F37" i="67"/>
  <c r="F7" i="67"/>
  <c r="F36" i="67"/>
  <c r="F40" i="67"/>
  <c r="F8" i="67"/>
  <c r="M24" i="67"/>
  <c r="M6" i="67"/>
  <c r="M26" i="67"/>
  <c r="M27" i="67"/>
  <c r="M28" i="67"/>
  <c r="F16" i="67"/>
  <c r="F9" i="67"/>
  <c r="L48" i="82"/>
  <c r="C76" i="82"/>
  <c r="J15" i="82"/>
  <c r="M9" i="82"/>
  <c r="M22" i="82"/>
  <c r="M23" i="82"/>
  <c r="M6" i="82"/>
  <c r="M8" i="82"/>
  <c r="F6" i="82"/>
  <c r="M27" i="82"/>
  <c r="M26" i="82"/>
  <c r="F36" i="82"/>
  <c r="M28" i="82"/>
  <c r="F37" i="82"/>
  <c r="M24" i="82"/>
  <c r="F38" i="82"/>
  <c r="F40" i="82"/>
  <c r="F26" i="82"/>
  <c r="F42" i="82"/>
  <c r="F13" i="82"/>
  <c r="L47" i="82"/>
  <c r="F9" i="82"/>
  <c r="F16" i="82"/>
  <c r="F8" i="82"/>
  <c r="F43" i="81"/>
  <c r="M29" i="81"/>
  <c r="F7" i="81"/>
  <c r="F7" i="15"/>
  <c r="F43" i="15"/>
  <c r="M29" i="15"/>
  <c r="M29" i="82"/>
  <c r="C16" i="81"/>
  <c r="C16" i="15"/>
  <c r="F7" i="82"/>
  <c r="G1" i="73"/>
  <c r="C16" i="67"/>
  <c r="F43" i="82"/>
  <c r="F51" i="82" l="1"/>
  <c r="L58" i="82"/>
  <c r="Q73" i="82" s="1"/>
  <c r="C27" i="82"/>
  <c r="F68" i="82"/>
  <c r="F66" i="82"/>
  <c r="F65" i="82"/>
  <c r="F64" i="82"/>
  <c r="Q71" i="82"/>
  <c r="F51" i="67"/>
  <c r="F68" i="67"/>
  <c r="F64" i="67"/>
  <c r="F50" i="67"/>
  <c r="M7" i="67"/>
  <c r="J6" i="67" s="1"/>
  <c r="J18" i="67" s="1"/>
  <c r="F65" i="67"/>
  <c r="Q71" i="67"/>
  <c r="F66" i="67"/>
  <c r="F71" i="67"/>
  <c r="C6" i="67"/>
  <c r="F70" i="67"/>
  <c r="N59" i="67"/>
  <c r="L58" i="67"/>
  <c r="Q73" i="67" s="1"/>
  <c r="L59" i="67"/>
  <c r="Q74" i="67" s="1"/>
  <c r="M59" i="67"/>
  <c r="C27" i="67"/>
  <c r="J53" i="67"/>
  <c r="F1" i="67" s="1"/>
  <c r="L56" i="67"/>
  <c r="J57" i="67"/>
  <c r="J55" i="67" s="1"/>
  <c r="J58" i="67" s="1"/>
  <c r="Q50" i="67" s="1"/>
  <c r="I54" i="67"/>
  <c r="Q71" i="81"/>
  <c r="F66" i="81"/>
  <c r="F65" i="81"/>
  <c r="C27" i="81"/>
  <c r="L58" i="81"/>
  <c r="Q60" i="81" s="1"/>
  <c r="F68" i="81"/>
  <c r="F64" i="81"/>
  <c r="F51" i="81"/>
  <c r="L57" i="81"/>
  <c r="L57" i="82"/>
  <c r="F71" i="15"/>
  <c r="F50" i="15"/>
  <c r="C49" i="15" s="1"/>
  <c r="M7" i="15"/>
  <c r="J6" i="15" s="1"/>
  <c r="J18" i="15" s="1"/>
  <c r="C6" i="15"/>
  <c r="C32" i="15" s="1"/>
  <c r="F50" i="81"/>
  <c r="M7" i="81"/>
  <c r="J6" i="81" s="1"/>
  <c r="J18" i="81" s="1"/>
  <c r="C6" i="81"/>
  <c r="F71" i="81"/>
  <c r="E35" i="6"/>
  <c r="G31" i="6"/>
  <c r="G35" i="6" s="1"/>
  <c r="U19" i="1"/>
  <c r="G16" i="1"/>
  <c r="F10" i="39" s="1"/>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21" i="3"/>
  <c r="E552" i="3"/>
  <c r="E542" i="3"/>
  <c r="AD6" i="3"/>
  <c r="E312" i="3"/>
  <c r="E141" i="3"/>
  <c r="E167" i="3"/>
  <c r="E212" i="3"/>
  <c r="E149" i="3"/>
  <c r="E181" i="3"/>
  <c r="E236" i="3"/>
  <c r="E262" i="3"/>
  <c r="E306" i="3"/>
  <c r="AK6" i="3"/>
  <c r="E511" i="3"/>
  <c r="E246" i="3"/>
  <c r="N6" i="3"/>
  <c r="E125" i="3"/>
  <c r="E437" i="3"/>
  <c r="E560" i="3"/>
  <c r="Q6" i="3"/>
  <c r="K6" i="3"/>
  <c r="E330" i="3"/>
  <c r="E133" i="3"/>
  <c r="E177" i="3"/>
  <c r="E277" i="3"/>
  <c r="E120" i="3"/>
  <c r="E161" i="3"/>
  <c r="E188" i="3"/>
  <c r="E245" i="3"/>
  <c r="E382" i="3"/>
  <c r="E578" i="3"/>
  <c r="E518" i="3"/>
  <c r="E128" i="3"/>
  <c r="E352" i="3"/>
  <c r="E545" i="3"/>
  <c r="E508" i="3"/>
  <c r="E343" i="3"/>
  <c r="E175" i="3"/>
  <c r="E61" i="3"/>
  <c r="E169" i="3"/>
  <c r="E298" i="3"/>
  <c r="E321" i="3"/>
  <c r="E338" i="3"/>
  <c r="E418" i="3"/>
  <c r="E506" i="3"/>
  <c r="E523" i="3"/>
  <c r="S6" i="3"/>
  <c r="E390" i="3"/>
  <c r="E97" i="3"/>
  <c r="E285" i="3"/>
  <c r="E359" i="3"/>
  <c r="E574" i="3"/>
  <c r="O6" i="3"/>
  <c r="E302" i="3"/>
  <c r="E17" i="3"/>
  <c r="E213" i="3"/>
  <c r="E565" i="3"/>
  <c r="E304" i="3"/>
  <c r="E237" i="3"/>
  <c r="E94" i="3"/>
  <c r="AL6" i="3"/>
  <c r="E391" i="3"/>
  <c r="E243" i="3"/>
  <c r="E225" i="3"/>
  <c r="E198" i="3"/>
  <c r="E41" i="3"/>
  <c r="E26" i="3"/>
  <c r="E470" i="3"/>
  <c r="E494" i="3"/>
  <c r="E497" i="3"/>
  <c r="E360" i="3"/>
  <c r="E408" i="3"/>
  <c r="E469" i="3"/>
  <c r="AG6" i="3"/>
  <c r="E164" i="3"/>
  <c r="E269" i="3"/>
  <c r="E536" i="3"/>
  <c r="E347" i="3"/>
  <c r="Y6" i="3"/>
  <c r="E127" i="3"/>
  <c r="E66" i="3"/>
  <c r="E307" i="3"/>
  <c r="E163" i="3"/>
  <c r="E482" i="3"/>
  <c r="E315" i="3"/>
  <c r="E106" i="3"/>
  <c r="E587" i="3"/>
  <c r="E585" i="3"/>
  <c r="E322" i="3"/>
  <c r="W6" i="3"/>
  <c r="E357" i="3"/>
  <c r="E194" i="3"/>
  <c r="E52" i="3"/>
  <c r="E50" i="3"/>
  <c r="E265" i="3"/>
  <c r="E280" i="3"/>
  <c r="E318" i="3"/>
  <c r="E86" i="3"/>
  <c r="E526" i="3"/>
  <c r="E21" i="3"/>
  <c r="E309" i="3"/>
  <c r="E264" i="3"/>
  <c r="E81" i="3"/>
  <c r="E370" i="3"/>
  <c r="E49" i="3"/>
  <c r="E522" i="3"/>
  <c r="E235" i="3"/>
  <c r="E170" i="3"/>
  <c r="E75" i="3"/>
  <c r="E279" i="3"/>
  <c r="E433" i="3"/>
  <c r="E457" i="3"/>
  <c r="E207" i="3"/>
  <c r="E83" i="3"/>
  <c r="E22" i="3"/>
  <c r="E326" i="3"/>
  <c r="E308" i="3"/>
  <c r="E287" i="3"/>
  <c r="E158" i="3"/>
  <c r="E113" i="3"/>
  <c r="E20" i="3"/>
  <c r="E364" i="3"/>
  <c r="E289" i="3"/>
  <c r="E123" i="3"/>
  <c r="E36" i="3"/>
  <c r="AQ6" i="3"/>
  <c r="E325" i="3"/>
  <c r="E299" i="3"/>
  <c r="E234" i="3"/>
  <c r="E137" i="3"/>
  <c r="E79" i="3"/>
  <c r="E409" i="3"/>
  <c r="E14" i="3"/>
  <c r="E257" i="3"/>
  <c r="E168" i="3"/>
  <c r="E475" i="3"/>
  <c r="E537" i="3"/>
  <c r="E288" i="3"/>
  <c r="E474" i="3"/>
  <c r="E145" i="3"/>
  <c r="I6" i="3"/>
  <c r="AA6" i="3"/>
  <c r="E549" i="3"/>
  <c r="E122" i="3"/>
  <c r="E107" i="3"/>
  <c r="E515" i="3"/>
  <c r="E481" i="3"/>
  <c r="E424" i="3"/>
  <c r="E344" i="3"/>
  <c r="AE6" i="3"/>
  <c r="E429" i="3"/>
  <c r="E496" i="3"/>
  <c r="E55" i="3"/>
  <c r="E73" i="3"/>
  <c r="E203" i="3"/>
  <c r="E256" i="3"/>
  <c r="E274" i="3"/>
  <c r="E394" i="3"/>
  <c r="E580" i="3"/>
  <c r="E32" i="3"/>
  <c r="E428" i="3"/>
  <c r="E412" i="3"/>
  <c r="E96" i="3"/>
  <c r="E129" i="3"/>
  <c r="E142" i="3"/>
  <c r="E200" i="3"/>
  <c r="E267" i="3"/>
  <c r="E249" i="3"/>
  <c r="E300" i="3"/>
  <c r="E371" i="3"/>
  <c r="E310" i="3"/>
  <c r="E492" i="3"/>
  <c r="E23" i="3"/>
  <c r="E84" i="3"/>
  <c r="E67" i="3"/>
  <c r="E33" i="3"/>
  <c r="E144" i="3"/>
  <c r="E184" i="3"/>
  <c r="E233" i="3"/>
  <c r="E355" i="3"/>
  <c r="E381" i="3"/>
  <c r="E68" i="3"/>
  <c r="E63" i="3"/>
  <c r="E268" i="3"/>
  <c r="E513" i="3"/>
  <c r="E118" i="3"/>
  <c r="E232" i="3"/>
  <c r="E383" i="3"/>
  <c r="E455" i="3"/>
  <c r="E111" i="3"/>
  <c r="E411" i="3"/>
  <c r="E101" i="3"/>
  <c r="E365" i="3"/>
  <c r="E218" i="3"/>
  <c r="E62" i="3"/>
  <c r="E340" i="3"/>
  <c r="E112" i="3"/>
  <c r="E392" i="3"/>
  <c r="E219" i="3"/>
  <c r="E100" i="3"/>
  <c r="E93" i="3"/>
  <c r="E208" i="3"/>
  <c r="E471" i="3"/>
  <c r="E438" i="3"/>
  <c r="E148" i="3"/>
  <c r="E397" i="3"/>
  <c r="E271" i="3"/>
  <c r="E472" i="3"/>
  <c r="E465" i="3"/>
  <c r="E577" i="3"/>
  <c r="E454" i="3"/>
  <c r="E146" i="3"/>
  <c r="E214" i="3"/>
  <c r="E362" i="3"/>
  <c r="E488" i="3"/>
  <c r="E18" i="3"/>
  <c r="E190" i="3"/>
  <c r="E248" i="3"/>
  <c r="E266" i="3"/>
  <c r="E386" i="3"/>
  <c r="E584" i="3"/>
  <c r="E24" i="3"/>
  <c r="E87" i="3"/>
  <c r="E250" i="3"/>
  <c r="E341" i="3"/>
  <c r="E51" i="3"/>
  <c r="AJ6" i="3"/>
  <c r="E399" i="3"/>
  <c r="E568" i="3"/>
  <c r="E453" i="3"/>
  <c r="E156" i="3"/>
  <c r="E89" i="3"/>
  <c r="E204" i="3"/>
  <c r="E327" i="3"/>
  <c r="Z6" i="3"/>
  <c r="AO6"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53" i="3"/>
  <c r="E319" i="3"/>
  <c r="E501" i="3"/>
  <c r="E153" i="3"/>
  <c r="E426" i="3"/>
  <c r="E328" i="3"/>
  <c r="E539" i="3"/>
  <c r="E567" i="3"/>
  <c r="E461" i="3"/>
  <c r="E227" i="3"/>
  <c r="E165" i="3"/>
  <c r="E353" i="3"/>
  <c r="E495" i="3"/>
  <c r="AN6" i="3"/>
  <c r="E586" i="3"/>
  <c r="E402" i="3"/>
  <c r="E350" i="3"/>
  <c r="E303" i="3"/>
  <c r="E301" i="3"/>
  <c r="E159" i="3"/>
  <c r="E99" i="3"/>
  <c r="E91" i="3"/>
  <c r="E221" i="3"/>
  <c r="E180" i="3"/>
  <c r="E140" i="3"/>
  <c r="E85" i="3"/>
  <c r="E223" i="3"/>
  <c r="E238" i="3"/>
  <c r="E197" i="3"/>
  <c r="E116" i="3"/>
  <c r="E173" i="3"/>
  <c r="E105" i="3"/>
  <c r="E369" i="3"/>
  <c r="E393" i="3"/>
  <c r="E525" i="3"/>
  <c r="E493" i="3"/>
  <c r="E534" i="3"/>
  <c r="E564" i="3"/>
  <c r="T6" i="3"/>
  <c r="E543" i="3"/>
  <c r="E405" i="3"/>
  <c r="E427" i="3"/>
  <c r="E456" i="3"/>
  <c r="E366" i="3"/>
  <c r="E282" i="3"/>
  <c r="E583" i="3"/>
  <c r="E336" i="3"/>
  <c r="E293" i="3"/>
  <c r="E64" i="39"/>
  <c r="E379" i="3"/>
  <c r="E206" i="3"/>
  <c r="E275" i="3"/>
  <c r="E373" i="3"/>
  <c r="E473" i="3"/>
  <c r="E80" i="3"/>
  <c r="E450" i="3"/>
  <c r="E154" i="3"/>
  <c r="E324" i="3"/>
  <c r="E72" i="3"/>
  <c r="E323" i="3"/>
  <c r="E34" i="3"/>
  <c r="E31" i="3"/>
  <c r="E368" i="3"/>
  <c r="E222" i="3"/>
  <c r="AF6" i="3"/>
  <c r="E35" i="3"/>
  <c r="E174" i="3"/>
  <c r="E351" i="3"/>
  <c r="E562" i="3"/>
  <c r="E82" i="3"/>
  <c r="E179" i="3"/>
  <c r="E251" i="3"/>
  <c r="E342" i="3"/>
  <c r="E38" i="3"/>
  <c r="E150" i="3"/>
  <c r="E527" i="3"/>
  <c r="E16" i="6"/>
  <c r="E59" i="40"/>
  <c r="E56" i="40"/>
  <c r="F71" i="82"/>
  <c r="C6" i="82"/>
  <c r="F50" i="82"/>
  <c r="M7" i="82"/>
  <c r="J6" i="82" s="1"/>
  <c r="J18" i="82" s="1"/>
  <c r="M8" i="1"/>
  <c r="E58" i="40"/>
  <c r="E62" i="39"/>
  <c r="F7" i="34"/>
  <c r="L56" i="81"/>
  <c r="F7" i="36"/>
  <c r="J7" i="37"/>
  <c r="H7" i="36"/>
  <c r="U7" i="36" s="1"/>
  <c r="J60" i="81"/>
  <c r="Q48" i="81" s="1"/>
  <c r="J53" i="81"/>
  <c r="J59" i="81"/>
  <c r="N59" i="81"/>
  <c r="J57" i="81"/>
  <c r="J55" i="81" s="1"/>
  <c r="J58" i="81" s="1"/>
  <c r="Q50" i="81" s="1"/>
  <c r="I54" i="81"/>
  <c r="L59" i="81"/>
  <c r="M59" i="81"/>
  <c r="L46" i="81"/>
  <c r="Q73" i="81"/>
  <c r="L60" i="81"/>
  <c r="L60" i="82"/>
  <c r="L59" i="82"/>
  <c r="M59" i="82"/>
  <c r="J60" i="82"/>
  <c r="Q48" i="82" s="1"/>
  <c r="I54" i="82"/>
  <c r="J59" i="82"/>
  <c r="N59" i="82"/>
  <c r="J57" i="82"/>
  <c r="J55" i="82" s="1"/>
  <c r="J58" i="82" s="1"/>
  <c r="Q50" i="82" s="1"/>
  <c r="J53" i="82"/>
  <c r="L46" i="82"/>
  <c r="Q60" i="82"/>
  <c r="L56" i="82"/>
  <c r="AA23" i="40"/>
  <c r="S23" i="40"/>
  <c r="AC23" i="40"/>
  <c r="W23" i="40"/>
  <c r="AA21" i="40"/>
  <c r="S21" i="40"/>
  <c r="U17" i="40"/>
  <c r="AB17" i="40"/>
  <c r="AB15" i="40"/>
  <c r="U15" i="40"/>
  <c r="W15" i="40"/>
  <c r="AC15" i="40"/>
  <c r="F11" i="82"/>
  <c r="M11" i="82"/>
  <c r="F11" i="81"/>
  <c r="M11" i="81"/>
  <c r="F48" i="68"/>
  <c r="C48" i="68"/>
  <c r="C48" i="11"/>
  <c r="C30" i="11"/>
  <c r="F48" i="69"/>
  <c r="C48" i="69"/>
  <c r="C30" i="69"/>
  <c r="AA11" i="40"/>
  <c r="S11" i="40"/>
  <c r="H11" i="40"/>
  <c r="J11" i="40"/>
  <c r="G76" i="40"/>
  <c r="H76" i="40" s="1"/>
  <c r="I76" i="40" s="1"/>
  <c r="J76" i="40" s="1"/>
  <c r="K76" i="40" s="1"/>
  <c r="L76" i="40" s="1"/>
  <c r="M76" i="40" s="1"/>
  <c r="Q16" i="1"/>
  <c r="E30" i="6"/>
  <c r="K14" i="1"/>
  <c r="C34" i="69" s="1"/>
  <c r="H16" i="1"/>
  <c r="O7" i="1"/>
  <c r="P7" i="1" s="1"/>
  <c r="AC6" i="3"/>
  <c r="E57" i="40"/>
  <c r="E61" i="39"/>
  <c r="E65" i="39" s="1"/>
  <c r="F31" i="6"/>
  <c r="E27" i="6"/>
  <c r="H6" i="3"/>
  <c r="P9"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83" i="3"/>
  <c r="AY66" i="3"/>
  <c r="AY23" i="3"/>
  <c r="AY176" i="3"/>
  <c r="AY155" i="3"/>
  <c r="AY115" i="3"/>
  <c r="AY59" i="3"/>
  <c r="AY188" i="3"/>
  <c r="AY131" i="3"/>
  <c r="AY276" i="3"/>
  <c r="AY58" i="3"/>
  <c r="AY297" i="3"/>
  <c r="AY268" i="3"/>
  <c r="AY225" i="3"/>
  <c r="AY371" i="3"/>
  <c r="AY335" i="3"/>
  <c r="AY318" i="3"/>
  <c r="AY470" i="3"/>
  <c r="AY428" i="3"/>
  <c r="AY409" i="3"/>
  <c r="AY10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51" i="3"/>
  <c r="AY207" i="3"/>
  <c r="AY124" i="3"/>
  <c r="AY42" i="3"/>
  <c r="AY281" i="3"/>
  <c r="AY168" i="3"/>
  <c r="AY236" i="3"/>
  <c r="AY366" i="3"/>
  <c r="AY473" i="3"/>
  <c r="AY441"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D19" i="11"/>
  <c r="C19" i="11" s="1"/>
  <c r="C17" i="4"/>
  <c r="B4" i="52" s="1"/>
  <c r="B43" i="72" s="1"/>
  <c r="L18" i="9"/>
  <c r="D3" i="37"/>
  <c r="D37" i="11"/>
  <c r="C37" i="11" s="1"/>
  <c r="M18" i="9"/>
  <c r="B118" i="9" s="1"/>
  <c r="B14" i="74" s="1"/>
  <c r="B1" i="74" s="1"/>
  <c r="D3" i="21"/>
  <c r="E6" i="6"/>
  <c r="D14" i="12"/>
  <c r="J10" i="40"/>
  <c r="W10" i="40" s="1"/>
  <c r="H10" i="39"/>
  <c r="AB10" i="39" s="1"/>
  <c r="F10" i="40"/>
  <c r="AA10" i="40" s="1"/>
  <c r="J10" i="39"/>
  <c r="AC10" i="39" s="1"/>
  <c r="H10" i="40"/>
  <c r="U10" i="40" s="1"/>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6" i="43"/>
  <c r="I103" i="43"/>
  <c r="I102" i="43"/>
  <c r="I107" i="43"/>
  <c r="I105" i="43"/>
  <c r="D109" i="43"/>
  <c r="D103" i="43"/>
  <c r="D104" i="43"/>
  <c r="D107" i="43"/>
  <c r="D105" i="43"/>
  <c r="D106" i="43"/>
  <c r="D102" i="43"/>
  <c r="D22" i="43"/>
  <c r="F107" i="43"/>
  <c r="F106" i="43"/>
  <c r="F103" i="43"/>
  <c r="F104" i="43"/>
  <c r="F102" i="43"/>
  <c r="F105" i="43"/>
  <c r="F109" i="43"/>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P25" i="43"/>
  <c r="P23" i="43"/>
  <c r="B70" i="39" s="1"/>
  <c r="C32" i="67"/>
  <c r="M28" i="43"/>
  <c r="N28" i="43"/>
  <c r="O28" i="43"/>
  <c r="P28" i="43"/>
  <c r="M11" i="67"/>
  <c r="J10" i="67" s="1"/>
  <c r="F11" i="15"/>
  <c r="M11" i="15"/>
  <c r="F11" i="67"/>
  <c r="F1" i="15"/>
  <c r="Q52" i="15"/>
  <c r="Q60" i="15"/>
  <c r="Q73" i="15"/>
  <c r="Q61" i="67"/>
  <c r="Q74" i="15"/>
  <c r="Q61" i="15"/>
  <c r="C16" i="82"/>
  <c r="AE6" i="1"/>
  <c r="Q60" i="67" l="1"/>
  <c r="J10" i="81"/>
  <c r="J5" i="81" s="1"/>
  <c r="J26" i="81" s="1"/>
  <c r="C49" i="81"/>
  <c r="C49" i="67"/>
  <c r="Q52" i="67"/>
  <c r="J10" i="15"/>
  <c r="J5" i="15" s="1"/>
  <c r="J24" i="15" s="1"/>
  <c r="J5" i="67"/>
  <c r="J24" i="67" s="1"/>
  <c r="C49" i="82"/>
  <c r="I37" i="15"/>
  <c r="C33" i="81"/>
  <c r="C32" i="81"/>
  <c r="J10" i="82"/>
  <c r="J5" i="82" s="1"/>
  <c r="J26" i="82" s="1"/>
  <c r="C33" i="82"/>
  <c r="C32" i="82"/>
  <c r="Q52" i="82"/>
  <c r="F1" i="82"/>
  <c r="Q66" i="82"/>
  <c r="Q57" i="82"/>
  <c r="Q74" i="81"/>
  <c r="Q61" i="81"/>
  <c r="Q74" i="82"/>
  <c r="Q61" i="82"/>
  <c r="Q57" i="81"/>
  <c r="Q66" i="81"/>
  <c r="Q52" i="81"/>
  <c r="F1" i="81"/>
  <c r="F24" i="81"/>
  <c r="C24" i="81" s="1"/>
  <c r="F24" i="82"/>
  <c r="C53" i="82"/>
  <c r="C10" i="82"/>
  <c r="C5" i="82" s="1"/>
  <c r="C53" i="81"/>
  <c r="C48" i="81" s="1"/>
  <c r="C10" i="81"/>
  <c r="C5" i="81" s="1"/>
  <c r="W11" i="40"/>
  <c r="AC11" i="40"/>
  <c r="AB11" i="40"/>
  <c r="U11" i="40"/>
  <c r="C35" i="69"/>
  <c r="C38" i="69"/>
  <c r="M14" i="1"/>
  <c r="K16" i="1"/>
  <c r="U20" i="1" s="1"/>
  <c r="F27" i="68"/>
  <c r="F28" i="12"/>
  <c r="C29" i="12" s="1"/>
  <c r="D28" i="12" s="1"/>
  <c r="F27" i="69"/>
  <c r="F27" i="11"/>
  <c r="E6" i="3"/>
  <c r="K24" i="6"/>
  <c r="M24" i="6" s="1"/>
  <c r="I24" i="6" s="1"/>
  <c r="S24" i="6" s="1"/>
  <c r="K21" i="6"/>
  <c r="K25" i="6"/>
  <c r="M25" i="6" s="1"/>
  <c r="I25" i="6" s="1"/>
  <c r="S25" i="6" s="1"/>
  <c r="E31" i="6"/>
  <c r="E34" i="6" s="1"/>
  <c r="K23" i="6"/>
  <c r="M23" i="6" s="1"/>
  <c r="I23" i="6" s="1"/>
  <c r="S23" i="6" s="1"/>
  <c r="K20" i="6"/>
  <c r="K19" i="6"/>
  <c r="S6" i="1" s="1"/>
  <c r="K22" i="6"/>
  <c r="M22" i="6" s="1"/>
  <c r="I22" i="6" s="1"/>
  <c r="S22" i="6" s="1"/>
  <c r="K26" i="6"/>
  <c r="M26" i="6" s="1"/>
  <c r="I26" i="6" s="1"/>
  <c r="S26" i="6" s="1"/>
  <c r="U10" i="39"/>
  <c r="W10" i="39"/>
  <c r="AB10" i="40"/>
  <c r="D17" i="12"/>
  <c r="C17" i="12" s="1"/>
  <c r="C14" i="12"/>
  <c r="C20" i="11"/>
  <c r="C28" i="11" s="1"/>
  <c r="C27" i="11" s="1"/>
  <c r="M19" i="9"/>
  <c r="C118" i="9" s="1"/>
  <c r="C14" i="74" s="1"/>
  <c r="B2" i="74" s="1"/>
  <c r="D19" i="6"/>
  <c r="D26" i="6"/>
  <c r="C18" i="4"/>
  <c r="D8" i="6"/>
  <c r="D23" i="6"/>
  <c r="D14" i="6"/>
  <c r="D6" i="6"/>
  <c r="D9" i="6"/>
  <c r="D10" i="6"/>
  <c r="L19" i="9"/>
  <c r="D29" i="6"/>
  <c r="D25" i="6"/>
  <c r="D15" i="6"/>
  <c r="D22" i="6"/>
  <c r="D21" i="6"/>
  <c r="D24" i="6"/>
  <c r="D20" i="6"/>
  <c r="D5" i="6"/>
  <c r="D12" i="6"/>
  <c r="D11" i="6"/>
  <c r="D13" i="6"/>
  <c r="D28" i="6"/>
  <c r="E61" i="40"/>
  <c r="D10" i="68"/>
  <c r="D10" i="11"/>
  <c r="C10" i="11" s="1"/>
  <c r="D20" i="12"/>
  <c r="C20" i="12" s="1"/>
  <c r="D10" i="69"/>
  <c r="C7" i="74"/>
  <c r="C8" i="74"/>
  <c r="S10" i="40"/>
  <c r="AC10" i="40"/>
  <c r="U7" i="37"/>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C53" i="67"/>
  <c r="C48" i="67" s="1"/>
  <c r="C10" i="67"/>
  <c r="C5" i="67" s="1"/>
  <c r="C53" i="15"/>
  <c r="C48" i="15" s="1"/>
  <c r="C10" i="15"/>
  <c r="C5" i="15" s="1"/>
  <c r="F25" i="12"/>
  <c r="F22" i="69"/>
  <c r="F41" i="69" s="1"/>
  <c r="F24" i="67"/>
  <c r="C24" i="67" s="1"/>
  <c r="F22" i="11"/>
  <c r="F22" i="68"/>
  <c r="F24" i="15"/>
  <c r="C24" i="15" s="1"/>
  <c r="F41" i="15"/>
  <c r="C17" i="15"/>
  <c r="AE7" i="1"/>
  <c r="F41" i="67" s="1"/>
  <c r="AE8" i="1"/>
  <c r="F41" i="82" s="1"/>
  <c r="J24" i="81" l="1"/>
  <c r="J26" i="15"/>
  <c r="J29" i="15" s="1"/>
  <c r="F69" i="67"/>
  <c r="J29" i="67"/>
  <c r="C48" i="82"/>
  <c r="C66" i="82" s="1"/>
  <c r="F69" i="15"/>
  <c r="D30" i="6"/>
  <c r="H25" i="6"/>
  <c r="R25" i="6" s="1"/>
  <c r="J24" i="82"/>
  <c r="E6" i="70"/>
  <c r="F69" i="82"/>
  <c r="J29" i="82"/>
  <c r="C38" i="82"/>
  <c r="C24" i="82"/>
  <c r="C38" i="81"/>
  <c r="C66" i="81"/>
  <c r="C60" i="81"/>
  <c r="E29" i="43"/>
  <c r="C29" i="11"/>
  <c r="D27" i="11" s="1"/>
  <c r="C47" i="11"/>
  <c r="D45" i="11" s="1"/>
  <c r="C47" i="69"/>
  <c r="D45" i="69" s="1"/>
  <c r="C29" i="69"/>
  <c r="D27" i="69" s="1"/>
  <c r="F45" i="69"/>
  <c r="F45" i="68"/>
  <c r="C29" i="68"/>
  <c r="D27" i="68" s="1"/>
  <c r="C47" i="68"/>
  <c r="D45" i="68" s="1"/>
  <c r="O14" i="1"/>
  <c r="M16" i="1"/>
  <c r="N16" i="1" s="1"/>
  <c r="H26" i="6"/>
  <c r="R26" i="6" s="1"/>
  <c r="M20" i="6"/>
  <c r="I20" i="6" s="1"/>
  <c r="S7" i="1"/>
  <c r="M21" i="6"/>
  <c r="I21" i="6" s="1"/>
  <c r="S8" i="1"/>
  <c r="AR6" i="1"/>
  <c r="T6" i="1"/>
  <c r="AQ6" i="1"/>
  <c r="H22" i="6"/>
  <c r="R22" i="6" s="1"/>
  <c r="H24" i="6"/>
  <c r="R24" i="6" s="1"/>
  <c r="H23" i="6"/>
  <c r="R23" i="6" s="1"/>
  <c r="D16" i="6"/>
  <c r="M19" i="6"/>
  <c r="K27" i="6"/>
  <c r="C10" i="69"/>
  <c r="C8" i="69" s="1"/>
  <c r="C5" i="69" s="1"/>
  <c r="C23" i="69" s="1"/>
  <c r="D19" i="69"/>
  <c r="D7" i="74"/>
  <c r="D8" i="74"/>
  <c r="C10" i="68"/>
  <c r="B29" i="1" s="1"/>
  <c r="D19" i="68"/>
  <c r="C4" i="52"/>
  <c r="B45" i="72" s="1"/>
  <c r="A10" i="51"/>
  <c r="B9" i="72" s="1"/>
  <c r="A7" i="51"/>
  <c r="B7" i="72" s="1"/>
  <c r="D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67"/>
  <c r="C17" i="67"/>
  <c r="C17" i="82"/>
  <c r="C14" i="15"/>
  <c r="F41" i="81"/>
  <c r="E6" i="76"/>
  <c r="C17" i="81"/>
  <c r="B6" i="76"/>
  <c r="C60" i="82" l="1"/>
  <c r="C18" i="67"/>
  <c r="C15" i="67"/>
  <c r="D31" i="6"/>
  <c r="I5" i="6" s="1"/>
  <c r="C18" i="15"/>
  <c r="C15" i="15"/>
  <c r="E8" i="70"/>
  <c r="E7" i="70"/>
  <c r="J29" i="81"/>
  <c r="F69" i="81"/>
  <c r="L16" i="1"/>
  <c r="C34" i="68"/>
  <c r="C34" i="11"/>
  <c r="F50" i="69"/>
  <c r="F50" i="68"/>
  <c r="F50" i="11"/>
  <c r="P14" i="1"/>
  <c r="P16" i="1" s="1"/>
  <c r="C11" i="12" s="1"/>
  <c r="O16" i="1"/>
  <c r="AR8" i="1"/>
  <c r="AQ8" i="1"/>
  <c r="T8" i="1"/>
  <c r="AQ7" i="1"/>
  <c r="AR7" i="1"/>
  <c r="T7" i="1"/>
  <c r="S16" i="1"/>
  <c r="S21" i="6"/>
  <c r="H21" i="6"/>
  <c r="R21" i="6" s="1"/>
  <c r="R8" i="1" s="1"/>
  <c r="S20" i="6"/>
  <c r="H20" i="6"/>
  <c r="R20" i="6" s="1"/>
  <c r="R7" i="1" s="1"/>
  <c r="I19" i="6"/>
  <c r="M27" i="6"/>
  <c r="I6" i="6"/>
  <c r="C19" i="69"/>
  <c r="C24" i="69" s="1"/>
  <c r="D37" i="69"/>
  <c r="C37" i="69" s="1"/>
  <c r="C33" i="69" s="1"/>
  <c r="C19" i="68"/>
  <c r="D37" i="68"/>
  <c r="C37" i="68" s="1"/>
  <c r="C20" i="69"/>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F35" i="67"/>
  <c r="M21" i="67"/>
  <c r="C14" i="81"/>
  <c r="C14" i="82"/>
  <c r="C19" i="67" l="1"/>
  <c r="C20" i="67" s="1"/>
  <c r="C26" i="67" s="1"/>
  <c r="J20" i="67"/>
  <c r="C34" i="67"/>
  <c r="F63" i="67"/>
  <c r="C62" i="67" s="1"/>
  <c r="E2" i="70"/>
  <c r="C19" i="15"/>
  <c r="C20" i="15" s="1"/>
  <c r="C26" i="15" s="1"/>
  <c r="C15" i="82"/>
  <c r="C18" i="82"/>
  <c r="C18" i="81"/>
  <c r="C15" i="81"/>
  <c r="T16" i="1"/>
  <c r="C15" i="12"/>
  <c r="C12" i="12"/>
  <c r="C38" i="68"/>
  <c r="C35" i="68"/>
  <c r="C38" i="11"/>
  <c r="C35" i="11"/>
  <c r="H19" i="6"/>
  <c r="S19" i="6"/>
  <c r="S27" i="6" s="1"/>
  <c r="I27" i="6"/>
  <c r="C28" i="69"/>
  <c r="C27" i="69" s="1"/>
  <c r="C25" i="69"/>
  <c r="C22" i="69" s="1"/>
  <c r="C24" i="68"/>
  <c r="C39" i="69"/>
  <c r="C43" i="69" s="1"/>
  <c r="C42" i="69"/>
  <c r="I69" i="39"/>
  <c r="J67" i="39"/>
  <c r="B3" i="76"/>
  <c r="D6" i="71"/>
  <c r="M20" i="43"/>
  <c r="I63" i="40"/>
  <c r="H65" i="40"/>
  <c r="I58" i="21"/>
  <c r="J58" i="21" s="1"/>
  <c r="K58" i="21" s="1"/>
  <c r="L58" i="21" s="1"/>
  <c r="M58" i="21" s="1"/>
  <c r="N58" i="21" s="1"/>
  <c r="O58" i="21" s="1"/>
  <c r="H7" i="21" s="1"/>
  <c r="J7" i="21"/>
  <c r="F7" i="21"/>
  <c r="J48" i="35"/>
  <c r="Q48" i="15"/>
  <c r="C23" i="67" l="1"/>
  <c r="C29" i="67" s="1"/>
  <c r="C19" i="82"/>
  <c r="C20" i="82" s="1"/>
  <c r="C26" i="82" s="1"/>
  <c r="C19" i="81"/>
  <c r="C20" i="81" s="1"/>
  <c r="C26" i="81" s="1"/>
  <c r="C23" i="15"/>
  <c r="C29" i="15" s="1"/>
  <c r="C33" i="11"/>
  <c r="C39" i="11" s="1"/>
  <c r="C31" i="69"/>
  <c r="C41" i="69"/>
  <c r="C16" i="12"/>
  <c r="C33" i="68"/>
  <c r="J33" i="68" s="1"/>
  <c r="AM4" i="78" s="1"/>
  <c r="H27" i="6"/>
  <c r="R19" i="6"/>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AM5" i="78" l="1"/>
  <c r="AL4" i="78"/>
  <c r="C42" i="68"/>
  <c r="J14" i="67"/>
  <c r="J22" i="67" s="1"/>
  <c r="J59" i="67"/>
  <c r="J60" i="67" s="1"/>
  <c r="Q48" i="67" s="1"/>
  <c r="C57" i="67"/>
  <c r="C64" i="67" s="1"/>
  <c r="C33" i="67"/>
  <c r="C31" i="67" s="1"/>
  <c r="J19" i="67"/>
  <c r="J17" i="67" s="1"/>
  <c r="C36" i="67"/>
  <c r="C13" i="67"/>
  <c r="C37" i="67" s="1"/>
  <c r="Q49" i="67"/>
  <c r="C61" i="67"/>
  <c r="C59" i="67" s="1"/>
  <c r="C23" i="82"/>
  <c r="C29" i="82" s="1"/>
  <c r="C57" i="82" s="1"/>
  <c r="C57" i="15"/>
  <c r="Q49" i="15"/>
  <c r="J14" i="15"/>
  <c r="C36" i="15"/>
  <c r="C13" i="15"/>
  <c r="J19" i="15"/>
  <c r="C23" i="81"/>
  <c r="C29" i="81" s="1"/>
  <c r="C42" i="11"/>
  <c r="C49" i="69"/>
  <c r="C51" i="69" s="1"/>
  <c r="C52" i="69" s="1"/>
  <c r="B2" i="69" s="1"/>
  <c r="B3" i="69" s="1"/>
  <c r="C39" i="68"/>
  <c r="C43" i="68" s="1"/>
  <c r="C46" i="11"/>
  <c r="C45" i="11" s="1"/>
  <c r="C43" i="11"/>
  <c r="R27" i="6"/>
  <c r="R6" i="1"/>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81"/>
  <c r="F35" i="82"/>
  <c r="M21" i="81"/>
  <c r="M21" i="82"/>
  <c r="J13" i="67" l="1"/>
  <c r="J23" i="67" s="1"/>
  <c r="AM6" i="78"/>
  <c r="AL5" i="78"/>
  <c r="C41" i="68"/>
  <c r="C75" i="67"/>
  <c r="C56" i="67"/>
  <c r="C65" i="67" s="1"/>
  <c r="C30" i="67"/>
  <c r="C39" i="67" s="1"/>
  <c r="Q69" i="67" s="1"/>
  <c r="Q70" i="67"/>
  <c r="J16" i="67"/>
  <c r="J25" i="67" s="1"/>
  <c r="C58" i="67"/>
  <c r="C67" i="67" s="1"/>
  <c r="C68" i="67" s="1"/>
  <c r="J19" i="82"/>
  <c r="C13" i="82"/>
  <c r="C75" i="82" s="1"/>
  <c r="J14" i="82"/>
  <c r="J13" i="82" s="1"/>
  <c r="J23" i="82" s="1"/>
  <c r="Q49" i="82"/>
  <c r="C36" i="82"/>
  <c r="C36" i="81"/>
  <c r="J14" i="81"/>
  <c r="Q49" i="81"/>
  <c r="C57" i="81"/>
  <c r="J19" i="81"/>
  <c r="C13" i="81"/>
  <c r="C56" i="15"/>
  <c r="C65" i="15" s="1"/>
  <c r="Q70" i="15"/>
  <c r="C75" i="15"/>
  <c r="C37" i="15"/>
  <c r="J13" i="15"/>
  <c r="J23" i="15" s="1"/>
  <c r="J22" i="15"/>
  <c r="C61" i="15"/>
  <c r="C64" i="15"/>
  <c r="C64" i="82"/>
  <c r="C61" i="82"/>
  <c r="C41" i="11"/>
  <c r="C49" i="11" s="1"/>
  <c r="C51" i="11" s="1"/>
  <c r="C52" i="11" s="1"/>
  <c r="B2" i="11" s="1"/>
  <c r="B3" i="11" s="1"/>
  <c r="F63" i="82"/>
  <c r="C62" i="82" s="1"/>
  <c r="C34" i="82"/>
  <c r="C31" i="82" s="1"/>
  <c r="J20" i="82"/>
  <c r="J20" i="81"/>
  <c r="J17" i="81" s="1"/>
  <c r="F63" i="81"/>
  <c r="C62" i="81" s="1"/>
  <c r="C34" i="81"/>
  <c r="C31" i="81" s="1"/>
  <c r="J20" i="15"/>
  <c r="J17" i="15" s="1"/>
  <c r="F63" i="15"/>
  <c r="C62" i="15" s="1"/>
  <c r="C59" i="15" s="1"/>
  <c r="C34" i="15"/>
  <c r="C31" i="15" s="1"/>
  <c r="C30" i="15" s="1"/>
  <c r="C39" i="15" s="1"/>
  <c r="R16" i="1"/>
  <c r="C46" i="68"/>
  <c r="C45" i="68"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L51" i="15"/>
  <c r="AM7" i="78" l="1"/>
  <c r="AL6" i="78"/>
  <c r="C49" i="68"/>
  <c r="C51" i="68" s="1"/>
  <c r="F35" i="9" s="1"/>
  <c r="Q68" i="67"/>
  <c r="C40" i="67"/>
  <c r="C45" i="67" s="1"/>
  <c r="C46" i="67" s="1"/>
  <c r="C80" i="67"/>
  <c r="C79" i="67" s="1"/>
  <c r="L57" i="67"/>
  <c r="L60" i="67" s="1"/>
  <c r="L46" i="67" s="1"/>
  <c r="Q67" i="67"/>
  <c r="C71" i="67"/>
  <c r="Q70" i="82"/>
  <c r="C37" i="82"/>
  <c r="C30" i="82" s="1"/>
  <c r="C39" i="82" s="1"/>
  <c r="C40" i="82" s="1"/>
  <c r="J17" i="82"/>
  <c r="J22" i="82"/>
  <c r="C59" i="82"/>
  <c r="C58" i="15"/>
  <c r="C67" i="15" s="1"/>
  <c r="C68" i="15" s="1"/>
  <c r="C71" i="15" s="1"/>
  <c r="C56" i="82"/>
  <c r="C65" i="82" s="1"/>
  <c r="J16" i="15"/>
  <c r="J25" i="15" s="1"/>
  <c r="C75" i="81"/>
  <c r="C37" i="81"/>
  <c r="C30" i="81" s="1"/>
  <c r="C39" i="81" s="1"/>
  <c r="Q70" i="81"/>
  <c r="C56" i="81"/>
  <c r="C65" i="81" s="1"/>
  <c r="C64" i="81"/>
  <c r="C61" i="81"/>
  <c r="C59" i="81" s="1"/>
  <c r="J13" i="81"/>
  <c r="J23" i="81" s="1"/>
  <c r="J22" i="81"/>
  <c r="Q67" i="15"/>
  <c r="L57" i="15"/>
  <c r="L60" i="15" s="1"/>
  <c r="C80" i="15"/>
  <c r="C79" i="15" s="1"/>
  <c r="Q69" i="15"/>
  <c r="Q68" i="15" s="1"/>
  <c r="C40" i="15"/>
  <c r="C56" i="11"/>
  <c r="C57" i="11" s="1"/>
  <c r="M69" i="39"/>
  <c r="N67" i="39"/>
  <c r="R39" i="35"/>
  <c r="E38" i="35"/>
  <c r="M63" i="40"/>
  <c r="L65" i="40"/>
  <c r="L51" i="82"/>
  <c r="L51" i="81"/>
  <c r="AM8" i="78" l="1"/>
  <c r="AM9" i="78" s="1"/>
  <c r="AM10" i="78" s="1"/>
  <c r="AM11" i="78" s="1"/>
  <c r="AL7" i="78"/>
  <c r="I51" i="68"/>
  <c r="C83" i="67"/>
  <c r="C82" i="67" s="1"/>
  <c r="Q47" i="67"/>
  <c r="Q53" i="67" s="1"/>
  <c r="D2" i="67"/>
  <c r="B2" i="67" s="1"/>
  <c r="Q57" i="67"/>
  <c r="Q56" i="67"/>
  <c r="Q65" i="67"/>
  <c r="C43" i="67"/>
  <c r="Q66" i="67"/>
  <c r="Q75" i="67" s="1"/>
  <c r="C46" i="15"/>
  <c r="J16" i="82"/>
  <c r="J25" i="82" s="1"/>
  <c r="Q69" i="82"/>
  <c r="Q68" i="82" s="1"/>
  <c r="C80" i="82"/>
  <c r="C79" i="82" s="1"/>
  <c r="C58" i="82"/>
  <c r="C67" i="82" s="1"/>
  <c r="C68" i="82" s="1"/>
  <c r="C71" i="82" s="1"/>
  <c r="J16" i="81"/>
  <c r="J25" i="81" s="1"/>
  <c r="C58" i="81"/>
  <c r="C67" i="81" s="1"/>
  <c r="C68" i="81" s="1"/>
  <c r="C71" i="81" s="1"/>
  <c r="Q69" i="81"/>
  <c r="Q68" i="81" s="1"/>
  <c r="C80" i="81"/>
  <c r="C79" i="81" s="1"/>
  <c r="C40" i="81"/>
  <c r="Q47" i="81" s="1"/>
  <c r="Q53" i="81" s="1"/>
  <c r="Q67" i="82"/>
  <c r="Q47" i="82"/>
  <c r="Q53" i="82" s="1"/>
  <c r="B2" i="82"/>
  <c r="Q65" i="82"/>
  <c r="Q75" i="82" s="1"/>
  <c r="Q56" i="82"/>
  <c r="Q62" i="82" s="1"/>
  <c r="C43" i="82"/>
  <c r="C83" i="82"/>
  <c r="C82" i="82" s="1"/>
  <c r="Q67" i="81"/>
  <c r="Q65" i="15"/>
  <c r="Q47" i="15"/>
  <c r="Q53" i="15" s="1"/>
  <c r="Q56" i="15"/>
  <c r="C43" i="15"/>
  <c r="C83" i="15"/>
  <c r="C82" i="15" s="1"/>
  <c r="L46" i="15"/>
  <c r="B2" i="15" s="1"/>
  <c r="Q57" i="15"/>
  <c r="Q66" i="15"/>
  <c r="O67" i="39"/>
  <c r="O69" i="39" s="1"/>
  <c r="N69" i="39"/>
  <c r="F7" i="39" s="1"/>
  <c r="C39" i="35"/>
  <c r="B2" i="35" s="1"/>
  <c r="B3" i="35" s="1"/>
  <c r="C38" i="35"/>
  <c r="M65" i="40"/>
  <c r="E43" i="35"/>
  <c r="F43" i="35" s="1"/>
  <c r="E42" i="35"/>
  <c r="F42" i="35" s="1"/>
  <c r="I43" i="35"/>
  <c r="J43" i="35" s="1"/>
  <c r="AO6" i="1"/>
  <c r="AO8" i="1"/>
  <c r="AM12" i="78" l="1"/>
  <c r="AL11" i="78"/>
  <c r="Q62" i="67"/>
  <c r="B3" i="67"/>
  <c r="Q62" i="15"/>
  <c r="C46" i="82"/>
  <c r="C46" i="81"/>
  <c r="C43" i="81"/>
  <c r="Q65" i="81"/>
  <c r="Q75" i="81" s="1"/>
  <c r="C83" i="81"/>
  <c r="C82" i="81" s="1"/>
  <c r="Q56" i="81"/>
  <c r="Q62" i="81" s="1"/>
  <c r="B2" i="81"/>
  <c r="B3" i="81" s="1"/>
  <c r="B8" i="70"/>
  <c r="H8" i="70" s="1"/>
  <c r="B3" i="82"/>
  <c r="Q75" i="15"/>
  <c r="B6" i="70"/>
  <c r="B3" i="15"/>
  <c r="H7" i="39"/>
  <c r="J7" i="39"/>
  <c r="S7" i="39"/>
  <c r="AA7" i="39"/>
  <c r="R47" i="39" s="1"/>
  <c r="O65" i="40"/>
  <c r="N65" i="40"/>
  <c r="AO7" i="1"/>
  <c r="AM13" i="78" l="1"/>
  <c r="AL12" i="78"/>
  <c r="H6" i="70"/>
  <c r="B7" i="70"/>
  <c r="W7" i="39"/>
  <c r="AC7" i="39"/>
  <c r="V47" i="39" s="1"/>
  <c r="I47" i="39" s="1"/>
  <c r="E47" i="39"/>
  <c r="R48" i="39"/>
  <c r="U7" i="39"/>
  <c r="AB7" i="39"/>
  <c r="T47" i="39" s="1"/>
  <c r="G47" i="39" s="1"/>
  <c r="J7" i="40"/>
  <c r="F7" i="40"/>
  <c r="H7" i="40"/>
  <c r="AM14" i="78" l="1"/>
  <c r="AL13" i="78"/>
  <c r="B2" i="70"/>
  <c r="J7" i="70" s="1"/>
  <c r="H7"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M15" i="78" l="1"/>
  <c r="AL14" i="78"/>
  <c r="B3" i="70"/>
  <c r="J6" i="70"/>
  <c r="J8" i="70" s="1"/>
  <c r="D21" i="9"/>
  <c r="D102"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AM16" i="78" l="1"/>
  <c r="AL15" i="78"/>
  <c r="D103" i="9"/>
  <c r="C42" i="40"/>
  <c r="C43" i="40"/>
  <c r="E47" i="40"/>
  <c r="F47" i="40" s="1"/>
  <c r="E46" i="40"/>
  <c r="F46" i="40" s="1"/>
  <c r="I47" i="40"/>
  <c r="J47" i="40" s="1"/>
  <c r="AM17" i="78" l="1"/>
  <c r="AL16" i="78"/>
  <c r="B58" i="40"/>
  <c r="F58" i="40" s="1"/>
  <c r="AB4" i="78" s="1"/>
  <c r="B54" i="40"/>
  <c r="F54" i="40" s="1"/>
  <c r="B53" i="40"/>
  <c r="F53" i="40" s="1"/>
  <c r="B59" i="40"/>
  <c r="F59" i="40" s="1"/>
  <c r="B52" i="40"/>
  <c r="F52" i="40" s="1"/>
  <c r="B56" i="40"/>
  <c r="F56" i="40" s="1"/>
  <c r="B60" i="40"/>
  <c r="F60" i="40" s="1"/>
  <c r="B57" i="40"/>
  <c r="F57" i="40" s="1"/>
  <c r="AA4" i="78" s="1"/>
  <c r="B51" i="40"/>
  <c r="F51" i="40" s="1"/>
  <c r="Z4" i="78" s="1"/>
  <c r="AM18" i="78" l="1"/>
  <c r="AL17" i="78"/>
  <c r="AD4" i="78"/>
  <c r="F61" i="40"/>
  <c r="B2" i="40" s="1"/>
  <c r="AM19" i="78" l="1"/>
  <c r="AL18" i="78"/>
  <c r="B3" i="40"/>
  <c r="K119" i="9"/>
  <c r="C6" i="68"/>
  <c r="C7" i="68" s="1"/>
  <c r="C8" i="68"/>
  <c r="C18" i="12"/>
  <c r="C21" i="12" s="1"/>
  <c r="AM20" i="78" l="1"/>
  <c r="AL19" i="78"/>
  <c r="C5" i="68"/>
  <c r="C20" i="68" s="1"/>
  <c r="C25" i="68" s="1"/>
  <c r="C22" i="12"/>
  <c r="C27" i="12" s="1"/>
  <c r="C25" i="12" s="1"/>
  <c r="AM21" i="78" l="1"/>
  <c r="AL20" i="78"/>
  <c r="C23" i="68"/>
  <c r="C22" i="68" s="1"/>
  <c r="C28" i="68"/>
  <c r="C27" i="68" s="1"/>
  <c r="C30" i="12"/>
  <c r="C28" i="12" s="1"/>
  <c r="C32" i="12" s="1"/>
  <c r="B2" i="12" s="1"/>
  <c r="B3" i="12" s="1"/>
  <c r="AM22" i="78" l="1"/>
  <c r="AL21" i="78"/>
  <c r="C31" i="68"/>
  <c r="C52" i="68" s="1"/>
  <c r="B2" i="68" s="1"/>
  <c r="B3" i="68" s="1"/>
  <c r="C20" i="9"/>
  <c r="C19" i="9"/>
  <c r="AM23" i="78" l="1"/>
  <c r="AL22" i="78"/>
  <c r="D22" i="9"/>
  <c r="C21" i="9"/>
  <c r="C102" i="9"/>
  <c r="G19" i="9"/>
  <c r="W68" i="78" s="1"/>
  <c r="C57" i="68"/>
  <c r="G20" i="9"/>
  <c r="C103" i="9"/>
  <c r="AM24" i="78" l="1"/>
  <c r="AL23" i="78"/>
  <c r="G21" i="9"/>
  <c r="F34" i="9"/>
  <c r="C32" i="9"/>
  <c r="C56" i="68"/>
  <c r="AM25" i="78" l="1"/>
  <c r="AL24" i="78"/>
  <c r="H118" i="9"/>
  <c r="AG4" i="78" s="1"/>
  <c r="AM26" i="78" l="1"/>
  <c r="AL25" i="78"/>
  <c r="C104" i="9"/>
  <c r="I118" i="9"/>
  <c r="H101" i="9"/>
  <c r="H4" i="52"/>
  <c r="D14" i="74"/>
  <c r="AN4" i="78" s="1"/>
  <c r="AJ4" i="78" s="1"/>
  <c r="H119" i="9"/>
  <c r="H5" i="52" s="1"/>
  <c r="AM27" i="78" l="1"/>
  <c r="AL26" i="78"/>
  <c r="AP4" i="78"/>
  <c r="AQ4" i="78"/>
  <c r="E14" i="74"/>
  <c r="AO4" i="78" s="1"/>
  <c r="B5" i="74"/>
  <c r="F14" i="74"/>
  <c r="D5" i="53"/>
  <c r="H107" i="9"/>
  <c r="M48" i="9"/>
  <c r="D45" i="9"/>
  <c r="C105" i="9"/>
  <c r="H102" i="9"/>
  <c r="D7" i="53" s="1"/>
  <c r="B21" i="72" s="1"/>
  <c r="I4" i="52"/>
  <c r="AP12" i="78" l="1"/>
  <c r="AP15" i="78"/>
  <c r="AM28" i="78"/>
  <c r="AM29" i="78" s="1"/>
  <c r="AM30" i="78" s="1"/>
  <c r="AL27" i="78"/>
  <c r="AP16" i="78"/>
  <c r="AQ65" i="78"/>
  <c r="AQ63" i="78"/>
  <c r="AQ61" i="78"/>
  <c r="AQ59" i="78"/>
  <c r="AQ57" i="78"/>
  <c r="AQ55" i="78"/>
  <c r="AQ66" i="78"/>
  <c r="AQ64" i="78"/>
  <c r="AQ62" i="78"/>
  <c r="AQ60" i="78"/>
  <c r="AQ58" i="78"/>
  <c r="AQ56" i="78"/>
  <c r="AQ51" i="78"/>
  <c r="AQ49" i="78"/>
  <c r="AQ47" i="78"/>
  <c r="AQ45" i="78"/>
  <c r="AQ43" i="78"/>
  <c r="AQ41" i="78"/>
  <c r="AQ39" i="78"/>
  <c r="AQ37" i="78"/>
  <c r="AQ35" i="78"/>
  <c r="AQ52" i="78"/>
  <c r="AQ50" i="78"/>
  <c r="AQ48" i="78"/>
  <c r="AQ46" i="78"/>
  <c r="AQ44" i="78"/>
  <c r="AQ42" i="78"/>
  <c r="AQ40" i="78"/>
  <c r="AQ38" i="78"/>
  <c r="AQ36" i="78"/>
  <c r="AQ34" i="78"/>
  <c r="AQ9" i="78"/>
  <c r="AQ28" i="78"/>
  <c r="AQ3" i="78"/>
  <c r="AQ8" i="78"/>
  <c r="AP65" i="78"/>
  <c r="AP63" i="78"/>
  <c r="AP61" i="78"/>
  <c r="AP59" i="78"/>
  <c r="AP57" i="78"/>
  <c r="AP55" i="78"/>
  <c r="AP66" i="78"/>
  <c r="AP64" i="78"/>
  <c r="AP62" i="78"/>
  <c r="AP60" i="78"/>
  <c r="AP58" i="78"/>
  <c r="AP56" i="78"/>
  <c r="AP30" i="78"/>
  <c r="AP51" i="78"/>
  <c r="AP49" i="78"/>
  <c r="AP47" i="78"/>
  <c r="AP45" i="78"/>
  <c r="AP43" i="78"/>
  <c r="AP41" i="78"/>
  <c r="AP39" i="78"/>
  <c r="AP37" i="78"/>
  <c r="AP35" i="78"/>
  <c r="AP33" i="78"/>
  <c r="AP52" i="78"/>
  <c r="AP50" i="78"/>
  <c r="AP48" i="78"/>
  <c r="AP46" i="78"/>
  <c r="AP44" i="78"/>
  <c r="AP42" i="78"/>
  <c r="AP40" i="78"/>
  <c r="AP38" i="78"/>
  <c r="AP36" i="78"/>
  <c r="AP34" i="78"/>
  <c r="AP32" i="78"/>
  <c r="AP25" i="78"/>
  <c r="AP23" i="78"/>
  <c r="AP21" i="78"/>
  <c r="AP19" i="78"/>
  <c r="AP17" i="78"/>
  <c r="AP13" i="78"/>
  <c r="AP11" i="78"/>
  <c r="AP26" i="78"/>
  <c r="AP24" i="78"/>
  <c r="AP22" i="78"/>
  <c r="AP20" i="78"/>
  <c r="AP18" i="78"/>
  <c r="AP14" i="78"/>
  <c r="AP5" i="78"/>
  <c r="AP6" i="78"/>
  <c r="AP3" i="78"/>
  <c r="AR4" i="78"/>
  <c r="D52" i="9"/>
  <c r="C93" i="9"/>
  <c r="C86" i="9" s="1"/>
  <c r="D55" i="9"/>
  <c r="M53" i="9" s="1"/>
  <c r="C72" i="9"/>
  <c r="C85" i="9"/>
  <c r="D53" i="9"/>
  <c r="C78" i="9"/>
  <c r="C73" i="9" s="1"/>
  <c r="C64" i="9"/>
  <c r="C63" i="9" s="1"/>
  <c r="C67" i="9" s="1"/>
  <c r="D122" i="9"/>
  <c r="H108" i="9"/>
  <c r="D15" i="53" s="1"/>
  <c r="B31" i="72" s="1"/>
  <c r="D13" i="53"/>
  <c r="M49" i="9"/>
  <c r="B20" i="72"/>
  <c r="D6" i="53"/>
  <c r="B22" i="72" s="1"/>
  <c r="C5" i="74"/>
  <c r="D5" i="74"/>
  <c r="AM31" i="78" l="1"/>
  <c r="AM32" i="78" s="1"/>
  <c r="AL30" i="78"/>
  <c r="AR53" i="78"/>
  <c r="AR67" i="78"/>
  <c r="AR7" i="78"/>
  <c r="AR27" i="78"/>
  <c r="AN60" i="78"/>
  <c r="AR3" i="78"/>
  <c r="AN66" i="78"/>
  <c r="AN64" i="78"/>
  <c r="AN56" i="78"/>
  <c r="AN51" i="78"/>
  <c r="AN49" i="78"/>
  <c r="AN47" i="78"/>
  <c r="AN45" i="78"/>
  <c r="AN43" i="78"/>
  <c r="AN41" i="78"/>
  <c r="AN39" i="78"/>
  <c r="AN37" i="78"/>
  <c r="AN35" i="78"/>
  <c r="AN33" i="78"/>
  <c r="AN52" i="78"/>
  <c r="AN50" i="78"/>
  <c r="AN48" i="78"/>
  <c r="AN46" i="78"/>
  <c r="AN44" i="78"/>
  <c r="AN42" i="78"/>
  <c r="AN40" i="78"/>
  <c r="AN38" i="78"/>
  <c r="AN36" i="78"/>
  <c r="AN34" i="78"/>
  <c r="AN32" i="78"/>
  <c r="AN30" i="78"/>
  <c r="AN25" i="78"/>
  <c r="AN23" i="78"/>
  <c r="AN21" i="78"/>
  <c r="AN19" i="78"/>
  <c r="AN17" i="78"/>
  <c r="AN15" i="78"/>
  <c r="AN13" i="78"/>
  <c r="AN11" i="78"/>
  <c r="AN26" i="78"/>
  <c r="AN24" i="78"/>
  <c r="AN22" i="78"/>
  <c r="AN20" i="78"/>
  <c r="AN18" i="78"/>
  <c r="AN16" i="78"/>
  <c r="AN14" i="78"/>
  <c r="AN12" i="78"/>
  <c r="AN6" i="78"/>
  <c r="C95" i="9"/>
  <c r="C96" i="9" s="1"/>
  <c r="E96" i="9" s="1"/>
  <c r="E97" i="9" s="1"/>
  <c r="B30" i="72"/>
  <c r="D14" i="53"/>
  <c r="B32" i="72" s="1"/>
  <c r="G14" i="74"/>
  <c r="B6" i="74" s="1"/>
  <c r="D8" i="52"/>
  <c r="D123" i="9"/>
  <c r="D9" i="52" s="1"/>
  <c r="C97" i="9"/>
  <c r="D58" i="9" s="1"/>
  <c r="D56" i="9" s="1"/>
  <c r="M54" i="9" s="1"/>
  <c r="L66" i="9"/>
  <c r="M66" i="9" s="1"/>
  <c r="L68" i="9"/>
  <c r="M68" i="9" s="1"/>
  <c r="L65" i="9"/>
  <c r="M65" i="9" s="1"/>
  <c r="L67" i="9"/>
  <c r="M67" i="9" s="1"/>
  <c r="L64" i="9"/>
  <c r="M64" i="9" s="1"/>
  <c r="L63" i="9"/>
  <c r="M63" i="9" s="1"/>
  <c r="C68" i="9"/>
  <c r="D54" i="9" s="1"/>
  <c r="D59" i="9"/>
  <c r="M55" i="9" s="1"/>
  <c r="C79" i="9"/>
  <c r="AM33" i="78" l="1"/>
  <c r="AL32" i="78"/>
  <c r="AO6" i="78"/>
  <c r="AK6" i="78" s="1"/>
  <c r="AJ6" i="78"/>
  <c r="AO14" i="78"/>
  <c r="AK14" i="78" s="1"/>
  <c r="AJ14" i="78"/>
  <c r="AO18" i="78"/>
  <c r="AK18" i="78" s="1"/>
  <c r="AJ18" i="78"/>
  <c r="AO22" i="78"/>
  <c r="AK22" i="78" s="1"/>
  <c r="AJ22" i="78"/>
  <c r="AO26" i="78"/>
  <c r="AK26" i="78" s="1"/>
  <c r="AJ26" i="78"/>
  <c r="AO13" i="78"/>
  <c r="AK13" i="78" s="1"/>
  <c r="AJ13" i="78"/>
  <c r="AO17" i="78"/>
  <c r="AK17" i="78" s="1"/>
  <c r="AJ17" i="78"/>
  <c r="AO21" i="78"/>
  <c r="AK21" i="78" s="1"/>
  <c r="AJ21" i="78"/>
  <c r="AO25" i="78"/>
  <c r="AK25" i="78" s="1"/>
  <c r="AJ25" i="78"/>
  <c r="AO32" i="78"/>
  <c r="AK32" i="78" s="1"/>
  <c r="AJ32" i="78"/>
  <c r="AO36" i="78"/>
  <c r="AO40" i="78"/>
  <c r="AO44" i="78"/>
  <c r="AO48" i="78"/>
  <c r="AO52" i="78"/>
  <c r="AO35" i="78"/>
  <c r="AO39" i="78"/>
  <c r="AO43" i="78"/>
  <c r="AO47" i="78"/>
  <c r="AO51" i="78"/>
  <c r="AO12" i="78"/>
  <c r="AK12" i="78" s="1"/>
  <c r="AJ12" i="78"/>
  <c r="AO16" i="78"/>
  <c r="AK16" i="78" s="1"/>
  <c r="AJ16" i="78"/>
  <c r="AO20" i="78"/>
  <c r="AK20" i="78" s="1"/>
  <c r="AJ20" i="78"/>
  <c r="AO24" i="78"/>
  <c r="AK24" i="78" s="1"/>
  <c r="AJ24" i="78"/>
  <c r="AO11" i="78"/>
  <c r="AK11" i="78" s="1"/>
  <c r="AJ11" i="78"/>
  <c r="AO15" i="78"/>
  <c r="AK15" i="78" s="1"/>
  <c r="AJ15" i="78"/>
  <c r="AO19" i="78"/>
  <c r="AK19" i="78" s="1"/>
  <c r="AJ19" i="78"/>
  <c r="AO23" i="78"/>
  <c r="AK23" i="78" s="1"/>
  <c r="AJ23" i="78"/>
  <c r="AO30" i="78"/>
  <c r="AK30" i="78" s="1"/>
  <c r="AJ30" i="78"/>
  <c r="AO34" i="78"/>
  <c r="AO38" i="78"/>
  <c r="AO42" i="78"/>
  <c r="AO46" i="78"/>
  <c r="AO50" i="78"/>
  <c r="AO33" i="78"/>
  <c r="AO37" i="78"/>
  <c r="AO41" i="78"/>
  <c r="AO45" i="78"/>
  <c r="AO49" i="78"/>
  <c r="AN59" i="78"/>
  <c r="AN63" i="78"/>
  <c r="AN57" i="78"/>
  <c r="AN61" i="78"/>
  <c r="AN65" i="78"/>
  <c r="AN58" i="78"/>
  <c r="AN62" i="78"/>
  <c r="AN55" i="78"/>
  <c r="AO56" i="78"/>
  <c r="AO60" i="78"/>
  <c r="AO64" i="78"/>
  <c r="AN53" i="78"/>
  <c r="AN7" i="78"/>
  <c r="AN27" i="78"/>
  <c r="M69" i="9"/>
  <c r="N69" i="9" s="1"/>
  <c r="N57" i="9"/>
  <c r="N58" i="9" s="1"/>
  <c r="C80" i="9"/>
  <c r="E80" i="9" s="1"/>
  <c r="E81" i="9" s="1"/>
  <c r="C6" i="74"/>
  <c r="D6" i="74"/>
  <c r="AK33" i="78" l="1"/>
  <c r="AM34" i="78"/>
  <c r="AL33" i="78"/>
  <c r="AJ33" i="78" s="1"/>
  <c r="AO55" i="78"/>
  <c r="AO62" i="78"/>
  <c r="AO58" i="78"/>
  <c r="AO65" i="78"/>
  <c r="AO61" i="78"/>
  <c r="AO57" i="78"/>
  <c r="AO63" i="78"/>
  <c r="AO59" i="78"/>
  <c r="AO27" i="78"/>
  <c r="AK27" i="78" s="1"/>
  <c r="AJ27" i="78"/>
  <c r="AO7" i="78"/>
  <c r="AK7" i="78" s="1"/>
  <c r="AJ7" i="78"/>
  <c r="AO53" i="78"/>
  <c r="AN67" i="78"/>
  <c r="AO66" i="78"/>
  <c r="C81" i="9"/>
  <c r="P57" i="9"/>
  <c r="N59" i="9"/>
  <c r="N60" i="9" s="1"/>
  <c r="AM35" i="78" l="1"/>
  <c r="AL34" i="78"/>
  <c r="AJ34" i="78" s="1"/>
  <c r="AK34" i="78"/>
  <c r="AO67" i="78"/>
  <c r="N61" i="9"/>
  <c r="D35" i="9"/>
  <c r="D34" i="9"/>
  <c r="AM36" i="78" l="1"/>
  <c r="AL35" i="78"/>
  <c r="AJ35" i="78" s="1"/>
  <c r="AK35" i="78"/>
  <c r="C35" i="9"/>
  <c r="AM37" i="78" l="1"/>
  <c r="AL36" i="78"/>
  <c r="AJ36" i="78" s="1"/>
  <c r="AK36" i="78"/>
  <c r="F118" i="9"/>
  <c r="C34" i="9"/>
  <c r="D118" i="9" s="1"/>
  <c r="K118" i="9" s="1"/>
  <c r="AM38" i="78" l="1"/>
  <c r="AL37" i="78"/>
  <c r="AJ37" i="78" s="1"/>
  <c r="AK37" i="78"/>
  <c r="AI4" i="78"/>
  <c r="D119" i="9"/>
  <c r="D5" i="52" s="1"/>
  <c r="B49" i="72" s="1"/>
  <c r="D4" i="52"/>
  <c r="B47" i="72" s="1"/>
  <c r="F4" i="52"/>
  <c r="B51" i="72" s="1"/>
  <c r="F119" i="9"/>
  <c r="F5" i="52" s="1"/>
  <c r="B53" i="72" s="1"/>
  <c r="AH4" i="78"/>
  <c r="Z9" i="78" s="1"/>
  <c r="G118" i="9"/>
  <c r="AM39" i="78" l="1"/>
  <c r="AL38" i="78"/>
  <c r="AJ38" i="78" s="1"/>
  <c r="AK38" i="78"/>
  <c r="V8" i="78"/>
  <c r="V31" i="78"/>
  <c r="V10" i="78"/>
  <c r="V54" i="78"/>
  <c r="V29" i="78"/>
  <c r="G4" i="52"/>
  <c r="B52" i="72" s="1"/>
  <c r="E118" i="9"/>
  <c r="E4" i="52" s="1"/>
  <c r="B48" i="72" s="1"/>
  <c r="AB6" i="78"/>
  <c r="AB7" i="78" s="1"/>
  <c r="Z6" i="78"/>
  <c r="Z7" i="78" s="1"/>
  <c r="AA6" i="78"/>
  <c r="AA7" i="78" s="1"/>
  <c r="AM40" i="78" l="1"/>
  <c r="AL39" i="78"/>
  <c r="AJ39" i="78" s="1"/>
  <c r="AK39" i="78"/>
  <c r="V28" i="78"/>
  <c r="V9" i="78"/>
  <c r="V67" i="78"/>
  <c r="V7" i="78"/>
  <c r="X10" i="78" s="1"/>
  <c r="Z10" i="78" s="1"/>
  <c r="V27" i="78"/>
  <c r="V53" i="78"/>
  <c r="X54" i="78" s="1"/>
  <c r="V12" i="78"/>
  <c r="V6" i="78"/>
  <c r="V62" i="78"/>
  <c r="V11" i="78"/>
  <c r="V41" i="78"/>
  <c r="V50" i="78"/>
  <c r="V55" i="78"/>
  <c r="V37" i="78"/>
  <c r="V15" i="78"/>
  <c r="V34" i="78"/>
  <c r="V65" i="78"/>
  <c r="V57" i="78"/>
  <c r="V47" i="78"/>
  <c r="V39" i="78"/>
  <c r="V25" i="78"/>
  <c r="V17" i="78"/>
  <c r="V5" i="78"/>
  <c r="V42" i="78"/>
  <c r="V56" i="78"/>
  <c r="V38" i="78"/>
  <c r="V20" i="78"/>
  <c r="V66" i="78"/>
  <c r="V52" i="78"/>
  <c r="V44" i="78"/>
  <c r="V36" i="78"/>
  <c r="V26" i="78"/>
  <c r="V18" i="78"/>
  <c r="V16" i="78"/>
  <c r="V14" i="78"/>
  <c r="V33" i="78"/>
  <c r="V49" i="78"/>
  <c r="V59" i="78"/>
  <c r="V19" i="78"/>
  <c r="V63" i="78"/>
  <c r="V45" i="78"/>
  <c r="V23" i="78"/>
  <c r="V64" i="78"/>
  <c r="V61" i="78"/>
  <c r="V51" i="78"/>
  <c r="V43" i="78"/>
  <c r="V35" i="78"/>
  <c r="V21" i="78"/>
  <c r="V13" i="78"/>
  <c r="V60" i="78"/>
  <c r="V24" i="78"/>
  <c r="V46" i="78"/>
  <c r="V30" i="78"/>
  <c r="X31" i="78" s="1"/>
  <c r="V58" i="78"/>
  <c r="V48" i="78"/>
  <c r="V40" i="78"/>
  <c r="V32" i="78"/>
  <c r="V22" i="78"/>
  <c r="AM41" i="78" l="1"/>
  <c r="AL40" i="78"/>
  <c r="AJ40" i="78" s="1"/>
  <c r="AK40" i="78"/>
  <c r="X29" i="78"/>
  <c r="Z29" i="78" s="1"/>
  <c r="V68" i="78"/>
  <c r="AN5" i="78"/>
  <c r="AO5" i="78" s="1"/>
  <c r="AM42" i="78" l="1"/>
  <c r="AL41" i="78"/>
  <c r="AJ41" i="78" s="1"/>
  <c r="AK41" i="78"/>
  <c r="AJ5" i="78"/>
  <c r="AM43" i="78" l="1"/>
  <c r="AL42" i="78"/>
  <c r="AJ42" i="78" s="1"/>
  <c r="AK42" i="78"/>
  <c r="AK5" i="78"/>
  <c r="AM44" i="78" l="1"/>
  <c r="AL43" i="78"/>
  <c r="AJ43" i="78" s="1"/>
  <c r="AK43" i="78"/>
  <c r="AM45" i="78" l="1"/>
  <c r="AL44" i="78"/>
  <c r="AJ44" i="78" s="1"/>
  <c r="AK44" i="78"/>
  <c r="AM46" i="78" l="1"/>
  <c r="AL45" i="78"/>
  <c r="AJ45" i="78" s="1"/>
  <c r="AK45" i="78"/>
  <c r="AM47" i="78" l="1"/>
  <c r="AL46" i="78"/>
  <c r="AJ46" i="78" s="1"/>
  <c r="AK46" i="78"/>
  <c r="AM48" i="78" l="1"/>
  <c r="AL47" i="78"/>
  <c r="AJ47" i="78" s="1"/>
  <c r="AK47" i="78"/>
  <c r="AM49" i="78" l="1"/>
  <c r="AL48" i="78"/>
  <c r="AJ48" i="78" s="1"/>
  <c r="AK48" i="78"/>
  <c r="AM50" i="78" l="1"/>
  <c r="AL49" i="78"/>
  <c r="AJ49" i="78" s="1"/>
  <c r="AK49" i="78"/>
  <c r="AM51" i="78" l="1"/>
  <c r="AL50" i="78"/>
  <c r="AJ50" i="78" s="1"/>
  <c r="AK50" i="78"/>
  <c r="AM52" i="78" l="1"/>
  <c r="AL51" i="78"/>
  <c r="AJ51" i="78" s="1"/>
  <c r="AK51" i="78"/>
  <c r="AM53" i="78" l="1"/>
  <c r="AL52" i="78"/>
  <c r="AJ52" i="78" s="1"/>
  <c r="AK52" i="78"/>
  <c r="AM54" i="78" l="1"/>
  <c r="AM55" i="78" s="1"/>
  <c r="AL53" i="78"/>
  <c r="AJ53" i="78" s="1"/>
  <c r="AK53" i="78"/>
  <c r="AM56" i="78" l="1"/>
  <c r="AL55" i="78"/>
  <c r="AJ55" i="78" s="1"/>
  <c r="AK55" i="78"/>
  <c r="AM57" i="78" l="1"/>
  <c r="AL56" i="78"/>
  <c r="AJ56" i="78" s="1"/>
  <c r="AK56" i="78"/>
  <c r="AM58" i="78" l="1"/>
  <c r="AL57" i="78"/>
  <c r="AJ57" i="78" s="1"/>
  <c r="AK57" i="78"/>
  <c r="AM59" i="78" l="1"/>
  <c r="AL58" i="78"/>
  <c r="AJ58" i="78" s="1"/>
  <c r="AK58" i="78"/>
  <c r="AM60" i="78" l="1"/>
  <c r="AL59" i="78"/>
  <c r="AJ59" i="78" s="1"/>
  <c r="AK59" i="78"/>
  <c r="AM61" i="78" l="1"/>
  <c r="AL60" i="78"/>
  <c r="AJ60" i="78" s="1"/>
  <c r="AK60" i="78"/>
  <c r="AM62" i="78" l="1"/>
  <c r="AL61" i="78"/>
  <c r="AJ61" i="78" s="1"/>
  <c r="AK61" i="78"/>
  <c r="AM63" i="78" l="1"/>
  <c r="AL62" i="78"/>
  <c r="AJ62" i="78" s="1"/>
  <c r="AK62" i="78"/>
  <c r="AM64" i="78" l="1"/>
  <c r="AL63" i="78"/>
  <c r="AJ63" i="78" s="1"/>
  <c r="AK63" i="78"/>
  <c r="AM65" i="78" l="1"/>
  <c r="AL64" i="78"/>
  <c r="AJ64" i="78" s="1"/>
  <c r="AK64" i="78"/>
  <c r="AM66" i="78" l="1"/>
  <c r="AL65" i="78"/>
  <c r="AJ65" i="78" s="1"/>
  <c r="AK65" i="78"/>
  <c r="AM67" i="78" l="1"/>
  <c r="AL66" i="78"/>
  <c r="AJ66" i="78" s="1"/>
  <c r="AK66" i="78"/>
  <c r="AL67" i="78" l="1"/>
  <c r="AJ67" i="78" s="1"/>
  <c r="AK67"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<sst xmlns="http://schemas.openxmlformats.org/spreadsheetml/2006/main" count="10001" uniqueCount="3675">
  <si>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</si>
  <si>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</si>
  <si>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</si>
  <si>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</si>
  <si>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</si>
  <si>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</si>
  <si>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</si>
  <si>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</si>
  <si>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</si>
  <si>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</si>
  <si>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</si>
  <si>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</si>
  <si>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</si>
  <si>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</si>
  <si>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</si>
  <si>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</si>
  <si>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</si>
  <si>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</si>
  <si>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</si>
  <si>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</si>
  <si>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</si>
  <si>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</si>
  <si>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</si>
  <si>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</si>
  <si>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</si>
  <si>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</si>
  <si>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</si>
  <si>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</si>
  <si>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</si>
  <si>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</si>
  <si>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</si>
  <si>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</si>
  <si>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</si>
  <si>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</si>
  <si>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</si>
  <si>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</si>
  <si>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</si>
  <si>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</si>
  <si>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</si>
  <si>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</si>
  <si>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</si>
  <si>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</si>
  <si>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</si>
  <si>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</si>
  <si>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</si>
  <si>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</si>
  <si>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</si>
  <si>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</si>
  <si>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</si>
  <si>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</si>
  <si>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</si>
  <si>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</si>
  <si>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</si>
  <si>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</si>
  <si>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</si>
  <si>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</si>
  <si>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</si>
  <si>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</si>
  <si>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</si>
  <si>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</si>
  <si>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</si>
  <si>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</si>
  <si>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</si>
  <si>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</si>
  <si>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</si>
  <si>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</si>
  <si>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</si>
  <si>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</si>
  <si>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</si>
  <si>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</si>
  <si>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</si>
  <si>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</si>
  <si>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</si>
  <si>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</si>
  <si>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</si>
  <si>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</si>
  <si>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</si>
  <si>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</si>
  <si>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</si>
  <si>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</si>
  <si>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</si>
  <si>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</si>
  <si>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</si>
  <si>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</si>
  <si>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</si>
  <si>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</si>
  <si>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</si>
  <si>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</si>
  <si>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</si>
  <si>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</si>
  <si>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</si>
  <si>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</si>
  <si>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</si>
  <si>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</si>
  <si>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</si>
  <si>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</si>
  <si>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</si>
  <si>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</si>
  <si>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</si>
  <si>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</si>
  <si>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</si>
  <si>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</si>
  <si>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</si>
  <si>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</si>
  <si>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</si>
  <si>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</si>
  <si>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</si>
  <si>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</si>
  <si>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</si>
  <si>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</si>
  <si>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</si>
  <si>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</si>
  <si>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</si>
  <si>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</si>
  <si>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</si>
  <si>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</si>
  <si>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</si>
  <si>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</si>
  <si>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</si>
  <si>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</si>
  <si>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</si>
  <si>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</si>
  <si>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</si>
  <si>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</si>
  <si>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</si>
  <si>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</si>
  <si>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</si>
  <si>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</si>
  <si>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</si>
  <si>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</si>
  <si>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</si>
  <si>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</si>
  <si>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</si>
  <si>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</si>
  <si>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</si>
  <si>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</si>
  <si>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</si>
  <si>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</si>
  <si>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</si>
  <si>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</si>
  <si>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</si>
  <si>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</si>
  <si>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</si>
  <si>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</si>
  <si>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</si>
  <si>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</si>
  <si>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</si>
  <si>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</si>
  <si>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</si>
  <si>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</si>
  <si>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</si>
  <si>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</si>
  <si>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</si>
  <si>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</si>
  <si>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</si>
  <si>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</si>
  <si>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</si>
  <si>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</si>
  <si>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</si>
  <si>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</si>
  <si>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</si>
  <si>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</si>
  <si>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</si>
  <si>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</si>
  <si>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</si>
  <si>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</si>
  <si>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</si>
  <si>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</si>
  <si>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</si>
  <si>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</si>
  <si>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</si>
  <si>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</si>
  <si>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</si>
  <si>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</si>
  <si>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</si>
  <si>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</si>
  <si>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</si>
  <si>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</si>
  <si>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</si>
  <si>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</si>
  <si>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</si>
  <si>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</si>
  <si>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</si>
  <si>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</si>
  <si>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</si>
  <si>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</si>
  <si>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</si>
  <si>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</si>
  <si>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</si>
  <si>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</si>
  <si>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</si>
  <si>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</si>
  <si>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</si>
  <si>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</si>
  <si>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</si>
  <si>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</si>
  <si>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</si>
  <si>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</si>
  <si>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</si>
  <si>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</si>
  <si>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</si>
  <si>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</si>
  <si>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</si>
  <si>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</si>
  <si>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</si>
  <si>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</si>
  <si>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</si>
  <si>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</si>
  <si>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</si>
  <si>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</si>
  <si>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</si>
  <si>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</si>
  <si>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</si>
  <si>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</si>
  <si>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</si>
  <si>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</si>
  <si>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</si>
  <si>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</si>
  <si>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</si>
  <si>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</si>
  <si>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</si>
  <si>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</si>
  <si>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</si>
  <si>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</si>
  <si>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</si>
  <si>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</si>
  <si>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</si>
  <si>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</si>
  <si>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</si>
  <si>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</si>
  <si>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</si>
  <si>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</si>
  <si>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</si>
  <si>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</si>
  <si>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</si>
  <si>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</si>
  <si>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</si>
  <si>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</si>
  <si>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</si>
  <si>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</si>
  <si>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</si>
  <si>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</si>
  <si>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</si>
  <si>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</si>
  <si>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</si>
  <si>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</si>
  <si>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</si>
  <si>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</si>
  <si>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</si>
  <si>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</si>
  <si>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</si>
  <si>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</si>
  <si>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</si>
  <si>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</si>
  <si>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</si>
  <si>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</si>
  <si>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</si>
  <si>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</si>
  <si>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</si>
  <si>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</si>
  <si>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</si>
  <si>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</si>
  <si>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</si>
  <si>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</si>
  <si>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</si>
  <si>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</si>
  <si>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</si>
  <si>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</si>
  <si>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</si>
  <si>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</si>
  <si>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</si>
  <si>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</si>
  <si>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</si>
  <si>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</si>
  <si>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</si>
  <si>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</si>
  <si>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</si>
  <si>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</si>
  <si>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</si>
  <si>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</si>
  <si>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</si>
  <si>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</si>
  <si>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</si>
  <si>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</si>
  <si>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</si>
  <si>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</si>
  <si>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</si>
  <si>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</si>
  <si>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</si>
  <si>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</si>
  <si>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</si>
  <si>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</si>
  <si>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</si>
  <si>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</si>
  <si>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</si>
  <si>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</si>
  <si>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</si>
  <si>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</si>
  <si>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</si>
  <si>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</si>
  <si>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</si>
  <si>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</si>
  <si>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</si>
  <si>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</si>
  <si>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</si>
  <si>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</si>
  <si>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</si>
  <si>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</si>
  <si>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</si>
  <si>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</si>
  <si>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</si>
  <si>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</si>
  <si>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</si>
  <si>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</si>
  <si>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</si>
  <si>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</si>
  <si>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</si>
  <si>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</si>
  <si>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</si>
  <si>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</si>
  <si>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</si>
  <si>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</si>
  <si>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</si>
  <si>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</si>
  <si>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</si>
  <si>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</si>
  <si>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</si>
  <si>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</si>
  <si>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</si>
  <si>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</si>
  <si>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</si>
  <si>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</si>
  <si>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</si>
  <si>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</si>
  <si>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</si>
  <si>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</si>
  <si>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</si>
  <si>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</si>
  <si>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</si>
  <si>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</si>
  <si>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</si>
  <si>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</si>
  <si>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</si>
  <si>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</si>
  <si>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</si>
  <si>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</si>
  <si>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</si>
  <si>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</si>
  <si>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</si>
  <si>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</si>
  <si>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</si>
  <si>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</si>
  <si>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</si>
  <si>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</si>
  <si>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</si>
  <si>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</si>
  <si>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</si>
  <si>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</si>
  <si>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</si>
  <si>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</si>
  <si>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</si>
  <si>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</si>
  <si>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</si>
  <si>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</si>
  <si>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</si>
  <si>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</si>
  <si>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</si>
  <si>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</si>
  <si>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</si>
  <si>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</si>
  <si>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</si>
  <si>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</si>
  <si>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</si>
  <si>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</si>
  <si>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</si>
  <si>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</si>
  <si>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</si>
  <si>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</si>
  <si>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</si>
  <si>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</si>
  <si>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</si>
  <si>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</si>
  <si>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</si>
  <si>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</si>
  <si>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</si>
  <si>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</si>
  <si>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</si>
  <si>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</si>
  <si>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</si>
  <si>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</si>
  <si>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</si>
  <si>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</si>
  <si>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</si>
  <si>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</si>
  <si>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</si>
  <si>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</si>
  <si>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</si>
  <si>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</si>
  <si>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</si>
  <si>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</si>
  <si>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</si>
  <si>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</si>
  <si>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</si>
  <si>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</si>
  <si>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</si>
  <si>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</si>
  <si>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</si>
  <si>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</si>
  <si>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</si>
  <si>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</si>
  <si>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</si>
  <si>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</si>
  <si>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</si>
  <si>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</si>
  <si>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</si>
  <si>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</si>
  <si>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</si>
  <si>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</si>
  <si>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</si>
  <si>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</si>
  <si>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</si>
  <si>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</si>
  <si>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</si>
  <si>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</si>
  <si>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</si>
  <si>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</si>
  <si>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</si>
  <si>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</si>
  <si>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</si>
  <si>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</si>
  <si>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</si>
  <si>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</si>
  <si>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</si>
  <si>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</si>
  <si>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</si>
  <si>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</si>
  <si>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</si>
  <si>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</si>
  <si>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</si>
  <si>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</si>
  <si>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</si>
  <si>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</si>
  <si>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</si>
  <si>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</si>
  <si>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</si>
  <si>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</si>
  <si>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</si>
  <si>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</si>
  <si>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</si>
  <si>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</si>
  <si>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</si>
  <si>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</si>
  <si>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</si>
  <si>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</si>
  <si>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</si>
  <si>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</si>
  <si>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</si>
  <si>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</si>
  <si>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</si>
  <si>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</si>
  <si>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</si>
  <si>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</si>
  <si>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</si>
  <si>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</si>
  <si>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</si>
  <si>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</si>
  <si>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</si>
  <si>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</si>
  <si>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</si>
  <si>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</si>
  <si>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</si>
  <si>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</si>
  <si>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</si>
  <si>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</si>
  <si>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</si>
  <si>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</si>
  <si>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</si>
  <si>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</si>
  <si>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</si>
  <si>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</si>
  <si>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</si>
  <si>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</si>
  <si>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</si>
  <si>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</si>
  <si>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</si>
  <si>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</si>
  <si>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</si>
  <si>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</si>
  <si>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</si>
  <si>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</si>
  <si>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</si>
  <si>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</si>
  <si>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</si>
  <si>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</si>
  <si>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</si>
  <si>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</si>
  <si>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</si>
  <si>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</si>
  <si>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</si>
  <si>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</si>
  <si>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</si>
  <si>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</si>
  <si>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</si>
  <si>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</si>
  <si>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</si>
  <si>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</si>
  <si>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</si>
  <si>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</si>
  <si>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</si>
  <si>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</si>
  <si>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</si>
  <si>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</si>
  <si>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</si>
  <si>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</si>
  <si>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</si>
  <si>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</si>
  <si>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</si>
  <si>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</si>
  <si>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</si>
  <si>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</si>
  <si>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</si>
  <si>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</si>
  <si>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</si>
  <si>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</si>
  <si>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</si>
  <si>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</si>
  <si>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</si>
  <si>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</si>
  <si>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</si>
  <si>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</si>
  <si>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</si>
  <si>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</si>
  <si>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</si>
  <si>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</si>
  <si>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</si>
  <si>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</si>
  <si>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</si>
  <si>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</si>
  <si>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</si>
  <si>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</si>
  <si>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</si>
  <si>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</si>
  <si>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</si>
  <si>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</si>
  <si>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</si>
  <si>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</si>
  <si>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</si>
  <si>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</si>
  <si>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</si>
  <si>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</si>
  <si>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</si>
  <si>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</si>
  <si>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</si>
  <si>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</si>
  <si>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</si>
  <si>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</si>
  <si>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</si>
  <si>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</si>
  <si>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</si>
  <si>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</si>
  <si>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</si>
  <si>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</si>
  <si>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</si>
  <si>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</si>
  <si>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</si>
  <si>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</si>
  <si>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</si>
  <si>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</si>
  <si>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</si>
  <si>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</si>
  <si>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</si>
  <si>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</si>
  <si>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</si>
  <si>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</si>
  <si>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</si>
  <si>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</si>
  <si>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</si>
  <si>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</si>
  <si>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</si>
  <si>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</si>
  <si>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</si>
  <si>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</si>
  <si>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</si>
  <si>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</si>
  <si>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</si>
  <si>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</si>
  <si>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</si>
  <si>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</si>
  <si>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</si>
  <si>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</si>
  <si>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</si>
  <si>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</si>
  <si>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</si>
  <si>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</si>
  <si>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</si>
  <si>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</si>
  <si>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</si>
  <si>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</si>
  <si>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</si>
  <si>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</si>
  <si>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</si>
  <si>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</si>
  <si>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</si>
  <si>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</si>
  <si>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</si>
  <si>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</si>
  <si>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</si>
  <si>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</si>
  <si>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</si>
  <si>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</si>
  <si>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</si>
  <si>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</si>
  <si>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</si>
  <si>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</si>
  <si>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</si>
  <si>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</si>
  <si>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</si>
  <si>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</si>
  <si>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</si>
  <si>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</si>
  <si>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</si>
  <si>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</si>
  <si>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</si>
  <si>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</si>
  <si>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</si>
  <si>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</si>
  <si>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</si>
  <si>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</si>
  <si>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</si>
  <si>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</si>
  <si>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</si>
  <si>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</si>
  <si>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</si>
  <si>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</si>
  <si>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</si>
  <si>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</si>
  <si>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</si>
  <si>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</si>
  <si>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</si>
  <si>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</si>
  <si>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</si>
  <si>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</si>
  <si>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</si>
  <si>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</si>
  <si>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</si>
  <si>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</si>
  <si>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</si>
  <si>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</si>
  <si>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</si>
  <si>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</si>
  <si>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</si>
  <si>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</si>
  <si>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</si>
  <si>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</si>
  <si>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</si>
  <si>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</si>
  <si>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</si>
  <si>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</si>
  <si>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</si>
  <si>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</si>
  <si>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</si>
  <si>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</si>
  <si>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</si>
  <si>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</si>
  <si>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</si>
  <si>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</si>
  <si>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</si>
  <si>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</si>
  <si>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</si>
  <si>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</si>
  <si>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</si>
  <si>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</si>
  <si>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</si>
  <si>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</si>
  <si>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</si>
  <si>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</si>
  <si>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</si>
  <si>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</si>
  <si>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</si>
  <si>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</si>
  <si>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</si>
  <si>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</si>
  <si>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</si>
  <si>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</si>
  <si>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</si>
  <si>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</si>
  <si>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</si>
  <si>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</si>
  <si>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</si>
  <si>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</si>
  <si>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</si>
  <si>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</si>
  <si>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</si>
  <si>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</si>
  <si>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</si>
  <si>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</si>
  <si>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</si>
  <si>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</si>
  <si>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</si>
  <si>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</si>
  <si>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</si>
  <si>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</si>
  <si>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</si>
  <si>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</si>
  <si>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</si>
  <si>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</si>
  <si>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</si>
  <si>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</si>
  <si>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</si>
  <si>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</si>
  <si>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</si>
  <si>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</si>
  <si>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</si>
  <si>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</si>
  <si>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</si>
  <si>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</si>
  <si>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</si>
  <si>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</si>
  <si>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</si>
  <si>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</si>
  <si>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</si>
  <si>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</si>
  <si>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</si>
  <si>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</si>
  <si>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</si>
  <si>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</si>
  <si>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</si>
  <si>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</si>
  <si>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</si>
  <si>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</si>
  <si>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</si>
  <si>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</si>
  <si>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</si>
  <si>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</si>
  <si>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</si>
  <si>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</si>
  <si>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</si>
  <si>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</si>
  <si>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</si>
  <si>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</si>
  <si>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</si>
  <si>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</si>
  <si>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</si>
  <si>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</si>
  <si>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</si>
  <si>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</si>
  <si>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</si>
  <si>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</si>
  <si>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</si>
  <si>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</si>
  <si>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</si>
  <si>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</si>
  <si>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</si>
  <si>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</si>
  <si>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</si>
  <si>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</si>
  <si>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</si>
  <si>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</si>
  <si>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</si>
  <si>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</si>
  <si>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</si>
  <si>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</si>
  <si>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</si>
  <si>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</si>
  <si>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</si>
  <si>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</si>
  <si>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</si>
  <si>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</si>
  <si>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</si>
  <si>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</si>
  <si>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</si>
  <si>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</si>
  <si>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</si>
  <si>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</si>
  <si>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</si>
  <si>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</si>
  <si>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</si>
  <si>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</si>
  <si>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</si>
  <si>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</si>
  <si>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</si>
  <si>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</si>
  <si>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</si>
  <si>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</si>
  <si>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</si>
  <si>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</si>
  <si>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</si>
  <si>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</si>
  <si>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</si>
  <si>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</si>
  <si>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</si>
  <si>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</si>
  <si>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</si>
  <si>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</si>
  <si>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</si>
  <si>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</si>
  <si>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</si>
  <si>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</si>
  <si>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</si>
  <si>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</si>
  <si>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</si>
  <si>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</si>
  <si>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</si>
  <si>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</si>
  <si>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</si>
  <si>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</si>
  <si>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</si>
  <si>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</si>
  <si>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</si>
  <si>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</si>
  <si>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</si>
  <si>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</si>
  <si>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</si>
  <si>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</si>
  <si>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</si>
  <si>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</si>
  <si>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</si>
  <si>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</si>
  <si>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</si>
  <si>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</si>
  <si>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</si>
  <si>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</si>
  <si>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</si>
  <si>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</si>
  <si>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</si>
  <si>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</si>
  <si>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</si>
  <si>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</si>
  <si>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</si>
  <si>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</si>
  <si>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</si>
  <si>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</si>
  <si>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</si>
  <si>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</si>
  <si>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</si>
  <si>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</si>
  <si>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</si>
  <si>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</si>
  <si>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</si>
  <si>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</si>
  <si>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</si>
  <si>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</si>
  <si>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</si>
  <si>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</si>
  <si>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</si>
  <si>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</si>
  <si>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</si>
  <si>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</si>
  <si>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</si>
  <si>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</si>
  <si>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</si>
  <si>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</si>
  <si>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</si>
  <si>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</si>
  <si>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</si>
  <si>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</si>
  <si>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</si>
  <si>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</si>
  <si>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</si>
  <si>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</si>
  <si>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</si>
  <si>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</si>
  <si>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</si>
  <si>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</si>
  <si>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</si>
  <si>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</si>
  <si>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</si>
  <si>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</si>
  <si>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</si>
  <si>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</si>
  <si>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</si>
  <si>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</si>
  <si>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</si>
  <si>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</si>
  <si>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</si>
  <si>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</si>
  <si>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</si>
  <si>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</si>
  <si>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</si>
  <si>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</si>
  <si>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</si>
  <si>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</si>
  <si>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</si>
  <si>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</si>
  <si>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</si>
  <si>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</si>
  <si>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</si>
  <si>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</si>
  <si>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</si>
  <si>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</si>
  <si>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</si>
  <si>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</si>
  <si>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</si>
  <si>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</si>
  <si>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</si>
  <si>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</si>
  <si>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</si>
  <si>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</si>
  <si>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</si>
  <si>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</si>
  <si>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</si>
  <si>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</si>
  <si>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</si>
  <si>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</si>
  <si>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</si>
  <si>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</si>
  <si>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</si>
  <si>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</si>
  <si>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</si>
  <si>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</si>
  <si>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</si>
  <si>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</si>
  <si>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</si>
  <si>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</si>
  <si>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</si>
  <si>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</si>
  <si>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</si>
  <si>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</si>
  <si>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</si>
  <si>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</si>
  <si>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</si>
  <si>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</si>
  <si>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</si>
  <si>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</si>
  <si>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</si>
  <si>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</si>
  <si>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</si>
  <si>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</si>
  <si>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</si>
  <si>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</si>
  <si>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</si>
  <si>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</si>
  <si>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</si>
  <si>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</si>
  <si>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</si>
  <si>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</si>
  <si>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</si>
  <si>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</si>
  <si>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</si>
  <si>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</si>
  <si>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</si>
  <si>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</si>
  <si>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</si>
  <si>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</si>
  <si>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</si>
  <si>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</si>
  <si>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</si>
  <si>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</si>
  <si>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</si>
  <si>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</si>
  <si>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</si>
  <si>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</si>
  <si>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</si>
  <si>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</si>
  <si>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</si>
  <si>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</si>
  <si>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</si>
  <si>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</si>
  <si>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</si>
  <si>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</si>
  <si>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</si>
  <si>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</si>
  <si>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</si>
  <si>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</si>
  <si>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</si>
  <si>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</si>
  <si>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</si>
  <si>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</si>
  <si>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</si>
  <si>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</si>
  <si>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</si>
  <si>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</si>
  <si>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</si>
  <si>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</si>
  <si>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</si>
  <si>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</si>
  <si>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</si>
  <si>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</si>
  <si>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</si>
  <si>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</si>
  <si>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</si>
  <si>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</si>
  <si>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</si>
  <si>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</si>
  <si>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</si>
  <si>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</si>
  <si>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</si>
  <si>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</si>
  <si>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</si>
  <si>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</si>
  <si>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</si>
  <si>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</si>
  <si>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</si>
  <si>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</si>
  <si>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</si>
  <si>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</si>
  <si>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</si>
  <si>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</si>
  <si>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</si>
  <si>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</si>
  <si>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</si>
  <si>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</si>
  <si>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</si>
  <si>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</si>
  <si>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</si>
  <si>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</si>
  <si>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</si>
  <si>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</si>
  <si>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</si>
  <si>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</si>
  <si>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</si>
  <si>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</si>
  <si>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</si>
  <si>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</si>
  <si>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</si>
  <si>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</si>
  <si>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</si>
  <si>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</si>
  <si>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</si>
  <si>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</si>
  <si>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</si>
  <si>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</si>
  <si>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</si>
  <si>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</si>
  <si>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</si>
  <si>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</si>
  <si>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</si>
  <si>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</si>
  <si>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</si>
  <si>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</si>
  <si>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</si>
  <si>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</si>
  <si>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</si>
  <si>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</si>
  <si>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</si>
  <si>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</si>
  <si>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</si>
  <si>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</si>
  <si>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</si>
  <si>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</si>
  <si>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</si>
  <si>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</si>
  <si>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</si>
  <si>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</si>
  <si>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</si>
  <si>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</si>
  <si>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</si>
  <si>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</si>
  <si>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</si>
  <si>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</si>
  <si>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</si>
  <si>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</si>
  <si>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</si>
  <si>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</si>
  <si>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</si>
  <si>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</si>
  <si>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</si>
  <si>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</si>
  <si>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</si>
  <si>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</si>
  <si>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</si>
  <si>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</si>
  <si>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</si>
  <si>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</si>
  <si>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</si>
  <si>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</si>
  <si>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</si>
  <si>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</si>
  <si>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</si>
  <si>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</si>
  <si>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</si>
  <si>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</si>
  <si>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</si>
  <si>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</si>
  <si>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</si>
  <si>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</si>
  <si>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</si>
  <si>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</si>
  <si>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</si>
  <si>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</si>
  <si>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</si>
  <si>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</si>
  <si>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</si>
  <si>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</si>
  <si>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</si>
  <si>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</si>
  <si>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</si>
  <si>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</si>
  <si>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</si>
  <si>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</si>
  <si>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</si>
  <si>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</si>
  <si>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</si>
  <si>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</si>
  <si>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</si>
  <si>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</si>
  <si>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</si>
  <si>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</si>
  <si>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</si>
  <si>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</si>
  <si>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</si>
  <si>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</si>
  <si>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</si>
  <si>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</si>
  <si>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</si>
  <si>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</si>
  <si>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</si>
  <si>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</si>
  <si>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</si>
  <si>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</si>
  <si>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</si>
  <si>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</si>
  <si>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</si>
  <si>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</si>
  <si>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</si>
  <si>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</si>
  <si>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</si>
  <si>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</si>
  <si>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</si>
  <si>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</si>
  <si>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</si>
  <si>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</si>
  <si>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</si>
  <si>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</si>
  <si>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</si>
  <si>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</si>
  <si>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</si>
  <si>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</si>
  <si>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</si>
  <si>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</si>
  <si>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</si>
  <si>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</si>
  <si>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</si>
  <si>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</si>
  <si>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</si>
  <si>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</si>
  <si>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</si>
  <si>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</si>
  <si>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</si>
  <si>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</si>
  <si>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</si>
  <si>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</si>
  <si>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</si>
  <si>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</si>
  <si>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</si>
  <si>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</si>
  <si>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</si>
  <si>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</si>
  <si>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</si>
  <si>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</si>
  <si>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</si>
  <si>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</si>
  <si>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</si>
  <si>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</si>
  <si>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</si>
  <si>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</si>
  <si>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</si>
  <si>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</si>
  <si>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</si>
  <si>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</si>
  <si>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</si>
  <si>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</si>
  <si>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</si>
  <si>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</si>
  <si>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</si>
  <si>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</si>
  <si>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</si>
  <si>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</si>
  <si>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</si>
  <si>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</si>
  <si>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</si>
  <si>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</si>
  <si>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</si>
  <si>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</si>
  <si>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</si>
  <si>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</si>
  <si>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</si>
  <si>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</si>
  <si>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</si>
  <si>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</si>
  <si>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</si>
  <si>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</si>
  <si>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</si>
  <si>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</si>
  <si>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</si>
  <si>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</si>
  <si>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</si>
  <si>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</si>
  <si>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</si>
  <si>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</si>
  <si>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</si>
  <si>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</si>
  <si>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</si>
  <si>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</si>
  <si>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</si>
  <si>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</si>
  <si>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</si>
  <si>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</si>
  <si>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</si>
  <si>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</si>
  <si>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</si>
  <si>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</si>
  <si>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</si>
  <si>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</si>
  <si>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</si>
  <si>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</si>
  <si>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</si>
  <si>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</si>
  <si>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</si>
  <si>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</si>
  <si>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</si>
  <si>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</si>
  <si>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</si>
  <si>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</si>
  <si>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</si>
  <si>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</si>
  <si>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</si>
  <si>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</si>
  <si>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</si>
  <si>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</si>
  <si>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</si>
  <si>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</si>
  <si>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</si>
  <si>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</si>
  <si>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</si>
  <si>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</si>
  <si>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</si>
  <si>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</si>
  <si>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</si>
  <si>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</si>
  <si>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</si>
  <si>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</si>
  <si>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</si>
  <si>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</si>
  <si>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</si>
  <si>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</si>
  <si>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</si>
  <si>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</si>
  <si>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</si>
  <si>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</si>
  <si>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</si>
  <si>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</si>
  <si>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</si>
  <si>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</si>
  <si>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</si>
  <si>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</si>
  <si>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</si>
  <si>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</si>
  <si>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</si>
  <si>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</si>
  <si>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</si>
  <si>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</si>
  <si>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</si>
  <si>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</si>
  <si>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</si>
  <si>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</si>
  <si>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</si>
  <si>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</si>
  <si>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</si>
  <si>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</si>
  <si>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</si>
  <si>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</si>
  <si>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</si>
  <si>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</si>
  <si>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</si>
  <si>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</si>
  <si>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</si>
  <si>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</si>
  <si>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</si>
  <si>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</si>
  <si>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</si>
  <si>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</si>
  <si>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</si>
  <si>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</si>
  <si>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</si>
  <si>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</si>
  <si>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</si>
  <si>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</si>
  <si>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</si>
  <si>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</si>
  <si>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</si>
  <si>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</si>
  <si>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</si>
  <si>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</si>
  <si>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</si>
  <si>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</si>
  <si>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</si>
  <si>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</si>
  <si>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</si>
  <si>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</si>
  <si>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</si>
  <si>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</si>
  <si>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</si>
  <si>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</si>
  <si>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</si>
  <si>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</si>
  <si>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</si>
  <si>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</si>
  <si>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</si>
  <si>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</si>
  <si>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</si>
  <si>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</si>
  <si>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</si>
  <si>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</si>
  <si>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</si>
  <si>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</si>
  <si>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</si>
  <si>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</si>
  <si>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</si>
  <si>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</si>
  <si>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</si>
  <si>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</si>
  <si>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</si>
  <si>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</si>
  <si>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</si>
  <si>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</si>
  <si>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</si>
  <si>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</si>
  <si>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</si>
  <si>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</si>
  <si>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</si>
  <si>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</si>
  <si>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</si>
  <si>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</si>
  <si>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</si>
  <si>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</si>
  <si>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</si>
  <si>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</si>
  <si>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</si>
  <si>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</si>
  <si>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</si>
  <si>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</si>
  <si>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</si>
  <si>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</si>
  <si>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</si>
  <si>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</si>
  <si>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</si>
  <si>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</si>
  <si>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</si>
  <si>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</si>
  <si>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</si>
  <si>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</si>
  <si>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</si>
  <si>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</si>
  <si>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</si>
  <si>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</si>
  <si>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</si>
  <si>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</si>
  <si>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</si>
  <si>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</si>
  <si>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</si>
  <si>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</si>
  <si>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</si>
  <si>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</si>
  <si>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</si>
  <si>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</si>
  <si>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</si>
  <si>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</si>
  <si>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</si>
  <si>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</si>
  <si>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</si>
  <si>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</si>
  <si>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</si>
  <si>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</si>
  <si>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</si>
  <si>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</si>
  <si>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</si>
  <si>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</si>
  <si>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</si>
  <si>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</si>
  <si>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</si>
  <si>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</si>
  <si>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</si>
  <si>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</si>
  <si>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</si>
  <si>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</si>
  <si>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</si>
  <si>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</si>
  <si>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</si>
  <si>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</si>
  <si>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</si>
  <si>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</si>
  <si>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</si>
  <si>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</si>
  <si>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</si>
  <si>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</si>
  <si>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</si>
  <si>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</si>
  <si>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</si>
  <si>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</si>
  <si>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</si>
  <si>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</si>
  <si>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</si>
  <si>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</si>
  <si>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</si>
  <si>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</si>
  <si>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</si>
  <si>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</si>
  <si>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</si>
  <si>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</si>
  <si>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</si>
  <si>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</si>
  <si>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</si>
  <si>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</si>
  <si>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</si>
  <si>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</si>
  <si>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</si>
  <si>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</si>
  <si>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</si>
  <si>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</si>
  <si>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</si>
  <si>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</si>
  <si>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</si>
  <si>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</si>
  <si>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</si>
  <si>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</si>
  <si>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</si>
  <si>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</si>
  <si>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</si>
  <si>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</si>
  <si>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</si>
  <si>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</si>
  <si>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</si>
  <si>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</si>
  <si>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</si>
  <si>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</si>
  <si>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</si>
  <si>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</si>
  <si>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</si>
  <si>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</si>
  <si>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</si>
  <si>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</si>
  <si>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</si>
  <si>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</si>
  <si>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</si>
  <si>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</si>
  <si>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</si>
  <si>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</si>
  <si>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</si>
  <si>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</si>
  <si>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</si>
  <si>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</si>
  <si>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</si>
  <si>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</si>
  <si>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</si>
  <si>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</si>
  <si>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</si>
  <si>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</si>
  <si>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</si>
  <si>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</si>
  <si>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</si>
  <si>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</si>
  <si>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</si>
  <si>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</si>
  <si>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</si>
  <si>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</si>
  <si>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</si>
  <si>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</si>
  <si>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</si>
  <si>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</si>
  <si>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</si>
  <si>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</si>
  <si>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</si>
  <si>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</si>
  <si>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</si>
  <si>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</si>
  <si>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</si>
  <si>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</si>
  <si>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</si>
  <si>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</si>
  <si>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</si>
  <si>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</si>
  <si>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</si>
  <si>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</si>
  <si>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</si>
  <si>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</si>
  <si>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</si>
  <si>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</si>
  <si>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</si>
  <si>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</si>
  <si>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</si>
  <si>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</si>
  <si>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</si>
  <si>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</si>
  <si>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</si>
  <si>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</si>
  <si>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</si>
  <si>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</si>
  <si>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</si>
  <si>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</si>
  <si>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</si>
  <si>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</si>
  <si>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</si>
  <si>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</si>
  <si>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</si>
  <si>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</si>
  <si>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</si>
  <si>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</si>
  <si>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</si>
  <si>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</si>
  <si>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</si>
  <si>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</si>
  <si>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</si>
  <si>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</si>
  <si>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</si>
  <si>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</si>
  <si>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</si>
  <si>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</si>
  <si>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</si>
  <si>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</si>
  <si>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</si>
  <si>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</si>
  <si>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</si>
  <si>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</si>
  <si>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</si>
  <si>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</si>
  <si>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</si>
  <si>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</si>
  <si>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</si>
  <si>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</si>
  <si>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</si>
  <si>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</si>
  <si>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</si>
  <si>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</si>
  <si>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</si>
  <si>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</si>
  <si>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</si>
  <si>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</si>
  <si>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</si>
  <si>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</si>
  <si>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</si>
  <si>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</si>
  <si>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</si>
  <si>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</si>
  <si>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</si>
  <si>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</si>
  <si>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</si>
  <si>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</si>
  <si>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</si>
  <si>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</si>
  <si>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</si>
  <si>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</si>
  <si>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</si>
  <si>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</si>
  <si>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</si>
  <si>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</si>
  <si>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</si>
  <si>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</si>
  <si>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</si>
  <si>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</si>
  <si>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</si>
  <si>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</si>
  <si>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</si>
  <si>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</si>
  <si>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</si>
  <si>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</si>
  <si>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</si>
  <si>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</si>
  <si>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</si>
  <si>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</si>
  <si>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</si>
  <si>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</si>
  <si>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</si>
  <si>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</si>
  <si>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</si>
  <si>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</si>
  <si>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</si>
  <si>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</si>
  <si>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</si>
  <si>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</si>
  <si>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</si>
  <si>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</si>
  <si>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</si>
  <si>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</si>
  <si>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</si>
  <si>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</si>
  <si>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</si>
  <si>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</si>
  <si>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</si>
  <si>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</si>
  <si>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</si>
  <si>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</si>
  <si>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</si>
  <si>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</si>
  <si>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</si>
  <si>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</si>
  <si>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</si>
  <si>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</si>
  <si>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</si>
  <si>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</si>
  <si>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</si>
  <si>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</si>
  <si>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</si>
  <si>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</si>
  <si>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</si>
  <si>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</si>
  <si>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</si>
  <si>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</si>
  <si>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</si>
  <si>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</si>
  <si>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</si>
  <si>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</si>
  <si>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</si>
  <si>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</si>
  <si>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</si>
  <si>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</si>
  <si>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</si>
  <si>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</si>
  <si>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</si>
  <si>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</si>
  <si>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</si>
  <si>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</si>
  <si>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</si>
  <si>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</si>
  <si>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</si>
  <si>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</si>
  <si>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</si>
  <si>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</si>
  <si>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</si>
  <si>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</si>
  <si>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</si>
  <si>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</si>
  <si>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</si>
  <si>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</si>
  <si>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</si>
  <si>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</si>
  <si>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</si>
  <si>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</si>
  <si>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</si>
  <si>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</si>
  <si>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</si>
  <si>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</si>
  <si>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</si>
  <si>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</si>
  <si>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</si>
  <si>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</si>
  <si>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</si>
  <si>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</si>
  <si>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</si>
  <si>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</si>
  <si>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</si>
  <si>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</si>
  <si>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</si>
  <si>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</si>
  <si>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</si>
  <si>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</si>
  <si>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</si>
  <si>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</si>
  <si>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</si>
  <si>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</si>
  <si>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</si>
  <si>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</si>
  <si>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</si>
  <si>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</si>
  <si>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</si>
  <si>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</si>
  <si>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</si>
  <si>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</si>
  <si>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</si>
  <si>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</si>
  <si>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</si>
  <si>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</si>
  <si>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</si>
  <si>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</si>
  <si>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</si>
  <si>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</si>
  <si>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</si>
  <si>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</si>
  <si>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</si>
  <si>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</si>
  <si>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</si>
  <si>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</si>
  <si>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</si>
  <si>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</si>
  <si>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</si>
  <si>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</si>
  <si>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</si>
  <si>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</si>
  <si>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</si>
  <si>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</si>
  <si>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</si>
  <si>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</si>
  <si>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</si>
  <si>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</si>
  <si>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</si>
  <si>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</si>
  <si>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</si>
  <si>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</si>
  <si>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</si>
  <si>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</si>
  <si>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</si>
  <si>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</si>
  <si>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</si>
  <si>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</si>
  <si>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</si>
  <si>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</si>
  <si>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</si>
  <si>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</si>
  <si>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</si>
  <si>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</si>
  <si>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</si>
  <si>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</si>
  <si>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</si>
  <si>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</si>
  <si>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</si>
  <si>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</si>
  <si>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</si>
  <si>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</si>
  <si>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</si>
  <si>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</si>
  <si>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</si>
  <si>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</si>
  <si>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</si>
  <si>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</si>
  <si>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</si>
  <si>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</si>
  <si>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</si>
  <si>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</si>
  <si>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</si>
  <si>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</si>
  <si>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</si>
  <si>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</si>
  <si>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</si>
  <si>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</si>
  <si>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</si>
  <si>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</si>
  <si>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</si>
  <si>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</si>
  <si>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</si>
  <si>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</si>
  <si>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</si>
  <si>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</si>
  <si>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</si>
  <si>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</si>
  <si>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</si>
  <si>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</si>
  <si>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</si>
  <si>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</si>
  <si>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</si>
  <si>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</si>
  <si>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</si>
  <si>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</si>
  <si>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</si>
  <si>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</si>
  <si>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</si>
  <si>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</si>
  <si>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</si>
  <si>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</si>
  <si>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</si>
  <si>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</si>
  <si>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</si>
  <si>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</si>
  <si>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</si>
  <si>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</si>
  <si>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</si>
  <si>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</si>
  <si>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</si>
  <si>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</si>
  <si>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</si>
  <si>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</si>
  <si>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</si>
  <si>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</si>
  <si>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</si>
  <si>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</si>
  <si>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</si>
  <si>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</si>
  <si>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</si>
  <si>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</si>
  <si>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</si>
  <si>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</si>
  <si>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</si>
  <si>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</si>
  <si>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</si>
  <si>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</si>
  <si>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</si>
  <si>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</si>
  <si>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</si>
  <si>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</si>
  <si>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</si>
  <si>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</si>
  <si>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</si>
  <si>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</si>
  <si>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</si>
  <si>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</si>
  <si>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</si>
  <si>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</si>
  <si>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</si>
  <si>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</si>
  <si>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</si>
  <si>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</si>
  <si>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</si>
  <si>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</si>
  <si>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</si>
  <si>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</si>
  <si>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</si>
  <si>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</si>
  <si>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</si>
  <si>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</si>
  <si>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</si>
  <si>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</si>
  <si>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</si>
  <si>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</si>
  <si>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</si>
  <si>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</si>
  <si>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</si>
  <si>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</si>
  <si>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</si>
  <si>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</si>
  <si>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</si>
  <si>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</si>
  <si>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</si>
  <si>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</si>
  <si>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</si>
  <si>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</si>
  <si>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</si>
  <si>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</si>
  <si>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</si>
  <si>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</si>
  <si>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</si>
  <si>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</si>
  <si>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</si>
  <si>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</si>
  <si>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</si>
  <si>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</si>
  <si>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</si>
  <si>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</si>
  <si>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</si>
  <si>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</si>
  <si>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</si>
  <si>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</si>
  <si>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</si>
  <si>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</si>
  <si>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</si>
  <si>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</si>
  <si>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</si>
  <si>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</si>
  <si>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</si>
  <si>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</si>
  <si>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</si>
  <si>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</si>
  <si>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</si>
  <si>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</si>
  <si>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</si>
  <si>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</si>
  <si>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</si>
  <si>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</si>
  <si>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</si>
  <si>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</si>
  <si>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</si>
  <si>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</si>
  <si>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</si>
  <si>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</si>
  <si>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</si>
  <si>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</si>
  <si>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</si>
  <si>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</si>
  <si>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</si>
  <si>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</si>
  <si>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</si>
  <si>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</si>
  <si>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</si>
  <si>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</si>
  <si>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</si>
  <si>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</si>
  <si>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</si>
  <si>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</si>
  <si>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</si>
  <si>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</si>
  <si>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</si>
  <si>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</si>
  <si>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</si>
  <si>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</si>
  <si>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</si>
  <si>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</si>
  <si>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</si>
  <si>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</si>
  <si>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</si>
  <si>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</si>
  <si>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</si>
  <si>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</si>
  <si>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</si>
  <si>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</si>
  <si>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</si>
  <si>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</si>
  <si>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</si>
  <si>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</si>
  <si>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</si>
  <si>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</si>
  <si>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</si>
  <si>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</si>
  <si>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</si>
  <si>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</si>
  <si>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</si>
  <si>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</si>
  <si>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</si>
  <si>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</si>
  <si>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</si>
  <si>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</si>
  <si>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</si>
  <si>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</si>
  <si>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</si>
  <si>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</si>
  <si>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</si>
  <si>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</si>
  <si>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</si>
  <si>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</si>
  <si>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</si>
  <si>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</si>
  <si>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</si>
  <si>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</si>
  <si>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</si>
  <si>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</si>
  <si>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</si>
  <si>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</si>
  <si>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</si>
  <si>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</si>
  <si>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</si>
  <si>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</si>
  <si>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</si>
  <si>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</si>
  <si>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</si>
  <si>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</si>
  <si>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</si>
  <si>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</si>
  <si>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</si>
  <si>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</si>
  <si>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</si>
  <si>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</si>
  <si>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</si>
  <si>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</si>
  <si>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</si>
  <si>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</si>
  <si>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</si>
  <si>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</si>
  <si>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</si>
  <si>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</si>
  <si>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</si>
  <si>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</si>
  <si>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</si>
  <si>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</si>
  <si>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</si>
  <si>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</si>
  <si>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</si>
  <si>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</si>
  <si>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</si>
  <si>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</si>
  <si>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</si>
  <si>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</si>
  <si>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</si>
  <si>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</si>
  <si>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</si>
  <si>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</si>
  <si>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</si>
  <si>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</si>
  <si>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</si>
  <si>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</si>
  <si>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</si>
  <si>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</si>
  <si>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</si>
  <si>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</si>
  <si>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</si>
  <si>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</si>
  <si>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</si>
  <si>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</si>
  <si>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</si>
  <si>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</si>
  <si>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</si>
  <si>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</si>
  <si>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</si>
  <si>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</si>
  <si>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</si>
  <si>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</si>
  <si>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</si>
  <si>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</si>
  <si>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</si>
  <si>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</si>
  <si>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</si>
  <si>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</si>
  <si>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</si>
  <si>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</si>
  <si>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</si>
  <si>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</si>
  <si>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</si>
  <si>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</si>
  <si>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</si>
  <si>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</si>
  <si>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</si>
  <si>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</si>
  <si>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</si>
  <si>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</si>
  <si>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</si>
  <si>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</si>
  <si>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</si>
  <si>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</si>
  <si>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</si>
  <si>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</si>
  <si>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</si>
  <si>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</si>
  <si>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</si>
  <si>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</si>
  <si>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</si>
  <si>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</si>
  <si>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</si>
  <si>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</si>
  <si>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</si>
  <si>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</si>
  <si>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</si>
  <si>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</si>
  <si>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</si>
  <si>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</si>
  <si>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</si>
  <si>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</si>
  <si>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</si>
  <si>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</si>
  <si>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</si>
  <si>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</si>
  <si>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</si>
  <si>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</si>
  <si>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</si>
  <si>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</si>
  <si>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</si>
  <si>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</si>
  <si>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</si>
  <si>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</si>
  <si>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</si>
  <si>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</si>
  <si>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</si>
  <si>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</si>
  <si>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</si>
  <si>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</si>
  <si>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</si>
  <si>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</si>
  <si>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</si>
  <si>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</si>
  <si>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</si>
  <si>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</si>
  <si>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</si>
  <si>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</si>
  <si>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</si>
  <si>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</si>
  <si>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</si>
  <si>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</si>
  <si>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</si>
  <si>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</si>
  <si>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</si>
  <si>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</si>
  <si>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</si>
  <si>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</si>
  <si>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</si>
  <si>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</si>
  <si>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</si>
  <si>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</si>
  <si>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</si>
  <si>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</si>
  <si>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</si>
  <si>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</si>
  <si>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</si>
  <si>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</si>
  <si>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</si>
  <si>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</si>
  <si>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</si>
  <si>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</si>
  <si>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</si>
  <si>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</si>
  <si>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</si>
  <si>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</si>
  <si>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</si>
  <si>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</si>
  <si>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</si>
  <si>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</si>
  <si>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</si>
  <si>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</si>
  <si>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</si>
  <si>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</si>
  <si>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</si>
  <si>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</si>
  <si>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</si>
  <si>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</si>
  <si>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</si>
  <si>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</si>
  <si>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</si>
  <si>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</si>
  <si>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</si>
  <si>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</si>
  <si>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</si>
  <si>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</si>
  <si>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</si>
  <si>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</si>
  <si>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</si>
  <si>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</si>
  <si>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</si>
  <si>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</si>
  <si>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</si>
  <si>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</si>
  <si>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</si>
  <si>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</si>
  <si>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</si>
  <si>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</si>
  <si>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</si>
  <si>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</si>
  <si>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</si>
  <si>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</si>
  <si>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</si>
  <si>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</si>
  <si>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</si>
  <si>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</si>
  <si>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</si>
  <si>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</si>
  <si>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</si>
  <si>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</si>
  <si>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</si>
  <si>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</si>
  <si>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</si>
  <si>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</si>
  <si>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</si>
  <si>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</si>
  <si>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</si>
  <si>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</si>
  <si>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</si>
  <si>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</si>
  <si>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</si>
  <si>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</si>
  <si>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</si>
  <si>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</si>
  <si>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</si>
  <si>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</si>
  <si>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</si>
  <si>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</si>
  <si>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</si>
  <si>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</si>
  <si>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</si>
  <si>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</si>
  <si>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</si>
  <si>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</si>
  <si>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</si>
  <si>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</si>
  <si>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</si>
  <si>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</si>
  <si>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</si>
  <si>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</si>
  <si>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</si>
  <si>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</si>
  <si>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</si>
  <si>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</si>
  <si>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</si>
  <si>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</si>
  <si>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</si>
  <si>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</si>
  <si>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</si>
  <si>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</si>
  <si>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</si>
  <si>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</si>
  <si>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</si>
  <si>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</si>
  <si>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</si>
  <si>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</si>
  <si>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</si>
  <si>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</si>
  <si>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</si>
  <si>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</si>
  <si>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</si>
  <si>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</si>
  <si>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</si>
  <si>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</si>
  <si>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</si>
  <si>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</si>
  <si>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</si>
  <si>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</si>
  <si>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</si>
  <si>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</si>
  <si>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</si>
  <si>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</si>
  <si>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</si>
  <si>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</si>
  <si>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</si>
  <si>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</si>
  <si>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</si>
  <si>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</si>
  <si>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</si>
  <si>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</si>
  <si>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</si>
  <si>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</si>
  <si>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</si>
  <si>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</si>
  <si>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</si>
  <si>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</si>
  <si>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</si>
  <si>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</si>
  <si>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</si>
  <si>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</si>
  <si>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</si>
  <si>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</si>
  <si>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</si>
  <si>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</si>
  <si>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</si>
  <si>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</si>
  <si>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</si>
  <si>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</si>
  <si>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</si>
  <si>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</si>
  <si>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</si>
  <si>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</si>
  <si>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</si>
  <si>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</si>
  <si>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</si>
  <si>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</si>
  <si>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</si>
  <si>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</si>
  <si>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</si>
  <si>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</si>
  <si>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</si>
  <si>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</si>
  <si>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</si>
  <si>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</si>
  <si>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</si>
  <si>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</si>
  <si>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</si>
  <si>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</si>
  <si>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</si>
  <si>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</si>
  <si>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</si>
  <si>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</si>
  <si>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</si>
  <si>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</si>
  <si>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</si>
  <si>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</si>
  <si>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</si>
  <si>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</si>
  <si>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</si>
  <si>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</si>
  <si>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</si>
  <si>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</si>
  <si>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</si>
  <si>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</si>
  <si>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</si>
  <si>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</si>
  <si>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</si>
  <si>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</si>
  <si>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</si>
  <si>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</si>
  <si>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</si>
  <si>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</si>
  <si>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</si>
  <si>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</si>
  <si>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</si>
  <si>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</si>
  <si>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</si>
  <si>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</si>
  <si>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</si>
  <si>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</si>
  <si>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</si>
  <si>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</si>
  <si>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</si>
  <si>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</si>
  <si>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</si>
  <si>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</si>
  <si>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</si>
  <si>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</si>
  <si>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</si>
  <si>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</si>
  <si>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</si>
  <si>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</si>
  <si>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</si>
  <si>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</si>
  <si>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</si>
  <si>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</si>
  <si>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</si>
  <si>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</si>
  <si>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</si>
  <si>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</si>
  <si>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</si>
  <si>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</si>
  <si>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</si>
  <si>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</si>
  <si>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</si>
  <si>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</si>
  <si>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</si>
  <si>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</si>
  <si>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</si>
  <si>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</si>
  <si>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</si>
  <si>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</si>
  <si>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</si>
  <si>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</si>
  <si>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</si>
  <si>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</si>
  <si>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</si>
  <si>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</si>
  <si>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</si>
  <si>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</si>
  <si>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</si>
  <si>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</si>
  <si>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</si>
  <si>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</si>
  <si>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</si>
  <si>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</si>
  <si>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</si>
  <si>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</si>
  <si>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</si>
  <si>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</si>
  <si>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</si>
  <si>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</si>
  <si>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</si>
  <si>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</si>
  <si>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</si>
  <si>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</si>
  <si>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</si>
  <si>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</si>
  <si>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</si>
  <si>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</si>
  <si>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</si>
  <si>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</si>
  <si>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</si>
  <si>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</si>
  <si>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</si>
  <si>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</si>
  <si>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</si>
  <si>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</si>
  <si>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</si>
  <si>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</si>
  <si>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</si>
  <si>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</si>
  <si>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</si>
  <si>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</si>
  <si>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</si>
  <si>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</si>
  <si>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</si>
  <si>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</si>
  <si>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</si>
  <si>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</si>
  <si>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</si>
  <si>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</si>
  <si>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</si>
  <si>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</si>
  <si>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</si>
  <si>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</si>
  <si>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</si>
  <si>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</si>
  <si>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</si>
  <si>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</si>
  <si>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</si>
  <si>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</si>
  <si>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</si>
  <si>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</si>
  <si>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</si>
  <si>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</si>
  <si>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</si>
  <si>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</si>
  <si>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</si>
  <si>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</si>
  <si>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</si>
  <si>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</si>
  <si>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</si>
  <si>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</si>
  <si>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</si>
  <si>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</si>
  <si>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</si>
  <si>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</si>
  <si>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</si>
  <si>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</si>
  <si>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</si>
  <si>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</si>
  <si>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</si>
  <si>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</si>
  <si>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</si>
  <si>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</si>
  <si>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</si>
  <si>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</si>
  <si>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</si>
  <si>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</si>
  <si>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</si>
  <si>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</si>
  <si>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</si>
  <si>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</si>
  <si>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</si>
  <si>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</si>
  <si>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</si>
  <si>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</si>
  <si>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</si>
  <si>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</si>
  <si>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</si>
  <si>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</si>
  <si>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</si>
  <si>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</si>
  <si>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</si>
  <si>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</si>
  <si>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</si>
  <si>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</si>
  <si>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</si>
  <si>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</si>
  <si>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</si>
  <si>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</si>
  <si>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</si>
  <si>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</si>
  <si>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</si>
  <si>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</si>
  <si>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</si>
  <si>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</si>
  <si>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</si>
  <si>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</si>
  <si>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</si>
  <si>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</si>
  <si>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</si>
  <si>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</si>
  <si>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</si>
  <si>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</si>
  <si>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</si>
  <si>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</si>
  <si>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</si>
  <si>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</si>
  <si>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</si>
  <si>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</si>
  <si>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</si>
  <si>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</si>
  <si>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</si>
  <si>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</si>
  <si>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</si>
  <si>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</si>
  <si>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</si>
  <si>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</si>
  <si>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</si>
  <si>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</si>
  <si>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</si>
  <si>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</si>
  <si>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</si>
  <si>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</si>
  <si>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</si>
  <si>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</si>
  <si>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</si>
  <si>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</si>
  <si>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</si>
  <si>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</si>
  <si>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</si>
  <si>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</si>
  <si>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</si>
  <si>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</si>
  <si>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</si>
  <si>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</si>
  <si>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</si>
  <si>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</si>
  <si>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</si>
  <si>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</si>
  <si>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</si>
  <si>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</si>
  <si>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</si>
  <si>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</si>
  <si>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</si>
  <si>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</si>
  <si>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</si>
  <si>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</si>
  <si>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</si>
  <si>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</si>
  <si>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</si>
  <si>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</si>
  <si>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</si>
  <si>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</si>
  <si>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</si>
  <si>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</si>
  <si>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</si>
  <si>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</si>
  <si>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</si>
  <si>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</si>
  <si>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</si>
  <si>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</si>
  <si>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</si>
  <si>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</si>
  <si>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</si>
  <si>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</si>
  <si>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</si>
  <si>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</si>
  <si>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</si>
  <si>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</si>
  <si>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</si>
  <si>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</si>
  <si>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</si>
  <si>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</si>
  <si>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</si>
  <si>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</si>
  <si>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</si>
  <si>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</si>
  <si>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</si>
  <si>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</si>
  <si>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</si>
  <si>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</si>
  <si>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</si>
  <si>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</si>
  <si>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</si>
  <si>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</si>
  <si>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</si>
  <si>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</si>
  <si>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</si>
  <si>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</si>
  <si>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</si>
  <si>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</si>
  <si>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</si>
  <si>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</si>
  <si>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</si>
  <si>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</si>
  <si>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</si>
  <si>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</si>
  <si>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</si>
  <si>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</si>
  <si>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</si>
  <si>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</si>
  <si>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</si>
  <si>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</si>
  <si>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</si>
  <si>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</si>
  <si>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</si>
  <si>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</si>
  <si>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</si>
  <si>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</si>
  <si>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</si>
  <si>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</si>
  <si>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</si>
  <si>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</si>
  <si>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</si>
  <si>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</si>
  <si>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</si>
  <si>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</si>
  <si>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</si>
  <si>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</si>
  <si>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</si>
  <si>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</si>
  <si>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</si>
  <si>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</si>
  <si>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</si>
  <si>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</si>
  <si>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</si>
  <si>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</si>
  <si>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</si>
  <si>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</si>
  <si>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</si>
  <si>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</si>
  <si>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</si>
  <si>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</si>
  <si>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</si>
  <si>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</si>
  <si>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</si>
  <si>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</si>
  <si>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</si>
  <si>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</si>
  <si>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</si>
  <si>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</si>
  <si>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</si>
  <si>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</si>
  <si>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</si>
  <si>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</si>
  <si>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</si>
  <si>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</si>
  <si>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</si>
  <si>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</si>
  <si>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</si>
  <si>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</si>
  <si>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</si>
  <si>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</si>
  <si>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</si>
  <si>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</si>
  <si>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</si>
  <si>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</si>
  <si>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</si>
  <si>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</si>
  <si>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</si>
  <si>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</si>
  <si>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</si>
  <si>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</si>
  <si>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</si>
  <si>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</si>
  <si>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</si>
  <si>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</si>
  <si>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</si>
  <si>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</si>
  <si>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</si>
  <si>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</si>
  <si>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</si>
  <si>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</si>
  <si>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</si>
  <si>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</si>
  <si>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</si>
  <si>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</si>
  <si>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</si>
  <si>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</si>
  <si>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</si>
  <si>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</si>
  <si>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</si>
  <si>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</si>
  <si>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</si>
  <si>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</si>
  <si>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</si>
  <si>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</si>
  <si>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</si>
  <si>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</si>
  <si>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</si>
  <si>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</si>
  <si>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</si>
  <si>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</si>
  <si>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</si>
  <si>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</si>
  <si>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</si>
  <si>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</si>
  <si>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</si>
  <si>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</si>
  <si>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</si>
  <si>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</si>
  <si>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</si>
  <si>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</si>
  <si>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</si>
  <si>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</si>
  <si>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</si>
  <si>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</si>
  <si>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</si>
  <si>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</si>
  <si>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</si>
  <si>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</si>
  <si>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</si>
  <si>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</si>
  <si>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</si>
  <si>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</si>
  <si>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</si>
  <si>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</si>
  <si>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</si>
  <si>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</si>
  <si>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</si>
  <si>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</si>
  <si>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</si>
  <si>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</si>
  <si>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</si>
  <si>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</si>
  <si>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</si>
  <si>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</si>
  <si>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</si>
  <si>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</si>
  <si>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</si>
  <si>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</si>
  <si>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</si>
  <si>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</si>
  <si>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</si>
  <si>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</si>
  <si>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</si>
  <si>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</si>
  <si>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</si>
  <si>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</si>
  <si>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</si>
  <si>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</si>
  <si>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</si>
  <si>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</si>
  <si>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</si>
  <si>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</si>
  <si>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</si>
  <si>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</si>
  <si>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</si>
  <si>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</si>
  <si>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</si>
  <si>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</si>
  <si>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</si>
  <si>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</si>
  <si>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</si>
  <si>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</si>
  <si>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</si>
  <si>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</si>
  <si>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</si>
  <si>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</si>
  <si>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</si>
  <si>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</si>
  <si>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</si>
  <si>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</si>
  <si>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</si>
  <si>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</si>
  <si>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</si>
  <si>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</si>
  <si>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</si>
  <si>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</si>
  <si>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</si>
  <si>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</si>
  <si>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</si>
  <si>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</si>
  <si>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</si>
  <si>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</si>
  <si>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</si>
  <si>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</si>
  <si>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</si>
  <si>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</si>
  <si>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</si>
  <si>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</si>
  <si>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</si>
  <si>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</si>
  <si>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</si>
  <si>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</si>
  <si>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</si>
  <si>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</si>
  <si>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</si>
  <si>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</si>
  <si>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</si>
  <si>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</si>
  <si>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</si>
  <si>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</si>
  <si>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</si>
  <si>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</si>
  <si>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</si>
  <si>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</si>
  <si>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</si>
  <si>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</si>
  <si>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</si>
  <si>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</si>
  <si>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</si>
  <si>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</si>
  <si>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</si>
  <si>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</si>
  <si>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</si>
  <si>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</si>
  <si>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</si>
  <si>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</si>
  <si>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</si>
  <si>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</si>
  <si>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</si>
  <si>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</si>
  <si>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</si>
  <si>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</si>
  <si>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</si>
  <si>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</si>
  <si>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</si>
  <si>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</si>
  <si>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</si>
  <si>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</si>
  <si>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</si>
  <si>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</si>
  <si>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</si>
  <si>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</si>
  <si>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</si>
  <si>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</si>
  <si>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</si>
  <si>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</si>
  <si>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</si>
  <si>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</si>
  <si>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</si>
  <si>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</si>
  <si>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</si>
  <si>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</si>
  <si>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</si>
  <si>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</si>
  <si>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</si>
  <si>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</si>
  <si>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</si>
  <si>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</si>
  <si>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</si>
  <si>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</si>
  <si>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</si>
  <si>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</si>
  <si>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</si>
  <si>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</si>
  <si>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</si>
  <si>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</si>
  <si>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</si>
  <si>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</si>
  <si>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</si>
  <si>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</si>
  <si>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</si>
  <si>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</si>
  <si>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</si>
  <si>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</si>
  <si>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</si>
  <si>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</si>
  <si>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</si>
  <si>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</si>
  <si>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</si>
  <si>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</si>
  <si>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</si>
  <si>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</si>
  <si>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</si>
  <si>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</si>
  <si>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</si>
  <si>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</si>
  <si>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</si>
  <si>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</si>
  <si>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</si>
  <si>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</si>
  <si>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</si>
  <si>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</si>
  <si>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</si>
  <si>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</si>
  <si>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</si>
  <si>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</si>
  <si>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</si>
  <si>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</si>
  <si>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</si>
  <si>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</si>
  <si>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</si>
  <si>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</si>
  <si>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</si>
  <si>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</si>
  <si>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</si>
  <si>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</si>
  <si>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</si>
  <si>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</si>
  <si>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</si>
  <si>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</si>
  <si>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</si>
  <si>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</si>
  <si>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</si>
  <si>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</si>
  <si>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</si>
  <si>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</si>
  <si>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</si>
  <si>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</si>
  <si>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</si>
  <si>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</si>
  <si>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</si>
  <si>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</si>
  <si>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</si>
  <si>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</si>
  <si>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</si>
  <si>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</si>
  <si>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</si>
  <si>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</si>
  <si>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</si>
  <si>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</si>
  <si>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</si>
  <si>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</si>
  <si>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</si>
  <si>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</si>
  <si>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</si>
  <si>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</si>
  <si>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</si>
  <si>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</si>
  <si>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</si>
  <si>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</si>
  <si>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</si>
  <si>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</si>
  <si>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</si>
  <si>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</si>
  <si>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</si>
  <si>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</si>
  <si>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</si>
  <si>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</si>
  <si>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</si>
  <si>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</si>
  <si>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</si>
  <si>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</si>
  <si>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</si>
  <si>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</si>
  <si>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</si>
  <si>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</si>
  <si>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</si>
  <si>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</si>
  <si>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</si>
  <si>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</si>
  <si>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</si>
  <si>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</si>
  <si>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</si>
  <si>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</si>
  <si>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</si>
  <si>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</si>
  <si>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</si>
  <si>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</si>
  <si>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</si>
  <si>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</si>
  <si>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</si>
  <si>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</si>
  <si>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</si>
  <si>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</si>
  <si>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</si>
  <si>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</si>
  <si>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</si>
  <si>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</si>
  <si>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</si>
  <si>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</si>
  <si>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</si>
  <si>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</si>
  <si>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</si>
  <si>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</si>
  <si>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</si>
  <si>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</si>
  <si>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</si>
  <si>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</si>
  <si>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</si>
  <si>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</si>
  <si>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</si>
  <si>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</si>
  <si>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</si>
  <si>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</si>
  <si>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</si>
  <si>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</si>
  <si>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</si>
  <si>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</si>
  <si>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</si>
  <si>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</si>
  <si>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</si>
  <si>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</si>
  <si>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</si>
  <si>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</si>
  <si>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</si>
  <si>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</si>
  <si>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</si>
  <si>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</si>
  <si>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</si>
  <si>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</si>
  <si>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</si>
  <si>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</si>
  <si>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</si>
  <si>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</si>
  <si>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</si>
  <si>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</si>
  <si>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</si>
  <si>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</si>
  <si>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</si>
  <si>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</si>
  <si>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</si>
  <si>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</si>
  <si>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</si>
  <si>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</si>
  <si>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</si>
  <si>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</si>
  <si>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</si>
  <si>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</si>
  <si>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</si>
  <si>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</si>
  <si>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</si>
  <si>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</si>
  <si>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</si>
  <si>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</si>
  <si>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</si>
  <si>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</si>
  <si>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</si>
  <si>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</si>
  <si>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</si>
  <si>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</si>
  <si>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</si>
  <si>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</si>
  <si>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</si>
  <si>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</si>
  <si>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</si>
  <si>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</si>
  <si>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</si>
  <si>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</si>
  <si>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</si>
  <si>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</si>
  <si>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</si>
  <si>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</si>
  <si>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</si>
  <si>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</si>
  <si>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</si>
  <si>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</si>
  <si>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</si>
  <si>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</si>
  <si>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</si>
  <si>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</si>
  <si>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</si>
  <si>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</si>
  <si>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</si>
  <si>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</si>
  <si>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</si>
  <si>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</si>
  <si>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</si>
  <si>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</si>
  <si>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</si>
  <si>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</si>
  <si>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</si>
  <si>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</si>
  <si>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</si>
  <si>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</si>
  <si>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</si>
  <si>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</si>
  <si>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</si>
  <si>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</si>
  <si>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</si>
  <si>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</si>
  <si>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</si>
  <si>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</si>
  <si>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</si>
  <si>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</si>
  <si>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</si>
  <si>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</si>
  <si>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</si>
  <si>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</si>
  <si>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</si>
  <si>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</si>
  <si>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</si>
  <si>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</si>
  <si>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</si>
  <si>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</si>
  <si>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</si>
  <si>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</si>
  <si>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</si>
  <si>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</si>
  <si>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</si>
  <si>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</si>
  <si>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</si>
  <si>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</si>
  <si>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</si>
  <si>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</si>
  <si>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</si>
  <si>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</si>
  <si>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</si>
  <si>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</si>
  <si>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</si>
  <si>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</si>
  <si>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</si>
  <si>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</si>
  <si>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</si>
  <si>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</si>
  <si>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</si>
  <si>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</si>
  <si>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</si>
  <si>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</si>
  <si>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</si>
  <si>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</si>
  <si>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</si>
  <si>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</si>
  <si>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</si>
  <si>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</si>
  <si>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</si>
  <si>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</si>
  <si>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</si>
  <si>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</si>
  <si>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</si>
  <si>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</si>
  <si>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</si>
  <si>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</si>
  <si>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</si>
  <si>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</si>
  <si>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</si>
  <si>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</si>
  <si>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</si>
  <si>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</si>
  <si>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</si>
  <si>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</si>
  <si>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</si>
  <si>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</si>
  <si>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</si>
  <si>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</si>
  <si>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</si>
  <si>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</si>
  <si>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</si>
  <si>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</si>
  <si>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</si>
  <si>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</si>
  <si>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</si>
  <si>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</si>
  <si>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</si>
  <si>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</si>
  <si>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</si>
  <si>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</si>
  <si>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</si>
  <si>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</si>
  <si>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</si>
  <si>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</si>
  <si>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</si>
  <si>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</si>
  <si>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</si>
  <si>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</si>
  <si>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</si>
  <si>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</si>
  <si>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</si>
  <si>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</si>
  <si>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</si>
  <si>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</si>
  <si>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</si>
  <si>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</si>
  <si>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</si>
  <si>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</si>
  <si>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</si>
  <si>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</si>
  <si>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</si>
  <si>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</si>
  <si>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</si>
  <si>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</si>
  <si>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</si>
  <si>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</si>
  <si>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</si>
  <si>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</si>
  <si>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</si>
  <si>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</si>
  <si>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</si>
  <si>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</si>
  <si>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</si>
  <si>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</si>
  <si>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</si>
  <si>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</si>
  <si>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</si>
  <si>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</si>
  <si>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</si>
  <si>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</si>
  <si>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</si>
  <si>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</si>
  <si>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</si>
  <si>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</si>
  <si>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</si>
  <si>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</si>
  <si>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</si>
  <si>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</si>
  <si>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</si>
  <si>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</si>
  <si>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</si>
  <si>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</si>
  <si>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</si>
  <si>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</si>
  <si>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</si>
  <si>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</si>
  <si>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</si>
  <si>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</si>
  <si>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</si>
  <si>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</si>
  <si>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</si>
  <si>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</si>
  <si>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</si>
  <si>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</si>
  <si>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</si>
  <si>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</si>
  <si>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</si>
  <si>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</si>
  <si>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</si>
  <si>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</si>
  <si>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</si>
  <si>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</si>
  <si>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</si>
  <si>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</si>
  <si>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</si>
  <si>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</si>
  <si>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</si>
  <si>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</si>
  <si>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</si>
  <si>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</si>
  <si>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</si>
  <si>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</si>
  <si>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</si>
  <si>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</si>
  <si>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</si>
  <si>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</si>
  <si>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</si>
  <si>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</si>
  <si>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</si>
  <si>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</si>
  <si>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</si>
  <si>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</si>
  <si>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</si>
  <si>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</si>
  <si>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</si>
  <si>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</si>
  <si>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</si>
  <si>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</si>
  <si>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</si>
  <si>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</si>
  <si>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</si>
  <si>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</si>
  <si>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</si>
  <si>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</si>
  <si>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</si>
  <si>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</si>
  <si>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</si>
  <si>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</si>
  <si>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</si>
  <si>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</si>
  <si>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</si>
  <si>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</si>
  <si>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</si>
  <si>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</si>
  <si>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</si>
  <si>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</si>
  <si>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</si>
  <si>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</si>
  <si>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</si>
  <si>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</si>
  <si>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</si>
  <si>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</si>
  <si>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</si>
  <si>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</si>
  <si>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</si>
  <si>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</si>
  <si>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</si>
  <si>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</si>
  <si>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</si>
  <si>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</si>
  <si>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楼号</t>
  </si>
  <si>
    <t>地上</t>
  </si>
  <si>
    <t>地下</t>
  </si>
  <si>
    <t>戊类厂房</t>
  </si>
  <si>
    <t>集体宿舍</t>
  </si>
  <si>
    <t>汽车库</t>
  </si>
  <si>
    <t>餐厅、厨房</t>
  </si>
  <si>
    <t>厂房</t>
  </si>
  <si>
    <t>设备机房及其他</t>
  </si>
  <si>
    <t>设备</t>
  </si>
  <si>
    <t>总计</t>
  </si>
  <si>
    <r>
      <t>一区</t>
    </r>
    <r>
      <rPr>
        <sz val="10"/>
        <color rgb="FF000000"/>
        <rFont val="Arial"/>
        <family val="2"/>
      </rPr>
      <t>1</t>
    </r>
    <r>
      <rPr>
        <sz val="10"/>
        <color rgb="FF000000"/>
        <rFont val="华文细黑"/>
        <family val="3"/>
        <charset val="134"/>
      </rPr>
      <t>号楼</t>
    </r>
  </si>
  <si>
    <r>
      <t>一区</t>
    </r>
    <r>
      <rPr>
        <sz val="10"/>
        <color rgb="FF000000"/>
        <rFont val="Arial"/>
        <family val="2"/>
      </rPr>
      <t>2</t>
    </r>
    <r>
      <rPr>
        <sz val="10"/>
        <color rgb="FF000000"/>
        <rFont val="华文细黑"/>
        <family val="3"/>
        <charset val="134"/>
      </rPr>
      <t>号楼</t>
    </r>
  </si>
  <si>
    <r>
      <t>一区</t>
    </r>
    <r>
      <rPr>
        <sz val="10"/>
        <color rgb="FF000000"/>
        <rFont val="Arial"/>
        <family val="2"/>
      </rPr>
      <t>101</t>
    </r>
    <r>
      <rPr>
        <sz val="10"/>
        <color rgb="FF000000"/>
        <rFont val="华文细黑"/>
        <family val="3"/>
        <charset val="134"/>
      </rPr>
      <t>幢</t>
    </r>
  </si>
  <si>
    <r>
      <t>一区</t>
    </r>
    <r>
      <rPr>
        <sz val="10"/>
        <color rgb="FF000000"/>
        <rFont val="Arial"/>
        <family val="2"/>
      </rPr>
      <t>3</t>
    </r>
    <r>
      <rPr>
        <sz val="10"/>
        <color rgb="FF000000"/>
        <rFont val="华文细黑"/>
        <family val="3"/>
        <charset val="134"/>
      </rPr>
      <t>号楼</t>
    </r>
  </si>
  <si>
    <r>
      <t>一区</t>
    </r>
    <r>
      <rPr>
        <sz val="10"/>
        <color rgb="FF000000"/>
        <rFont val="Arial"/>
        <family val="2"/>
      </rPr>
      <t>4</t>
    </r>
    <r>
      <rPr>
        <sz val="10"/>
        <color rgb="FF000000"/>
        <rFont val="华文细黑"/>
        <family val="3"/>
        <charset val="134"/>
      </rPr>
      <t>号楼</t>
    </r>
  </si>
  <si>
    <r>
      <t>一区</t>
    </r>
    <r>
      <rPr>
        <sz val="10"/>
        <color rgb="FF000000"/>
        <rFont val="Arial"/>
        <family val="2"/>
      </rPr>
      <t>5</t>
    </r>
    <r>
      <rPr>
        <sz val="10"/>
        <color rgb="FF000000"/>
        <rFont val="华文细黑"/>
        <family val="3"/>
        <charset val="134"/>
      </rPr>
      <t>号楼</t>
    </r>
  </si>
  <si>
    <r>
      <t>二区</t>
    </r>
    <r>
      <rPr>
        <sz val="10"/>
        <color rgb="FF000000"/>
        <rFont val="Arial"/>
        <family val="2"/>
      </rPr>
      <t>1</t>
    </r>
    <r>
      <rPr>
        <sz val="10"/>
        <color rgb="FF000000"/>
        <rFont val="华文细黑"/>
        <family val="3"/>
        <charset val="134"/>
      </rPr>
      <t>号楼</t>
    </r>
  </si>
  <si>
    <r>
      <t>二区</t>
    </r>
    <r>
      <rPr>
        <sz val="10"/>
        <color rgb="FF000000"/>
        <rFont val="Arial"/>
        <family val="2"/>
      </rPr>
      <t>2</t>
    </r>
    <r>
      <rPr>
        <sz val="10"/>
        <color rgb="FF000000"/>
        <rFont val="华文细黑"/>
        <family val="3"/>
        <charset val="134"/>
      </rPr>
      <t>号楼</t>
    </r>
  </si>
  <si>
    <r>
      <t>二区</t>
    </r>
    <r>
      <rPr>
        <sz val="10"/>
        <color rgb="FF000000"/>
        <rFont val="Arial"/>
        <family val="2"/>
      </rPr>
      <t>3</t>
    </r>
    <r>
      <rPr>
        <sz val="10"/>
        <color rgb="FF000000"/>
        <rFont val="华文细黑"/>
        <family val="3"/>
        <charset val="134"/>
      </rPr>
      <t>号楼</t>
    </r>
  </si>
  <si>
    <r>
      <t>二区</t>
    </r>
    <r>
      <rPr>
        <sz val="10"/>
        <color rgb="FF000000"/>
        <rFont val="Arial"/>
        <family val="2"/>
      </rPr>
      <t>4</t>
    </r>
    <r>
      <rPr>
        <sz val="10"/>
        <color rgb="FF000000"/>
        <rFont val="华文细黑"/>
        <family val="3"/>
        <charset val="134"/>
      </rPr>
      <t>号楼</t>
    </r>
  </si>
  <si>
    <r>
      <t>二区</t>
    </r>
    <r>
      <rPr>
        <sz val="10"/>
        <color rgb="FF000000"/>
        <rFont val="Arial"/>
        <family val="2"/>
      </rPr>
      <t>5</t>
    </r>
    <r>
      <rPr>
        <sz val="10"/>
        <color rgb="FF000000"/>
        <rFont val="华文细黑"/>
        <family val="3"/>
        <charset val="134"/>
      </rPr>
      <t>号楼</t>
    </r>
  </si>
  <si>
    <r>
      <t>二区</t>
    </r>
    <r>
      <rPr>
        <sz val="10"/>
        <color rgb="FF000000"/>
        <rFont val="Arial"/>
        <family val="2"/>
      </rPr>
      <t>6</t>
    </r>
    <r>
      <rPr>
        <sz val="10"/>
        <color rgb="FF000000"/>
        <rFont val="华文细黑"/>
        <family val="3"/>
        <charset val="134"/>
      </rPr>
      <t>号楼</t>
    </r>
  </si>
  <si>
    <r>
      <t>二区</t>
    </r>
    <r>
      <rPr>
        <sz val="10"/>
        <color rgb="FF000000"/>
        <rFont val="Arial"/>
        <family val="2"/>
      </rPr>
      <t>7</t>
    </r>
    <r>
      <rPr>
        <sz val="10"/>
        <color rgb="FF000000"/>
        <rFont val="华文细黑"/>
        <family val="3"/>
        <charset val="134"/>
      </rPr>
      <t>号楼</t>
    </r>
  </si>
  <si>
    <r>
      <t>二区</t>
    </r>
    <r>
      <rPr>
        <sz val="10"/>
        <color rgb="FF000000"/>
        <rFont val="Arial"/>
        <family val="2"/>
      </rPr>
      <t>8</t>
    </r>
    <r>
      <rPr>
        <sz val="10"/>
        <color rgb="FF000000"/>
        <rFont val="华文细黑"/>
        <family val="3"/>
        <charset val="134"/>
      </rPr>
      <t>号楼</t>
    </r>
  </si>
  <si>
    <r>
      <t>二区</t>
    </r>
    <r>
      <rPr>
        <sz val="10"/>
        <color rgb="FF000000"/>
        <rFont val="Arial"/>
        <family val="2"/>
      </rPr>
      <t>9</t>
    </r>
    <r>
      <rPr>
        <sz val="10"/>
        <color rgb="FF000000"/>
        <rFont val="华文细黑"/>
        <family val="3"/>
        <charset val="134"/>
      </rPr>
      <t>号楼</t>
    </r>
  </si>
  <si>
    <r>
      <t>二区</t>
    </r>
    <r>
      <rPr>
        <sz val="10"/>
        <color rgb="FF000000"/>
        <rFont val="Arial"/>
        <family val="2"/>
      </rPr>
      <t>10</t>
    </r>
    <r>
      <rPr>
        <sz val="10"/>
        <color rgb="FF000000"/>
        <rFont val="华文细黑"/>
        <family val="3"/>
        <charset val="134"/>
      </rPr>
      <t>号楼</t>
    </r>
  </si>
  <si>
    <r>
      <t>二区</t>
    </r>
    <r>
      <rPr>
        <sz val="10"/>
        <color rgb="FF000000"/>
        <rFont val="Arial"/>
        <family val="2"/>
      </rPr>
      <t>11</t>
    </r>
    <r>
      <rPr>
        <sz val="10"/>
        <color rgb="FF000000"/>
        <rFont val="华文细黑"/>
        <family val="3"/>
        <charset val="134"/>
      </rPr>
      <t>号楼</t>
    </r>
  </si>
  <si>
    <r>
      <t>二区</t>
    </r>
    <r>
      <rPr>
        <sz val="10"/>
        <color rgb="FF000000"/>
        <rFont val="Arial"/>
        <family val="2"/>
      </rPr>
      <t>12</t>
    </r>
    <r>
      <rPr>
        <sz val="10"/>
        <color rgb="FF000000"/>
        <rFont val="华文细黑"/>
        <family val="3"/>
        <charset val="134"/>
      </rPr>
      <t>号楼</t>
    </r>
  </si>
  <si>
    <r>
      <t>二区</t>
    </r>
    <r>
      <rPr>
        <sz val="10"/>
        <color rgb="FF000000"/>
        <rFont val="Arial"/>
        <family val="2"/>
      </rPr>
      <t>13</t>
    </r>
    <r>
      <rPr>
        <sz val="10"/>
        <color rgb="FF000000"/>
        <rFont val="华文细黑"/>
        <family val="3"/>
        <charset val="134"/>
      </rPr>
      <t>号楼</t>
    </r>
  </si>
  <si>
    <r>
      <t>二区</t>
    </r>
    <r>
      <rPr>
        <sz val="10"/>
        <color rgb="FF000000"/>
        <rFont val="Arial"/>
        <family val="2"/>
      </rPr>
      <t>101</t>
    </r>
    <r>
      <rPr>
        <sz val="10"/>
        <color rgb="FF000000"/>
        <rFont val="华文细黑"/>
        <family val="3"/>
        <charset val="134"/>
      </rPr>
      <t>幢</t>
    </r>
  </si>
  <si>
    <r>
      <t>四区</t>
    </r>
    <r>
      <rPr>
        <sz val="10"/>
        <color rgb="FF000000"/>
        <rFont val="Arial"/>
        <family val="2"/>
      </rPr>
      <t>3</t>
    </r>
    <r>
      <rPr>
        <sz val="10"/>
        <color rgb="FF000000"/>
        <rFont val="华文细黑"/>
        <family val="3"/>
        <charset val="134"/>
      </rPr>
      <t>号楼</t>
    </r>
  </si>
  <si>
    <t>宿舍</t>
  </si>
  <si>
    <r>
      <t>2#</t>
    </r>
    <r>
      <rPr>
        <sz val="10"/>
        <color theme="1"/>
        <rFont val="华文细黑"/>
        <family val="3"/>
        <charset val="134"/>
      </rPr>
      <t>宿舍</t>
    </r>
  </si>
  <si>
    <r>
      <t>三区</t>
    </r>
    <r>
      <rPr>
        <sz val="10"/>
        <color theme="1"/>
        <rFont val="Arial"/>
        <family val="2"/>
      </rPr>
      <t>1</t>
    </r>
    <r>
      <rPr>
        <sz val="10"/>
        <color theme="1"/>
        <rFont val="华文细黑"/>
        <family val="3"/>
        <charset val="134"/>
      </rPr>
      <t>号楼</t>
    </r>
  </si>
  <si>
    <r>
      <t>25#</t>
    </r>
    <r>
      <rPr>
        <sz val="10"/>
        <color theme="1"/>
        <rFont val="华文细黑"/>
        <family val="3"/>
        <charset val="134"/>
      </rPr>
      <t>厂房</t>
    </r>
    <r>
      <rPr>
        <sz val="10"/>
        <color theme="1"/>
        <rFont val="Arial"/>
        <family val="2"/>
      </rPr>
      <t>-A</t>
    </r>
  </si>
  <si>
    <r>
      <t>三区</t>
    </r>
    <r>
      <rPr>
        <sz val="10"/>
        <color theme="1"/>
        <rFont val="Arial"/>
        <family val="2"/>
      </rPr>
      <t>2</t>
    </r>
    <r>
      <rPr>
        <sz val="10"/>
        <color theme="1"/>
        <rFont val="华文细黑"/>
        <family val="3"/>
        <charset val="134"/>
      </rPr>
      <t>号楼</t>
    </r>
  </si>
  <si>
    <r>
      <t>25#</t>
    </r>
    <r>
      <rPr>
        <sz val="10"/>
        <color theme="1"/>
        <rFont val="华文细黑"/>
        <family val="3"/>
        <charset val="134"/>
      </rPr>
      <t>厂房</t>
    </r>
    <r>
      <rPr>
        <sz val="10"/>
        <color theme="1"/>
        <rFont val="Arial"/>
        <family val="2"/>
      </rPr>
      <t>-B</t>
    </r>
  </si>
  <si>
    <r>
      <t>三区</t>
    </r>
    <r>
      <rPr>
        <sz val="10"/>
        <color theme="1"/>
        <rFont val="Arial"/>
        <family val="2"/>
      </rPr>
      <t>3</t>
    </r>
    <r>
      <rPr>
        <sz val="10"/>
        <color theme="1"/>
        <rFont val="华文细黑"/>
        <family val="3"/>
        <charset val="134"/>
      </rPr>
      <t>号楼</t>
    </r>
  </si>
  <si>
    <r>
      <t>32#</t>
    </r>
    <r>
      <rPr>
        <sz val="10"/>
        <color theme="1"/>
        <rFont val="华文细黑"/>
        <family val="3"/>
        <charset val="134"/>
      </rPr>
      <t>厂房</t>
    </r>
    <r>
      <rPr>
        <sz val="10"/>
        <color theme="1"/>
        <rFont val="Arial"/>
        <family val="2"/>
      </rPr>
      <t>-A</t>
    </r>
  </si>
  <si>
    <r>
      <t>三区</t>
    </r>
    <r>
      <rPr>
        <sz val="10"/>
        <color theme="1"/>
        <rFont val="Arial"/>
        <family val="2"/>
      </rPr>
      <t>4</t>
    </r>
    <r>
      <rPr>
        <sz val="10"/>
        <color theme="1"/>
        <rFont val="华文细黑"/>
        <family val="3"/>
        <charset val="134"/>
      </rPr>
      <t>号楼</t>
    </r>
  </si>
  <si>
    <t>北区车库</t>
  </si>
  <si>
    <t>设备用房</t>
  </si>
  <si>
    <r>
      <t>48#</t>
    </r>
    <r>
      <rPr>
        <sz val="10"/>
        <color theme="1"/>
        <rFont val="华文细黑"/>
        <family val="3"/>
        <charset val="134"/>
      </rPr>
      <t>厂房</t>
    </r>
  </si>
  <si>
    <r>
      <t>四区</t>
    </r>
    <r>
      <rPr>
        <sz val="10"/>
        <color theme="1"/>
        <rFont val="Arial"/>
        <family val="2"/>
      </rPr>
      <t>4</t>
    </r>
    <r>
      <rPr>
        <sz val="10"/>
        <color theme="1"/>
        <rFont val="华文细黑"/>
        <family val="3"/>
        <charset val="134"/>
      </rPr>
      <t>号楼</t>
    </r>
  </si>
  <si>
    <r>
      <t>47#</t>
    </r>
    <r>
      <rPr>
        <sz val="10"/>
        <color theme="1"/>
        <rFont val="华文细黑"/>
        <family val="3"/>
        <charset val="134"/>
      </rPr>
      <t>厂房</t>
    </r>
  </si>
  <si>
    <r>
      <t>四区</t>
    </r>
    <r>
      <rPr>
        <sz val="10"/>
        <color theme="1"/>
        <rFont val="Arial"/>
        <family val="2"/>
      </rPr>
      <t>5</t>
    </r>
    <r>
      <rPr>
        <sz val="10"/>
        <color theme="1"/>
        <rFont val="华文细黑"/>
        <family val="3"/>
        <charset val="134"/>
      </rPr>
      <t>号楼</t>
    </r>
  </si>
  <si>
    <r>
      <t>43#</t>
    </r>
    <r>
      <rPr>
        <sz val="10"/>
        <color theme="1"/>
        <rFont val="华文细黑"/>
        <family val="3"/>
        <charset val="134"/>
      </rPr>
      <t>厂房</t>
    </r>
  </si>
  <si>
    <r>
      <t>四区</t>
    </r>
    <r>
      <rPr>
        <sz val="10"/>
        <color theme="1"/>
        <rFont val="Arial"/>
        <family val="2"/>
      </rPr>
      <t>6</t>
    </r>
    <r>
      <rPr>
        <sz val="10"/>
        <color theme="1"/>
        <rFont val="华文细黑"/>
        <family val="3"/>
        <charset val="134"/>
      </rPr>
      <t>号楼</t>
    </r>
  </si>
  <si>
    <r>
      <t>40#</t>
    </r>
    <r>
      <rPr>
        <sz val="10"/>
        <color theme="1"/>
        <rFont val="华文细黑"/>
        <family val="3"/>
        <charset val="134"/>
      </rPr>
      <t>厂房</t>
    </r>
  </si>
  <si>
    <r>
      <t>四区</t>
    </r>
    <r>
      <rPr>
        <sz val="10"/>
        <color theme="1"/>
        <rFont val="Arial"/>
        <family val="2"/>
      </rPr>
      <t>7</t>
    </r>
    <r>
      <rPr>
        <sz val="10"/>
        <color theme="1"/>
        <rFont val="华文细黑"/>
        <family val="3"/>
        <charset val="134"/>
      </rPr>
      <t>号楼</t>
    </r>
  </si>
  <si>
    <r>
      <t>36#</t>
    </r>
    <r>
      <rPr>
        <sz val="10"/>
        <color theme="1"/>
        <rFont val="华文细黑"/>
        <family val="3"/>
        <charset val="134"/>
      </rPr>
      <t>厂房</t>
    </r>
  </si>
  <si>
    <r>
      <t>四区</t>
    </r>
    <r>
      <rPr>
        <sz val="10"/>
        <color theme="1"/>
        <rFont val="Arial"/>
        <family val="2"/>
      </rPr>
      <t>8</t>
    </r>
    <r>
      <rPr>
        <sz val="10"/>
        <color theme="1"/>
        <rFont val="华文细黑"/>
        <family val="3"/>
        <charset val="134"/>
      </rPr>
      <t>号楼</t>
    </r>
  </si>
  <si>
    <r>
      <t>46#</t>
    </r>
    <r>
      <rPr>
        <sz val="10"/>
        <color theme="1"/>
        <rFont val="华文细黑"/>
        <family val="3"/>
        <charset val="134"/>
      </rPr>
      <t>厂房</t>
    </r>
  </si>
  <si>
    <r>
      <t>四区</t>
    </r>
    <r>
      <rPr>
        <sz val="10"/>
        <color theme="1"/>
        <rFont val="Arial"/>
        <family val="2"/>
      </rPr>
      <t>9</t>
    </r>
    <r>
      <rPr>
        <sz val="10"/>
        <color theme="1"/>
        <rFont val="华文细黑"/>
        <family val="3"/>
        <charset val="134"/>
      </rPr>
      <t>号楼</t>
    </r>
  </si>
  <si>
    <r>
      <t>39#</t>
    </r>
    <r>
      <rPr>
        <sz val="10"/>
        <color theme="1"/>
        <rFont val="华文细黑"/>
        <family val="3"/>
        <charset val="134"/>
      </rPr>
      <t>厂房</t>
    </r>
  </si>
  <si>
    <r>
      <t>四区</t>
    </r>
    <r>
      <rPr>
        <sz val="10"/>
        <color theme="1"/>
        <rFont val="Arial"/>
        <family val="2"/>
      </rPr>
      <t>10</t>
    </r>
    <r>
      <rPr>
        <sz val="10"/>
        <color theme="1"/>
        <rFont val="华文细黑"/>
        <family val="3"/>
        <charset val="134"/>
      </rPr>
      <t>号楼</t>
    </r>
  </si>
  <si>
    <r>
      <t>37#</t>
    </r>
    <r>
      <rPr>
        <sz val="10"/>
        <color theme="1"/>
        <rFont val="华文细黑"/>
        <family val="3"/>
        <charset val="134"/>
      </rPr>
      <t>厂房</t>
    </r>
  </si>
  <si>
    <r>
      <t>四区</t>
    </r>
    <r>
      <rPr>
        <sz val="10"/>
        <color theme="1"/>
        <rFont val="Arial"/>
        <family val="2"/>
      </rPr>
      <t>11</t>
    </r>
    <r>
      <rPr>
        <sz val="10"/>
        <color theme="1"/>
        <rFont val="华文细黑"/>
        <family val="3"/>
        <charset val="134"/>
      </rPr>
      <t>号楼</t>
    </r>
  </si>
  <si>
    <r>
      <t>45#</t>
    </r>
    <r>
      <rPr>
        <sz val="10"/>
        <color theme="1"/>
        <rFont val="华文细黑"/>
        <family val="3"/>
        <charset val="134"/>
      </rPr>
      <t>厂房</t>
    </r>
  </si>
  <si>
    <r>
      <t>四区</t>
    </r>
    <r>
      <rPr>
        <sz val="10"/>
        <color theme="1"/>
        <rFont val="Arial"/>
        <family val="2"/>
      </rPr>
      <t>12</t>
    </r>
    <r>
      <rPr>
        <sz val="10"/>
        <color theme="1"/>
        <rFont val="华文细黑"/>
        <family val="3"/>
        <charset val="134"/>
      </rPr>
      <t>号楼</t>
    </r>
  </si>
  <si>
    <r>
      <t>44#</t>
    </r>
    <r>
      <rPr>
        <sz val="10"/>
        <color theme="1"/>
        <rFont val="华文细黑"/>
        <family val="3"/>
        <charset val="134"/>
      </rPr>
      <t>厂房</t>
    </r>
  </si>
  <si>
    <r>
      <t>四区</t>
    </r>
    <r>
      <rPr>
        <sz val="10"/>
        <color theme="1"/>
        <rFont val="Arial"/>
        <family val="2"/>
      </rPr>
      <t>13</t>
    </r>
    <r>
      <rPr>
        <sz val="10"/>
        <color theme="1"/>
        <rFont val="华文细黑"/>
        <family val="3"/>
        <charset val="134"/>
      </rPr>
      <t>号楼</t>
    </r>
  </si>
  <si>
    <t>南区车库</t>
  </si>
  <si>
    <r>
      <t>四区</t>
    </r>
    <r>
      <rPr>
        <sz val="10"/>
        <color theme="1"/>
        <rFont val="Arial"/>
        <family val="2"/>
      </rPr>
      <t>16</t>
    </r>
    <r>
      <rPr>
        <sz val="10"/>
        <color theme="1"/>
        <rFont val="华文细黑"/>
        <family val="3"/>
        <charset val="134"/>
      </rPr>
      <t>幢</t>
    </r>
  </si>
  <si>
    <t>抵押</t>
  </si>
  <si>
    <t>房地产抵押价值</t>
  </si>
  <si>
    <t>北京市</t>
  </si>
  <si>
    <t>企业</t>
  </si>
  <si>
    <t>出让</t>
  </si>
  <si>
    <t>现房</t>
  </si>
  <si>
    <t>是</t>
  </si>
  <si>
    <t>标准厂房</t>
  </si>
  <si>
    <t>仓储</t>
  </si>
  <si>
    <t>车库</t>
  </si>
  <si>
    <t>地上厂房</t>
    <phoneticPr fontId="140" type="noConversion"/>
  </si>
  <si>
    <t>地下厂房</t>
  </si>
  <si>
    <t>地下厂房</t>
    <phoneticPr fontId="140" type="noConversion"/>
  </si>
  <si>
    <t>地下车库</t>
    <phoneticPr fontId="140" type="noConversion"/>
  </si>
  <si>
    <t>地上设备</t>
    <phoneticPr fontId="140" type="noConversion"/>
  </si>
  <si>
    <t>地下设备</t>
    <phoneticPr fontId="140" type="noConversion"/>
  </si>
  <si>
    <t>厂房</t>
    <phoneticPr fontId="3" type="noConversion"/>
  </si>
  <si>
    <t>地下厂房</t>
    <phoneticPr fontId="3" type="noConversion"/>
  </si>
  <si>
    <t>地下车库</t>
    <phoneticPr fontId="3" type="noConversion"/>
  </si>
  <si>
    <t>合计</t>
    <phoneticPr fontId="140" type="noConversion"/>
  </si>
  <si>
    <t>成本法</t>
  </si>
  <si>
    <t>收益法（汇总）</t>
  </si>
  <si>
    <t>总价</t>
  </si>
  <si>
    <t>地块名称</t>
  </si>
  <si>
    <t>地块编号</t>
  </si>
  <si>
    <t>区县</t>
  </si>
  <si>
    <t>板块</t>
  </si>
  <si>
    <t>土地位置</t>
  </si>
  <si>
    <t>用地性质</t>
  </si>
  <si>
    <t>建设用地面积(㎡)</t>
  </si>
  <si>
    <t>规划建筑面积(㎡)</t>
  </si>
  <si>
    <t>容积率</t>
  </si>
  <si>
    <t>详细规划</t>
  </si>
  <si>
    <t>成交日期</t>
  </si>
  <si>
    <t>公告编号</t>
  </si>
  <si>
    <t>成交状态</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</si>
  <si>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</si>
  <si>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</si>
  <si>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</si>
  <si>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</si>
  <si>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</si>
  <si>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</si>
  <si>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</si>
  <si>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</si>
  <si>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</si>
  <si>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</si>
  <si>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</si>
  <si>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</si>
  <si>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</si>
  <si>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</si>
  <si>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</si>
  <si>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北京石化新材料科技产业基地核心区东区B7-13、B7-18地块工业用地项目    </t>
  </si>
  <si>
    <t xml:space="preserve"> 京土整储挂(房)工业【2021】001号</t>
  </si>
  <si>
    <t xml:space="preserve"> 房山区</t>
  </si>
  <si>
    <t xml:space="preserve"> 东风街道</t>
  </si>
  <si>
    <t xml:space="preserve"> 房山区城关街道前、后朱各庄村</t>
  </si>
  <si>
    <t xml:space="preserve"> 工业用地</t>
  </si>
  <si>
    <t xml:space="preserve"> ≤1.0</t>
  </si>
  <si>
    <t xml:space="preserve"> M1一类工业用地</t>
  </si>
  <si>
    <t xml:space="preserve"> -- </t>
  </si>
  <si>
    <t xml:space="preserve"> --</t>
  </si>
  <si>
    <t xml:space="preserve"> 已成交</t>
  </si>
  <si>
    <t xml:space="preserve"> 北京燕和盛投资管理有限公司  </t>
  </si>
  <si>
    <t xml:space="preserve"> 20年</t>
  </si>
  <si>
    <t xml:space="preserve">北京高端制造业基地06街区03地块工业用地项目   </t>
  </si>
  <si>
    <t xml:space="preserve"> 京土整储挂(房)工业【2020】002号</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</si>
  <si>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</si>
  <si>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</si>
  <si>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</si>
  <si>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</si>
  <si>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</si>
  <si>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京土整储挂(房)工业[2020]001号</t>
  </si>
  <si>
    <t xml:space="preserve"> 房山区窦店镇</t>
  </si>
  <si>
    <t xml:space="preserve"> ≤1.2</t>
  </si>
  <si>
    <t xml:space="preserve"> 北京高端制造业基地投资开发有限公司  </t>
  </si>
  <si>
    <t xml:space="preserve">北京高端制造业基地06街区02地块项目   </t>
  </si>
  <si>
    <t xml:space="preserve"> 京土整储挂(房)工业〔2019〕002号</t>
  </si>
  <si>
    <t xml:space="preserve"> 房山区窦店</t>
  </si>
  <si>
    <t xml:space="preserve"> M4工业研发用地、S4社会停车场用地</t>
  </si>
  <si>
    <t xml:space="preserve">北京高端制造业(房山)基地01街区01-02(1)地块工业用地项目  </t>
  </si>
  <si>
    <t xml:space="preserve"> 京土整储挂(房)工业〔2018〕001号</t>
  </si>
  <si>
    <t xml:space="preserve"> 房山区窦店镇望楚村</t>
  </si>
  <si>
    <t xml:space="preserve"> 1.20</t>
  </si>
  <si>
    <t xml:space="preserve"> 一类工业用地</t>
  </si>
  <si>
    <t xml:space="preserve"> 北京龙源开关设备有限责任公司  </t>
  </si>
  <si>
    <t xml:space="preserve">北京高端制造业(房山)基地01街区01-03剩余地块工业用地项目  </t>
  </si>
  <si>
    <t xml:space="preserve"> 京土整储挂(房)工业〔2018〕002号</t>
  </si>
  <si>
    <t xml:space="preserve"> 北京岳氏安防科技有限公司  </t>
  </si>
  <si>
    <t xml:space="preserve">北京市高端制造业(房山)基地01街区01-03地块部分用地项目  </t>
  </si>
  <si>
    <t xml:space="preserve"> 京土整储挂(房)工业[2017]001号</t>
  </si>
  <si>
    <t xml:space="preserve"> 北京天仁道和新材料有限公司  </t>
  </si>
  <si>
    <t xml:space="preserve"> 50年</t>
  </si>
  <si>
    <t xml:space="preserve">北京石化新材料科技产业基地核心区东区B5-10(2)地块工业用地项目  </t>
  </si>
  <si>
    <t xml:space="preserve"> 京土整储挂(房)工业[2016]002号</t>
  </si>
  <si>
    <t xml:space="preserve"> 北京市房山区城关街道前朱各庄村</t>
  </si>
  <si>
    <t xml:space="preserve"> 北京环宇京辉京城气体科技有限公司  </t>
  </si>
  <si>
    <t xml:space="preserve">北京高端制造业(房山)基地03街区F区工业用地项目  </t>
  </si>
  <si>
    <t xml:space="preserve"> 京土整储挂(房)工业[2016]001号</t>
  </si>
  <si>
    <t xml:space="preserve"> 北京市房山区窦店镇</t>
  </si>
  <si>
    <t xml:space="preserve"> 北京中关村前沿技术产业发展有限公司  </t>
  </si>
  <si>
    <t xml:space="preserve">北京高端制造业基地03街区R区二期工业用地项目  </t>
  </si>
  <si>
    <t xml:space="preserve"> 京土整储挂(房)工业[2015]006号</t>
  </si>
  <si>
    <t xml:space="preserve"> 北京凯达恒业农业技术开发有限公司  </t>
  </si>
  <si>
    <t xml:space="preserve">北京高端制造业基地03街区R区一期工业用地项目  </t>
  </si>
  <si>
    <t xml:space="preserve"> 京土整储挂(房)工业[2015]005号</t>
  </si>
  <si>
    <t xml:space="preserve"> 北京德信致远科技有限公司  </t>
  </si>
  <si>
    <t xml:space="preserve">北京石化新材料科技产业基地核心区东区B5-01地块(部分用地)工业用地项目  </t>
  </si>
  <si>
    <t xml:space="preserve"> 京土整储挂(房)工业[2015]004号</t>
  </si>
  <si>
    <t xml:space="preserve"> 房山区城关街道前朱各庄村</t>
  </si>
  <si>
    <t xml:space="preserve"> 北京中植医药科技有限公司  </t>
  </si>
  <si>
    <t xml:space="preserve">北京石化新材料科技产业基地核心区东区B2-24-04地块  </t>
  </si>
  <si>
    <t xml:space="preserve"> 京土整储挂(房)工业[2015]003号</t>
  </si>
  <si>
    <t xml:space="preserve"> 北京石化新材料科技产业基地核心区东区B2街区内</t>
  </si>
  <si>
    <t xml:space="preserve"> 1.00</t>
  </si>
  <si>
    <t xml:space="preserve"> 北京迅邦润泽物流有限公司  </t>
  </si>
  <si>
    <t xml:space="preserve">北京石化新材料科技产业基地核心区东区B5-10(1)等地块  </t>
  </si>
  <si>
    <t xml:space="preserve"> 京土整储挂(房)工业[2015]001号</t>
  </si>
  <si>
    <t xml:space="preserve"> ≤1</t>
  </si>
  <si>
    <t xml:space="preserve"> 北京京燕奥得赛化学有限公司  </t>
  </si>
  <si>
    <t xml:space="preserve">北京石化新材料科技产业基地核心区东区B5-13(1)等地块  </t>
  </si>
  <si>
    <t xml:space="preserve"> 京土整储挂(房)工业[2015]002号</t>
  </si>
  <si>
    <t xml:space="preserve">北京高端制造业(房山)基地03街区O区工业用地项目  </t>
  </si>
  <si>
    <t xml:space="preserve"> 京土整储挂(房)工业〔2014〕005号</t>
  </si>
  <si>
    <t xml:space="preserve"> 德信无线通讯科技(杭州)有限公司  </t>
  </si>
  <si>
    <t xml:space="preserve">北京石化新材料科技产业基地核心区东区B7-13、B7-18等地块工业用地项目  </t>
  </si>
  <si>
    <t xml:space="preserve"> 京土整储挂(房)工业〔2014〕011号</t>
  </si>
  <si>
    <t xml:space="preserve"> 房山区城关街道办事处前、后朱各庄村</t>
  </si>
  <si>
    <t xml:space="preserve"> 1</t>
  </si>
  <si>
    <t xml:space="preserve"> 实创家居装饰集团有限公司  </t>
  </si>
  <si>
    <t xml:space="preserve">北京高端制造业(房山)基地03街区L区工业用地项目  </t>
  </si>
  <si>
    <t xml:space="preserve"> 京土整储挂(房)工业〔2014〕002号</t>
  </si>
  <si>
    <t xml:space="preserve"> 北京航峰科伟装备技术股份有限公司  </t>
  </si>
  <si>
    <t xml:space="preserve">北京石化新材料科技产业基地核心区东区B7-15等地块工业用地项目  </t>
  </si>
  <si>
    <t xml:space="preserve"> 京土整储挂(房)工业〔2014〕009号</t>
  </si>
  <si>
    <t xml:space="preserve"> 北京坤源碳酸酯化学有限公司  </t>
  </si>
  <si>
    <t xml:space="preserve">北京高端制造业(房山)基地03街区P区工业用地项目  </t>
  </si>
  <si>
    <t xml:space="preserve"> 京土整储挂(房)工业〔2014〕006号</t>
  </si>
  <si>
    <t xml:space="preserve"> 0.83</t>
  </si>
  <si>
    <t xml:space="preserve"> 劳伦斯泵业机械(北京)有限公司  </t>
  </si>
  <si>
    <t xml:space="preserve">北京高端制造业(房山)基地03街区M区工业用地项目  </t>
  </si>
  <si>
    <t xml:space="preserve"> 京土整储挂(房)工业〔2014〕003号</t>
  </si>
  <si>
    <t xml:space="preserve"> 美景(北京)环保科技有限公司  </t>
  </si>
  <si>
    <t xml:space="preserve">北京石化新材料科技产业基地核心区东区B7-12等地块工业用地项目  </t>
  </si>
  <si>
    <t xml:space="preserve"> 京土整储挂(房)工业〔2014〕008号</t>
  </si>
  <si>
    <t xml:space="preserve"> 中石化催化剂(北京)有限公司  </t>
  </si>
  <si>
    <t xml:space="preserve">北京高端制造业(房山)基地01街区01-14至01-16地块A区工业用地项目  </t>
  </si>
  <si>
    <t xml:space="preserve"> 京土整储挂(房)工业〔2014〕007号</t>
  </si>
  <si>
    <t xml:space="preserve"> 北京金朋达航空科技有限公司  </t>
  </si>
  <si>
    <t xml:space="preserve">北京高端制造业(房山)基地03街区N区工业用地项目  </t>
  </si>
  <si>
    <t xml:space="preserve"> 京土整储挂(房)工业〔2014〕004号</t>
  </si>
  <si>
    <t xml:space="preserve"> 北京博曼迪汽车科技有限公司  </t>
  </si>
  <si>
    <t xml:space="preserve">北京石化新材料科技产业基地核心区东区B7-16等地块工业用地项目  </t>
  </si>
  <si>
    <t xml:space="preserve"> 京土整储挂(房)工业〔2014〕010号</t>
  </si>
  <si>
    <t xml:space="preserve"> 中国石化润滑油北京有限责任公司  </t>
  </si>
  <si>
    <t xml:space="preserve">房山区房山新城良乡组团14街区14-02-04等地块西侧工业用地项目  </t>
  </si>
  <si>
    <t xml:space="preserve"> 京土整储挂(房)工业〔2014〕001号</t>
  </si>
  <si>
    <t xml:space="preserve"> 房山区阎村镇</t>
  </si>
  <si>
    <t xml:space="preserve"> 2</t>
  </si>
  <si>
    <t xml:space="preserve"> 北京京煤化工有限公司  </t>
  </si>
  <si>
    <t xml:space="preserve">房山区窦店产业用地01街区01-01至01-08地块B区二期工业用地项目  </t>
  </si>
  <si>
    <t xml:space="preserve"> 京土整储挂(房)工业[2013]023号</t>
  </si>
  <si>
    <t xml:space="preserve"> 北京恒通创新赛木科技股份有限公司  </t>
  </si>
  <si>
    <t xml:space="preserve">房山区琉璃河镇中心区E-07地块工业用地项目  </t>
  </si>
  <si>
    <t xml:space="preserve"> 京土整储挂(房)工业〔2013〕022号</t>
  </si>
  <si>
    <t xml:space="preserve"> 房山区琉璃河镇</t>
  </si>
  <si>
    <t xml:space="preserve"> 1.47</t>
  </si>
  <si>
    <t xml:space="preserve"> 中粮(北京)农业生态谷发展有限公司  </t>
  </si>
  <si>
    <t xml:space="preserve">房山区窦店产业用地03街区I区  </t>
  </si>
  <si>
    <t xml:space="preserve"> 京土整储挂(房)工业〔2013〕018号</t>
  </si>
  <si>
    <t xml:space="preserve"> 北京九州一轨隔振技术有限公司  </t>
  </si>
  <si>
    <t xml:space="preserve">房山区窦店产业用地03街区K区  </t>
  </si>
  <si>
    <t xml:space="preserve"> 京土整储挂(房)工业〔2013〕019号</t>
  </si>
  <si>
    <t xml:space="preserve"> 北京智慧宏图企业管理咨询有限公司  </t>
  </si>
  <si>
    <t xml:space="preserve">房山燕房片区8号街区YF-010地块工业用地项目  </t>
  </si>
  <si>
    <t xml:space="preserve"> 京土整储挂(房)工业〔2013〕020号</t>
  </si>
  <si>
    <t xml:space="preserve"> 房山区城关街道</t>
  </si>
  <si>
    <t xml:space="preserve"> 2.50</t>
  </si>
  <si>
    <t xml:space="preserve"> 高新技术产业用地</t>
  </si>
  <si>
    <t xml:space="preserve"> 北京万通新材工贸有限公司  </t>
  </si>
  <si>
    <t xml:space="preserve">房山燕房片区8号街区YF-093地块工业用地项目  </t>
  </si>
  <si>
    <t xml:space="preserve"> 京土整储挂(房)工业〔2013〕021号</t>
  </si>
  <si>
    <t xml:space="preserve">房山区窦店产业用地03街区H区工业用地项目  </t>
  </si>
  <si>
    <t xml:space="preserve"> 京土整储挂(房)工业〔2013〕014号</t>
  </si>
  <si>
    <t xml:space="preserve"> 北京乐利荣汽车零部件有限公司  </t>
  </si>
  <si>
    <t xml:space="preserve">房山区窦店产业用地03街区G区工业用地项目  </t>
  </si>
  <si>
    <t xml:space="preserve"> 京土整储挂(房)工业〔2013〕013号</t>
  </si>
  <si>
    <t xml:space="preserve"> 北京普驰电气有限公司  </t>
  </si>
  <si>
    <t xml:space="preserve">房山区窦店产业用地03街区B区工业用地项目  </t>
  </si>
  <si>
    <t xml:space="preserve"> 京土整储挂(房)工业〔2013〕012号</t>
  </si>
  <si>
    <t xml:space="preserve"> 北京海斯特科技有限公司  </t>
  </si>
  <si>
    <t xml:space="preserve">房山区窦店产业用地03街区E区工业用地项目  </t>
  </si>
  <si>
    <t xml:space="preserve"> 京土整储挂(房)工业【2013】010号</t>
  </si>
  <si>
    <t xml:space="preserve"> 北京航天瑞祥科技发展有限公司  </t>
  </si>
  <si>
    <t xml:space="preserve">房山区窦店产业用地03街区J区工业用地项目  </t>
  </si>
  <si>
    <t xml:space="preserve"> 京土整储挂(房)工业【2013】011号</t>
  </si>
  <si>
    <t xml:space="preserve"> 1.13</t>
  </si>
  <si>
    <t xml:space="preserve"> 北京二七轨道交通装备有限责任公司  </t>
  </si>
  <si>
    <t xml:space="preserve">房山区窦店产业用地01街区01-01至01-08地块B区一期工业用地项目  </t>
  </si>
  <si>
    <t xml:space="preserve"> 京土整储挂(房)工业[2013]004号</t>
  </si>
  <si>
    <t xml:space="preserve"> 京土整储挂(房)工业〔2013〕004号</t>
  </si>
  <si>
    <t xml:space="preserve">房山新城燕房片区8号街区006地块工业用地项目  </t>
  </si>
  <si>
    <t xml:space="preserve"> 京土整储挂(房)工业[2013]009号</t>
  </si>
  <si>
    <t xml:space="preserve"> 0.80</t>
  </si>
  <si>
    <t xml:space="preserve"> 京土整储挂(房)工业〔2013〕009号</t>
  </si>
  <si>
    <t xml:space="preserve"> 北京市永康药业有限公司  </t>
  </si>
  <si>
    <t xml:space="preserve">房山区窦店产业用地03街区D区工业用地项目  </t>
  </si>
  <si>
    <t xml:space="preserve"> 京土整储挂(房)工业[2013]007号</t>
  </si>
  <si>
    <t xml:space="preserve"> 京土整储挂(房)工业〔2013〕007号</t>
  </si>
  <si>
    <t xml:space="preserve">房山区窦店产业用地03街区A区工业用地项目  </t>
  </si>
  <si>
    <t xml:space="preserve"> 京土整储挂(房)工业[2013]005号</t>
  </si>
  <si>
    <t xml:space="preserve"> 京土整储挂(房)工业〔2013〕005号</t>
  </si>
  <si>
    <t xml:space="preserve"> 北京矿大节能科技有限公司  </t>
  </si>
  <si>
    <t xml:space="preserve">房山新城燕房片区8号街区005地块工业用地项目  </t>
  </si>
  <si>
    <t xml:space="preserve"> 京土整储挂(房)工业[2013]008号</t>
  </si>
  <si>
    <t xml:space="preserve"> 京土整储挂(房)工业〔2013〕008号</t>
  </si>
  <si>
    <t xml:space="preserve"> 北京安龙科技集团有限公司  </t>
  </si>
  <si>
    <t xml:space="preserve">房山区窦店产业用地03街区C区工业用地项目  </t>
  </si>
  <si>
    <t xml:space="preserve"> 京土整储挂(房)工业[2013]006号</t>
  </si>
  <si>
    <t xml:space="preserve"> 京土整储挂(房)工业〔2013〕006号</t>
  </si>
  <si>
    <t xml:space="preserve">房山区窦店产业用地01街区01-14至01-16地块C区工业用地项目  </t>
  </si>
  <si>
    <t xml:space="preserve"> 京土整储挂(房)工业【2013】002号</t>
  </si>
  <si>
    <t xml:space="preserve">房山新城良乡组团14街区14-02-04等地块东侧工业用地项目  </t>
  </si>
  <si>
    <t xml:space="preserve"> 京土整储挂(房)工业【2013】003号</t>
  </si>
  <si>
    <t xml:space="preserve"> 2.00</t>
  </si>
  <si>
    <t xml:space="preserve"> 北京中融安全印务公司  </t>
  </si>
  <si>
    <t xml:space="preserve">房山区窦店产业用地01街区01-14至01-16地块B区工业用地项目  </t>
  </si>
  <si>
    <t xml:space="preserve"> 京土整储挂(房)工业【2013】001号</t>
  </si>
  <si>
    <t xml:space="preserve">北京石化新材料科技产业基地核心区东区B2-36-01地块  </t>
  </si>
  <si>
    <t xml:space="preserve"> 京土整储挂(房)工业[2012]003号</t>
  </si>
  <si>
    <t xml:space="preserve"> 房山区燕山办事处</t>
  </si>
  <si>
    <t xml:space="preserve"> 京土整储挂(房)工业【2012】003号</t>
  </si>
  <si>
    <t xml:space="preserve"> 北京八亿时空液晶科技股份有限公司  </t>
  </si>
  <si>
    <t xml:space="preserve">北京石化新材料科技产业基地核心区东区B2-24-01地块  </t>
  </si>
  <si>
    <t xml:space="preserve"> 京土整储挂(房)工业[2012]002号</t>
  </si>
  <si>
    <t xml:space="preserve">房山工业园区东区01-0021地块  </t>
  </si>
  <si>
    <t xml:space="preserve"> 京土整储挂(房)工业【2012】001号</t>
  </si>
  <si>
    <t xml:space="preserve"> 北京欣天燃气设备安装工程有限公司  </t>
  </si>
  <si>
    <t xml:space="preserve">北京石化新材料科技产业基地核心区东区B2-36-02地块工业用地项目  </t>
  </si>
  <si>
    <t xml:space="preserve"> 京土整储挂(房)工业【2011】002号</t>
  </si>
  <si>
    <t>年期修正</t>
  </si>
  <si>
    <t>修正后单价</t>
    <phoneticPr fontId="140" type="noConversion"/>
  </si>
  <si>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</si>
  <si>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</si>
  <si>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</si>
  <si>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</si>
  <si>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</si>
  <si>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</si>
  <si>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利息：取LPR加浮动点数</t>
  </si>
  <si>
    <t>成新度</t>
  </si>
  <si>
    <t>收益法</t>
  </si>
  <si>
    <t>收益法</t>
    <phoneticPr fontId="16" type="noConversion"/>
  </si>
  <si>
    <t>收益法地下厂房</t>
  </si>
  <si>
    <t>收益法地下厂房</t>
    <phoneticPr fontId="16" type="noConversion"/>
  </si>
  <si>
    <t>收益法地下车库</t>
  </si>
  <si>
    <t>收益法地下车库</t>
    <phoneticPr fontId="16" type="noConversion"/>
  </si>
  <si>
    <t>押一</t>
  </si>
  <si>
    <t>按租金收入计税</t>
  </si>
  <si>
    <t>钢混</t>
  </si>
  <si>
    <t>非生产用房</t>
  </si>
  <si>
    <t>自定义</t>
  </si>
  <si>
    <t>未包含在土地购买价格中</t>
  </si>
  <si>
    <t>全部缴纳</t>
  </si>
  <si>
    <t>已包含在土地取得成本中</t>
  </si>
  <si>
    <t>较差</t>
  </si>
  <si>
    <t>较好</t>
  </si>
  <si>
    <t>一般</t>
  </si>
  <si>
    <t>七通</t>
  </si>
  <si>
    <t>较规则</t>
  </si>
  <si>
    <t>较规则</t>
    <phoneticPr fontId="33" type="noConversion"/>
  </si>
  <si>
    <t>较好</t>
    <phoneticPr fontId="33" type="noConversion"/>
  </si>
  <si>
    <t>楼面地价</t>
  </si>
  <si>
    <t>三通</t>
  </si>
  <si>
    <t>吴薇</t>
  </si>
  <si>
    <t>崔锴</t>
  </si>
  <si>
    <t>不动产权正号</t>
    <phoneticPr fontId="140" type="noConversion"/>
  </si>
  <si>
    <t>京央（2022）市不动产权第0000504号</t>
    <phoneticPr fontId="140" type="noConversion"/>
  </si>
  <si>
    <t>京央（2022）市不动产权第0000503号</t>
    <phoneticPr fontId="140" type="noConversion"/>
  </si>
  <si>
    <t>京央（2022）市不动产权第0000407号</t>
    <phoneticPr fontId="140" type="noConversion"/>
  </si>
  <si>
    <t>京央（2022）市不动产权第0000408号</t>
    <phoneticPr fontId="140" type="noConversion"/>
  </si>
  <si>
    <t>京央（2022）市不动产权第0000502号</t>
    <phoneticPr fontId="140" type="noConversion"/>
  </si>
  <si>
    <t>京央（2022）市不动产权第0000501号</t>
    <phoneticPr fontId="140" type="noConversion"/>
  </si>
  <si>
    <t>京央（2022）市不动产权第0000500号</t>
    <phoneticPr fontId="140" type="noConversion"/>
  </si>
  <si>
    <t>京央（2022）市不动产权第0000499号</t>
    <phoneticPr fontId="140" type="noConversion"/>
  </si>
  <si>
    <t>京央（2022）市不动产权第0000505号</t>
  </si>
  <si>
    <t>京央（2022）市不动产权第0000506号</t>
  </si>
  <si>
    <t>京央（2022）市不动产权第0000507号</t>
  </si>
  <si>
    <t>京央（2022）市不动产权第0000508号</t>
  </si>
  <si>
    <t>京央（2022）市不动产权第0000509号</t>
    <phoneticPr fontId="140" type="noConversion"/>
  </si>
  <si>
    <t>未办证</t>
    <phoneticPr fontId="140" type="noConversion"/>
  </si>
  <si>
    <r>
      <t>四区</t>
    </r>
    <r>
      <rPr>
        <sz val="10"/>
        <color theme="1"/>
        <rFont val="Arial"/>
        <family val="2"/>
      </rPr>
      <t>15号楼</t>
    </r>
    <r>
      <rPr>
        <sz val="10"/>
        <color theme="1"/>
        <rFont val="华文细黑"/>
        <family val="3"/>
        <charset val="134"/>
      </rPr>
      <t/>
    </r>
  </si>
  <si>
    <t>配电室</t>
    <phoneticPr fontId="140" type="noConversion"/>
  </si>
  <si>
    <t>——</t>
    <phoneticPr fontId="140" type="noConversion"/>
  </si>
  <si>
    <t>京央（2022）市不动产权第0000510号</t>
  </si>
  <si>
    <t>京央（2022）市不动产权第0000412号</t>
    <phoneticPr fontId="140" type="noConversion"/>
  </si>
  <si>
    <t>京央（2022）市不动产权第0000483号</t>
    <phoneticPr fontId="140" type="noConversion"/>
  </si>
  <si>
    <t>规证楼号</t>
    <phoneticPr fontId="140" type="noConversion"/>
  </si>
  <si>
    <t>京央（2022）市不动产权第0000484号</t>
  </si>
  <si>
    <t>京央（2022）市不动产权第0000485号</t>
  </si>
  <si>
    <t>京央（2022）市不动产权第0000486号</t>
  </si>
  <si>
    <t>京央（2022）市不动产权第0000411号</t>
    <phoneticPr fontId="140" type="noConversion"/>
  </si>
  <si>
    <t>京央（2022）市不动产权第0000487号</t>
    <phoneticPr fontId="140" type="noConversion"/>
  </si>
  <si>
    <t>京央（2022）市不动产权第0000488号</t>
  </si>
  <si>
    <t>京央（2022）市不动产权第0000489号</t>
  </si>
  <si>
    <t>京央（2022）市不动产权第0000490号</t>
  </si>
  <si>
    <t>京央（2022）市不动产权第0000491号</t>
  </si>
  <si>
    <t>京央（2022）市不动产权第0000410号</t>
    <phoneticPr fontId="140" type="noConversion"/>
  </si>
  <si>
    <t>京央（2022）市不动产权第0000492号</t>
    <phoneticPr fontId="140" type="noConversion"/>
  </si>
  <si>
    <t>京央（2022）市不动产权第0000493号</t>
  </si>
  <si>
    <t>京央（2022）市不动产权第0000494号</t>
  </si>
  <si>
    <t>京央（2022）市不动产权第0000409号</t>
    <phoneticPr fontId="140" type="noConversion"/>
  </si>
  <si>
    <t>京央（2022）市不动产权第0000495号</t>
    <phoneticPr fontId="140" type="noConversion"/>
  </si>
  <si>
    <t>京央（2022）市不动产权第0000511号</t>
    <phoneticPr fontId="140" type="noConversion"/>
  </si>
  <si>
    <t>23#厂房</t>
  </si>
  <si>
    <t>京央（2022）市不动产权第0000512号</t>
  </si>
  <si>
    <t>京央（2022）市不动产权第0000496号</t>
    <phoneticPr fontId="140" type="noConversion"/>
  </si>
  <si>
    <t>京央（2022）市不动产权第0000497号</t>
  </si>
  <si>
    <t>京央（2022）市不动产权第0000498号</t>
  </si>
  <si>
    <t>京央（2022）市不动产权第0000513号</t>
    <phoneticPr fontId="140" type="noConversion"/>
  </si>
  <si>
    <t>京（2020）房不动产权第0024528号</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</si>
  <si>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</si>
  <si>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</si>
  <si>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</si>
  <si>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总建筑面积</t>
    <phoneticPr fontId="140" type="noConversion"/>
  </si>
  <si>
    <t>建筑面积及用途</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</si>
  <si>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</si>
  <si>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</si>
  <si>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</si>
  <si>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</si>
  <si>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</si>
  <si>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</si>
  <si>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</si>
  <si>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京（2020）房不动产权第0001598号</t>
    <phoneticPr fontId="140" type="noConversion"/>
  </si>
  <si>
    <t>京（2020）房不动产权第0001599号</t>
  </si>
  <si>
    <t>京（2020）房不动产权第0001600号</t>
  </si>
  <si>
    <t>京（2020）房不动产权第0001601号</t>
  </si>
  <si>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</si>
  <si>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</si>
  <si>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</si>
  <si>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</si>
  <si>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</si>
  <si>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</si>
  <si>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地下（一期B组团）</t>
    <phoneticPr fontId="3" type="noConversion"/>
  </si>
  <si>
    <t>1#综合厂房</t>
    <phoneticPr fontId="3" type="noConversion"/>
  </si>
  <si>
    <t>1#集体宿舍</t>
    <phoneticPr fontId="3" type="noConversion"/>
  </si>
  <si>
    <t>地下（一期A组团）</t>
    <phoneticPr fontId="3" type="noConversion"/>
  </si>
  <si>
    <t>2#厂房</t>
    <phoneticPr fontId="3" type="noConversion"/>
  </si>
  <si>
    <t>3#厂房</t>
  </si>
  <si>
    <t>4#厂房</t>
  </si>
  <si>
    <t>5#厂房</t>
    <phoneticPr fontId="3" type="noConversion"/>
  </si>
  <si>
    <t>6#厂房</t>
  </si>
  <si>
    <t>7#厂房</t>
  </si>
  <si>
    <t>8#厂房</t>
  </si>
  <si>
    <t>9#厂房</t>
  </si>
  <si>
    <t>10#厂房</t>
  </si>
  <si>
    <t>11#厂房</t>
  </si>
  <si>
    <t>12#厂房</t>
  </si>
  <si>
    <t>13#厂房</t>
  </si>
  <si>
    <t>14#厂房</t>
  </si>
  <si>
    <t>15#厂房</t>
  </si>
  <si>
    <t>16#厂房</t>
  </si>
  <si>
    <t>17#厂房</t>
  </si>
  <si>
    <t>50#数据中心</t>
    <phoneticPr fontId="140" type="noConversion"/>
  </si>
  <si>
    <r>
      <t>38#</t>
    </r>
    <r>
      <rPr>
        <sz val="10"/>
        <color rgb="FFFF0000"/>
        <rFont val="华文细黑"/>
        <family val="3"/>
        <charset val="134"/>
      </rPr>
      <t>厂房</t>
    </r>
  </si>
  <si>
    <r>
      <t>四区</t>
    </r>
    <r>
      <rPr>
        <sz val="10"/>
        <color rgb="FFFF0000"/>
        <rFont val="Arial"/>
        <family val="2"/>
      </rPr>
      <t>14</t>
    </r>
    <r>
      <rPr>
        <sz val="10"/>
        <color rgb="FFFF0000"/>
        <rFont val="华文细黑"/>
        <family val="3"/>
        <charset val="134"/>
      </rPr>
      <t>号楼</t>
    </r>
  </si>
  <si>
    <r>
      <t>32#</t>
    </r>
    <r>
      <rPr>
        <sz val="10"/>
        <rFont val="华文细黑"/>
        <family val="3"/>
        <charset val="134"/>
      </rPr>
      <t>厂房</t>
    </r>
    <r>
      <rPr>
        <sz val="10"/>
        <rFont val="Arial"/>
        <family val="2"/>
      </rPr>
      <t>-B</t>
    </r>
  </si>
  <si>
    <r>
      <t>三区</t>
    </r>
    <r>
      <rPr>
        <sz val="10"/>
        <rFont val="Arial"/>
        <family val="2"/>
      </rPr>
      <t>5</t>
    </r>
    <r>
      <rPr>
        <sz val="10"/>
        <rFont val="华文细黑"/>
        <family val="3"/>
        <charset val="134"/>
      </rPr>
      <t>号楼</t>
    </r>
  </si>
  <si>
    <r>
      <t>三区</t>
    </r>
    <r>
      <rPr>
        <sz val="10"/>
        <rFont val="Arial"/>
        <family val="2"/>
      </rPr>
      <t>6号楼</t>
    </r>
    <r>
      <rPr>
        <sz val="10"/>
        <color theme="1"/>
        <rFont val="华文细黑"/>
        <family val="3"/>
        <charset val="134"/>
      </rPr>
      <t/>
    </r>
  </si>
  <si>
    <r>
      <t>20#</t>
    </r>
    <r>
      <rPr>
        <sz val="10"/>
        <rFont val="华文细黑"/>
        <family val="3"/>
        <charset val="134"/>
      </rPr>
      <t>厂房</t>
    </r>
  </si>
  <si>
    <r>
      <t>三区</t>
    </r>
    <r>
      <rPr>
        <sz val="10"/>
        <rFont val="Arial"/>
        <family val="2"/>
      </rPr>
      <t>7</t>
    </r>
    <r>
      <rPr>
        <sz val="10"/>
        <rFont val="华文细黑"/>
        <family val="3"/>
        <charset val="134"/>
      </rPr>
      <t>号楼</t>
    </r>
  </si>
  <si>
    <r>
      <t>24#</t>
    </r>
    <r>
      <rPr>
        <sz val="10"/>
        <rFont val="华文细黑"/>
        <family val="3"/>
        <charset val="134"/>
      </rPr>
      <t>厂房</t>
    </r>
  </si>
  <si>
    <r>
      <t>三区</t>
    </r>
    <r>
      <rPr>
        <sz val="10"/>
        <rFont val="Arial"/>
        <family val="2"/>
      </rPr>
      <t>8</t>
    </r>
    <r>
      <rPr>
        <sz val="10"/>
        <rFont val="华文细黑"/>
        <family val="3"/>
        <charset val="134"/>
      </rPr>
      <t>号楼</t>
    </r>
  </si>
  <si>
    <r>
      <t>26#</t>
    </r>
    <r>
      <rPr>
        <sz val="10"/>
        <rFont val="华文细黑"/>
        <family val="3"/>
        <charset val="134"/>
      </rPr>
      <t>厂房</t>
    </r>
  </si>
  <si>
    <r>
      <t>三区</t>
    </r>
    <r>
      <rPr>
        <sz val="10"/>
        <rFont val="Arial"/>
        <family val="2"/>
      </rPr>
      <t>9</t>
    </r>
    <r>
      <rPr>
        <sz val="10"/>
        <rFont val="华文细黑"/>
        <family val="3"/>
        <charset val="134"/>
      </rPr>
      <t>号楼</t>
    </r>
  </si>
  <si>
    <r>
      <t>31#</t>
    </r>
    <r>
      <rPr>
        <sz val="10"/>
        <rFont val="华文细黑"/>
        <family val="3"/>
        <charset val="134"/>
      </rPr>
      <t>厂房</t>
    </r>
  </si>
  <si>
    <r>
      <t>三区</t>
    </r>
    <r>
      <rPr>
        <sz val="10"/>
        <rFont val="Arial"/>
        <family val="2"/>
      </rPr>
      <t>10</t>
    </r>
    <r>
      <rPr>
        <sz val="10"/>
        <rFont val="华文细黑"/>
        <family val="3"/>
        <charset val="134"/>
      </rPr>
      <t>号楼</t>
    </r>
  </si>
  <si>
    <r>
      <t>33#</t>
    </r>
    <r>
      <rPr>
        <sz val="10"/>
        <rFont val="华文细黑"/>
        <family val="3"/>
        <charset val="134"/>
      </rPr>
      <t>厂房</t>
    </r>
    <r>
      <rPr>
        <sz val="10"/>
        <rFont val="Arial"/>
        <family val="2"/>
      </rPr>
      <t>-A</t>
    </r>
  </si>
  <si>
    <r>
      <t>三区</t>
    </r>
    <r>
      <rPr>
        <sz val="10"/>
        <rFont val="Arial"/>
        <family val="2"/>
      </rPr>
      <t>11</t>
    </r>
    <r>
      <rPr>
        <sz val="10"/>
        <rFont val="华文细黑"/>
        <family val="3"/>
        <charset val="134"/>
      </rPr>
      <t>号楼</t>
    </r>
  </si>
  <si>
    <r>
      <t>21#</t>
    </r>
    <r>
      <rPr>
        <sz val="10"/>
        <rFont val="华文细黑"/>
        <family val="3"/>
        <charset val="134"/>
      </rPr>
      <t>厂房</t>
    </r>
  </si>
  <si>
    <r>
      <t>三区</t>
    </r>
    <r>
      <rPr>
        <sz val="10"/>
        <rFont val="Arial"/>
        <family val="2"/>
      </rPr>
      <t>12</t>
    </r>
    <r>
      <rPr>
        <sz val="10"/>
        <rFont val="华文细黑"/>
        <family val="3"/>
        <charset val="134"/>
      </rPr>
      <t>号楼</t>
    </r>
  </si>
  <si>
    <r>
      <t>27#</t>
    </r>
    <r>
      <rPr>
        <sz val="10"/>
        <rFont val="华文细黑"/>
        <family val="3"/>
        <charset val="134"/>
      </rPr>
      <t>厂房</t>
    </r>
  </si>
  <si>
    <r>
      <t>三区</t>
    </r>
    <r>
      <rPr>
        <sz val="10"/>
        <rFont val="Arial"/>
        <family val="2"/>
      </rPr>
      <t>13</t>
    </r>
    <r>
      <rPr>
        <sz val="10"/>
        <rFont val="华文细黑"/>
        <family val="3"/>
        <charset val="134"/>
      </rPr>
      <t>号楼</t>
    </r>
  </si>
  <si>
    <r>
      <t>30#</t>
    </r>
    <r>
      <rPr>
        <sz val="10"/>
        <rFont val="华文细黑"/>
        <family val="3"/>
        <charset val="134"/>
      </rPr>
      <t>厂房</t>
    </r>
  </si>
  <si>
    <r>
      <t>三区</t>
    </r>
    <r>
      <rPr>
        <sz val="10"/>
        <rFont val="Arial"/>
        <family val="2"/>
      </rPr>
      <t>14</t>
    </r>
    <r>
      <rPr>
        <sz val="10"/>
        <rFont val="华文细黑"/>
        <family val="3"/>
        <charset val="134"/>
      </rPr>
      <t>号楼</t>
    </r>
  </si>
  <si>
    <r>
      <t>33#</t>
    </r>
    <r>
      <rPr>
        <sz val="10"/>
        <rFont val="华文细黑"/>
        <family val="3"/>
        <charset val="134"/>
      </rPr>
      <t>厂房</t>
    </r>
    <r>
      <rPr>
        <sz val="10"/>
        <rFont val="Arial"/>
        <family val="2"/>
      </rPr>
      <t>-B</t>
    </r>
  </si>
  <si>
    <r>
      <t>三区</t>
    </r>
    <r>
      <rPr>
        <sz val="10"/>
        <rFont val="Arial"/>
        <family val="2"/>
      </rPr>
      <t>15</t>
    </r>
    <r>
      <rPr>
        <sz val="10"/>
        <rFont val="华文细黑"/>
        <family val="3"/>
        <charset val="134"/>
      </rPr>
      <t>号楼</t>
    </r>
  </si>
  <si>
    <r>
      <t>22#</t>
    </r>
    <r>
      <rPr>
        <sz val="10"/>
        <rFont val="华文细黑"/>
        <family val="3"/>
        <charset val="134"/>
      </rPr>
      <t>厂房</t>
    </r>
  </si>
  <si>
    <r>
      <t>三区</t>
    </r>
    <r>
      <rPr>
        <sz val="10"/>
        <rFont val="Arial"/>
        <family val="2"/>
      </rPr>
      <t>17</t>
    </r>
    <r>
      <rPr>
        <sz val="10"/>
        <rFont val="华文细黑"/>
        <family val="3"/>
        <charset val="134"/>
      </rPr>
      <t>号楼</t>
    </r>
  </si>
  <si>
    <r>
      <t>三区</t>
    </r>
    <r>
      <rPr>
        <sz val="10"/>
        <rFont val="Arial"/>
        <family val="2"/>
      </rPr>
      <t>18号楼</t>
    </r>
    <r>
      <rPr>
        <sz val="10"/>
        <color theme="1"/>
        <rFont val="华文细黑"/>
        <family val="3"/>
        <charset val="134"/>
      </rPr>
      <t/>
    </r>
  </si>
  <si>
    <r>
      <t>28#</t>
    </r>
    <r>
      <rPr>
        <sz val="10"/>
        <rFont val="华文细黑"/>
        <family val="3"/>
        <charset val="134"/>
      </rPr>
      <t>厂房</t>
    </r>
  </si>
  <si>
    <r>
      <t>三区</t>
    </r>
    <r>
      <rPr>
        <sz val="10"/>
        <rFont val="Arial"/>
        <family val="2"/>
      </rPr>
      <t>19号楼</t>
    </r>
    <r>
      <rPr>
        <sz val="10"/>
        <color theme="1"/>
        <rFont val="华文细黑"/>
        <family val="3"/>
        <charset val="134"/>
      </rPr>
      <t/>
    </r>
  </si>
  <si>
    <r>
      <t>29#</t>
    </r>
    <r>
      <rPr>
        <sz val="10"/>
        <rFont val="华文细黑"/>
        <family val="3"/>
        <charset val="134"/>
      </rPr>
      <t>厂房</t>
    </r>
  </si>
  <si>
    <r>
      <t>三区</t>
    </r>
    <r>
      <rPr>
        <sz val="10"/>
        <rFont val="Arial"/>
        <family val="2"/>
      </rPr>
      <t>20</t>
    </r>
    <r>
      <rPr>
        <sz val="10"/>
        <rFont val="华文细黑"/>
        <family val="3"/>
        <charset val="134"/>
      </rPr>
      <t>号楼</t>
    </r>
  </si>
  <si>
    <r>
      <t>35#</t>
    </r>
    <r>
      <rPr>
        <sz val="10"/>
        <rFont val="华文细黑"/>
        <family val="3"/>
        <charset val="134"/>
      </rPr>
      <t>厂房</t>
    </r>
  </si>
  <si>
    <r>
      <t>三区</t>
    </r>
    <r>
      <rPr>
        <sz val="10"/>
        <rFont val="Arial"/>
        <family val="2"/>
      </rPr>
      <t>21</t>
    </r>
    <r>
      <rPr>
        <sz val="10"/>
        <rFont val="华文细黑"/>
        <family val="3"/>
        <charset val="134"/>
      </rPr>
      <t>号楼</t>
    </r>
  </si>
  <si>
    <r>
      <t>三区</t>
    </r>
    <r>
      <rPr>
        <sz val="10"/>
        <rFont val="Arial"/>
        <family val="2"/>
      </rPr>
      <t>22号楼</t>
    </r>
    <r>
      <rPr>
        <sz val="10"/>
        <color theme="1"/>
        <rFont val="华文细黑"/>
        <family val="3"/>
        <charset val="134"/>
      </rPr>
      <t/>
    </r>
  </si>
  <si>
    <r>
      <t>三区</t>
    </r>
    <r>
      <rPr>
        <sz val="10"/>
        <rFont val="Arial"/>
        <family val="2"/>
      </rPr>
      <t>23</t>
    </r>
    <r>
      <rPr>
        <sz val="10"/>
        <rFont val="华文细黑"/>
        <family val="3"/>
        <charset val="134"/>
      </rPr>
      <t>幢</t>
    </r>
  </si>
  <si>
    <r>
      <t>49#</t>
    </r>
    <r>
      <rPr>
        <sz val="10"/>
        <rFont val="华文细黑"/>
        <family val="3"/>
        <charset val="134"/>
      </rPr>
      <t>厂房</t>
    </r>
  </si>
  <si>
    <r>
      <t>四区</t>
    </r>
    <r>
      <rPr>
        <sz val="10"/>
        <rFont val="Arial"/>
        <family val="2"/>
      </rPr>
      <t>1</t>
    </r>
    <r>
      <rPr>
        <sz val="10"/>
        <rFont val="华文细黑"/>
        <family val="3"/>
        <charset val="134"/>
      </rPr>
      <t>号楼</t>
    </r>
  </si>
  <si>
    <r>
      <t>41#</t>
    </r>
    <r>
      <rPr>
        <sz val="10"/>
        <rFont val="华文细黑"/>
        <family val="3"/>
        <charset val="134"/>
      </rPr>
      <t>厂房</t>
    </r>
  </si>
  <si>
    <r>
      <t>四区</t>
    </r>
    <r>
      <rPr>
        <sz val="10"/>
        <rFont val="Arial"/>
        <family val="2"/>
      </rPr>
      <t>2</t>
    </r>
    <r>
      <rPr>
        <sz val="10"/>
        <rFont val="华文细黑"/>
        <family val="3"/>
        <charset val="134"/>
      </rPr>
      <t>号楼</t>
    </r>
  </si>
  <si>
    <r>
      <t>19#</t>
    </r>
    <r>
      <rPr>
        <sz val="10"/>
        <rFont val="宋体"/>
        <family val="3"/>
        <charset val="134"/>
      </rPr>
      <t>厂房</t>
    </r>
    <phoneticPr fontId="140" type="noConversion"/>
  </si>
  <si>
    <r>
      <t>18#</t>
    </r>
    <r>
      <rPr>
        <sz val="10"/>
        <rFont val="宋体"/>
        <family val="3"/>
        <charset val="134"/>
      </rPr>
      <t>厂房</t>
    </r>
    <phoneticPr fontId="140" type="noConversion"/>
  </si>
  <si>
    <r>
      <t>三区</t>
    </r>
    <r>
      <rPr>
        <sz val="10"/>
        <rFont val="Arial"/>
        <family val="2"/>
      </rPr>
      <t>16</t>
    </r>
    <r>
      <rPr>
        <sz val="10"/>
        <rFont val="宋体"/>
        <family val="3"/>
        <charset val="134"/>
      </rPr>
      <t>号楼</t>
    </r>
    <r>
      <rPr>
        <sz val="10"/>
        <color theme="1"/>
        <rFont val="华文细黑"/>
        <family val="3"/>
        <charset val="134"/>
      </rPr>
      <t/>
    </r>
    <phoneticPr fontId="140" type="noConversion"/>
  </si>
  <si>
    <r>
      <t>34#</t>
    </r>
    <r>
      <rPr>
        <sz val="10"/>
        <rFont val="宋体"/>
        <family val="3"/>
        <charset val="134"/>
      </rPr>
      <t>配电室</t>
    </r>
    <phoneticPr fontId="140" type="noConversion"/>
  </si>
  <si>
    <r>
      <t>42#</t>
    </r>
    <r>
      <rPr>
        <sz val="10"/>
        <color theme="1"/>
        <rFont val="宋体"/>
        <family val="3"/>
        <charset val="134"/>
      </rPr>
      <t>变配电室</t>
    </r>
    <phoneticPr fontId="140" type="noConversion"/>
  </si>
  <si>
    <t>终止日期</t>
    <phoneticPr fontId="140" type="noConversion"/>
  </si>
  <si>
    <t>土地面积</t>
    <phoneticPr fontId="140" type="noConversion"/>
  </si>
  <si>
    <t>总建筑面积</t>
    <phoneticPr fontId="140" type="noConversion"/>
  </si>
  <si>
    <t>项目总面积</t>
    <phoneticPr fontId="140" type="noConversion"/>
  </si>
  <si>
    <t>本次抵押范围</t>
    <phoneticPr fontId="140" type="noConversion"/>
  </si>
  <si>
    <t>项目</t>
    <phoneticPr fontId="140" type="noConversion"/>
  </si>
  <si>
    <t>分摊土地面积</t>
    <phoneticPr fontId="140" type="noConversion"/>
  </si>
  <si>
    <t>本次抵押</t>
    <phoneticPr fontId="140" type="noConversion"/>
  </si>
  <si>
    <t>地上工业</t>
    <phoneticPr fontId="140" type="noConversion"/>
  </si>
  <si>
    <t>地下工业</t>
    <phoneticPr fontId="140" type="noConversion"/>
  </si>
  <si>
    <t>地下车库</t>
    <phoneticPr fontId="140" type="noConversion"/>
  </si>
  <si>
    <t>设备</t>
    <phoneticPr fontId="140" type="noConversion"/>
  </si>
  <si>
    <t>合计</t>
    <phoneticPr fontId="140" type="noConversion"/>
  </si>
  <si>
    <t>经营性用途面积</t>
    <phoneticPr fontId="140" type="noConversion"/>
  </si>
  <si>
    <t>建筑面积</t>
    <phoneticPr fontId="140" type="noConversion"/>
  </si>
  <si>
    <t>总值</t>
    <phoneticPr fontId="140" type="noConversion"/>
  </si>
  <si>
    <t>建筑物价值</t>
    <phoneticPr fontId="140" type="noConversion"/>
  </si>
  <si>
    <t>土地价值</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</si>
  <si>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</si>
  <si>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</si>
  <si>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</si>
  <si>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</si>
  <si>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</si>
  <si>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t>四通</t>
  </si>
  <si>
    <t>成本比率</t>
  </si>
  <si>
    <t>建筑物价值</t>
    <phoneticPr fontId="140" type="noConversion"/>
  </si>
  <si>
    <t>单价</t>
    <phoneticPr fontId="140" type="noConversion"/>
  </si>
  <si>
    <t>土地价值</t>
    <phoneticPr fontId="140" type="noConversion"/>
  </si>
  <si>
    <t>地上</t>
    <phoneticPr fontId="140" type="noConversion"/>
  </si>
  <si>
    <t>地下厂</t>
    <phoneticPr fontId="140" type="noConversion"/>
  </si>
  <si>
    <t>地下车</t>
    <phoneticPr fontId="140" type="noConversion"/>
  </si>
  <si>
    <t>总值</t>
    <phoneticPr fontId="140" type="noConversion"/>
  </si>
  <si>
    <t>收益比例</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</si>
</sst>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华文细黑"/>
      <family val="3"/>
      <charset val="134"/>
    </font>
    <font>
      <sz val="10"/>
      <color theme="1"/>
      <name val="华文细黑"/>
      <family val="3"/>
      <charset val="134"/>
    </font>
    <font>
      <sz val="10"/>
      <color rgb="FFFF0000"/>
      <name val="宋体"/>
      <family val="3"/>
      <charset val="134"/>
      <scheme val="minor"/>
    </font>
    <font>
      <sz val="10"/>
      <name val="宋体"/>
      <family val="3"/>
      <charset val="134"/>
      <scheme val="minor"/>
    </font>
    <font>
      <sz val="10"/>
      <color rgb="FFFF0000"/>
      <name val="华文细黑"/>
      <family val="3"/>
      <charset val="134"/>
    </font>
    <font>
      <sz val="10"/>
      <name val="华文细黑"/>
      <family val="3"/>
      <charset val="134"/>
    </font>
    <font>
      <sz val="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0" applyFont="1">
      <alignment vertical="center"/>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111" fillId="0" borderId="0" xfId="0" applyNumberFormat="1" applyFont="1" applyAlignment="1"/>
    <xf numFmtId="14" fontId="111" fillId="0" borderId="0" xfId="0" applyNumberFormat="1" applyFont="1" applyAlignment="1"/>
    <xf numFmtId="0" fontId="257" fillId="0" borderId="0" xfId="0" applyNumberFormat="1" applyFont="1" applyAlignment="1"/>
    <xf numFmtId="14" fontId="257" fillId="0" borderId="0" xfId="0" applyNumberFormat="1" applyFont="1" applyAlignment="1"/>
    <xf numFmtId="0" fontId="98" fillId="0" borderId="0" xfId="0" applyFont="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8" fillId="0" borderId="0" xfId="0" applyNumberFormat="1" applyFont="1" applyAlignment="1"/>
    <xf numFmtId="14" fontId="258" fillId="0" borderId="0" xfId="0" applyNumberFormat="1" applyFont="1" applyAlignment="1"/>
    <xf numFmtId="181" fontId="104" fillId="0" borderId="1" xfId="0" applyNumberFormat="1" applyFont="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255" fillId="0" borderId="1" xfId="0" applyFont="1" applyBorder="1" applyAlignment="1">
      <alignment horizontal="left" vertical="center"/>
    </xf>
    <xf numFmtId="0" fontId="170" fillId="0" borderId="1" xfId="0" applyFont="1" applyBorder="1" applyAlignment="1">
      <alignment horizontal="left" vertical="center"/>
    </xf>
    <xf numFmtId="0" fontId="103" fillId="0" borderId="1" xfId="0" applyFont="1" applyBorder="1" applyAlignment="1">
      <alignment horizontal="left" vertical="center"/>
    </xf>
    <xf numFmtId="0" fontId="256" fillId="0" borderId="1" xfId="0" applyFont="1" applyBorder="1" applyAlignment="1">
      <alignment horizontal="left" vertical="center"/>
    </xf>
    <xf numFmtId="0" fontId="118" fillId="0" borderId="1" xfId="0" applyFont="1" applyBorder="1" applyAlignment="1">
      <alignment horizontal="left" vertical="center"/>
    </xf>
    <xf numFmtId="0" fontId="259" fillId="0" borderId="1" xfId="0" applyFont="1" applyBorder="1" applyAlignment="1">
      <alignment horizontal="left" vertical="center"/>
    </xf>
    <xf numFmtId="0" fontId="55" fillId="0" borderId="1" xfId="0" applyFont="1" applyBorder="1" applyAlignment="1">
      <alignment horizontal="left" vertical="center"/>
    </xf>
    <xf numFmtId="0" fontId="260" fillId="0" borderId="1" xfId="0" applyFont="1" applyBorder="1" applyAlignment="1">
      <alignment horizontal="left" vertical="center"/>
    </xf>
    <xf numFmtId="0" fontId="111" fillId="0" borderId="0" xfId="0" applyFont="1" applyAlignment="1">
      <alignment horizontal="left" vertical="center"/>
    </xf>
    <xf numFmtId="0" fontId="111" fillId="0" borderId="1" xfId="0" applyFont="1" applyBorder="1" applyAlignment="1">
      <alignment horizontal="left" vertical="center"/>
    </xf>
    <xf numFmtId="0" fontId="111" fillId="0" borderId="1" xfId="0" applyFont="1" applyFill="1" applyBorder="1" applyAlignment="1">
      <alignment horizontal="left" vertical="center"/>
    </xf>
    <xf numFmtId="0" fontId="258" fillId="0" borderId="1" xfId="0" applyFont="1" applyBorder="1" applyAlignment="1">
      <alignment horizontal="left" vertical="center"/>
    </xf>
    <xf numFmtId="0" fontId="257" fillId="0" borderId="0" xfId="0" applyFont="1" applyAlignment="1">
      <alignment horizontal="left" vertical="center"/>
    </xf>
    <xf numFmtId="14" fontId="111" fillId="0" borderId="0" xfId="0" applyNumberFormat="1" applyFont="1" applyAlignment="1">
      <alignment horizontal="left" vertical="center"/>
    </xf>
    <xf numFmtId="0" fontId="257" fillId="0" borderId="1" xfId="0" applyFont="1" applyBorder="1" applyAlignment="1">
      <alignment horizontal="left" vertical="center"/>
    </xf>
    <xf numFmtId="31" fontId="111" fillId="0" borderId="0" xfId="0" applyNumberFormat="1" applyFont="1" applyAlignment="1">
      <alignment horizontal="left" vertical="center"/>
    </xf>
    <xf numFmtId="0" fontId="111" fillId="0" borderId="58" xfId="0" applyFont="1" applyFill="1" applyBorder="1" applyAlignment="1">
      <alignment horizontal="left" vertical="center"/>
    </xf>
    <xf numFmtId="0" fontId="111" fillId="0" borderId="0" xfId="0" applyFont="1" applyFill="1" applyBorder="1">
      <alignment vertical="center"/>
    </xf>
    <xf numFmtId="0" fontId="255" fillId="0" borderId="0" xfId="0" applyFont="1" applyBorder="1" applyAlignment="1">
      <alignment horizontal="left" vertical="center"/>
    </xf>
    <xf numFmtId="0" fontId="170" fillId="0" borderId="0" xfId="0" applyFont="1" applyBorder="1" applyAlignment="1">
      <alignment horizontal="left" vertical="center"/>
    </xf>
    <xf numFmtId="0" fontId="111" fillId="5" borderId="0" xfId="0" applyFont="1" applyFill="1" applyAlignment="1">
      <alignment horizontal="left" vertical="center"/>
    </xf>
    <xf numFmtId="10" fontId="53" fillId="0" borderId="1" xfId="0" applyNumberFormat="1" applyFont="1" applyBorder="1" applyAlignment="1" applyProtection="1">
      <alignment horizontal="center" vertical="center"/>
      <protection locked="0"/>
    </xf>
    <xf numFmtId="0" fontId="103" fillId="0" borderId="0" xfId="0" applyFont="1" applyBorder="1" applyAlignment="1">
      <alignment horizontal="left" vertical="center"/>
    </xf>
    <xf numFmtId="0" fontId="261" fillId="0" borderId="0" xfId="0" applyFont="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55" fillId="0" borderId="1" xfId="0" applyFont="1" applyBorder="1" applyAlignment="1">
      <alignment horizontal="left" vertical="center"/>
    </xf>
    <xf numFmtId="0" fontId="255" fillId="0" borderId="1" xfId="0" applyFont="1" applyBorder="1" applyAlignment="1">
      <alignment horizontal="left" vertical="center"/>
    </xf>
    <xf numFmtId="0" fontId="170" fillId="0" borderId="1" xfId="0" applyFont="1" applyBorder="1" applyAlignment="1">
      <alignment horizontal="left" vertical="center"/>
    </xf>
    <xf numFmtId="0" fontId="256" fillId="0" borderId="1" xfId="0" applyFont="1" applyBorder="1" applyAlignment="1">
      <alignment horizontal="left" vertical="center"/>
    </xf>
    <xf numFmtId="0" fontId="258" fillId="0" borderId="1" xfId="0" applyFont="1" applyBorder="1" applyAlignment="1">
      <alignment horizontal="left" vertical="center"/>
    </xf>
    <xf numFmtId="0" fontId="111" fillId="0" borderId="1" xfId="0" applyFont="1" applyBorder="1" applyAlignment="1">
      <alignment horizontal="left" vertical="center"/>
    </xf>
    <xf numFmtId="0" fontId="260" fillId="0" borderId="1" xfId="0" applyFont="1" applyBorder="1" applyAlignment="1">
      <alignment horizontal="lef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111" fillId="0" borderId="0" xfId="0" applyNumberFormat="1" applyFont="1" applyAlignment="1">
      <alignment horizontal="left" vertical="center"/>
    </xf>
    <xf numFmtId="0" fontId="255" fillId="5" borderId="1" xfId="0" applyFont="1" applyFill="1" applyBorder="1" applyAlignment="1">
      <alignment horizontal="left" vertical="center"/>
    </xf>
    <xf numFmtId="0" fontId="170" fillId="5" borderId="1" xfId="0" applyFont="1" applyFill="1" applyBorder="1" applyAlignment="1">
      <alignment horizontal="left" vertical="center"/>
    </xf>
    <xf numFmtId="0" fontId="170" fillId="5" borderId="1" xfId="0" applyFont="1" applyFill="1" applyBorder="1" applyAlignment="1">
      <alignment horizontal="left" vertical="center"/>
    </xf>
    <xf numFmtId="0" fontId="103" fillId="5" borderId="1" xfId="0" applyFont="1" applyFill="1" applyBorder="1" applyAlignment="1">
      <alignment horizontal="left" vertical="center"/>
    </xf>
    <xf numFmtId="0" fontId="55" fillId="5" borderId="1" xfId="0" applyFont="1" applyFill="1" applyBorder="1" applyAlignment="1">
      <alignment horizontal="left" vertical="center"/>
    </xf>
    <xf numFmtId="0" fontId="111" fillId="18" borderId="0" xfId="0" applyFont="1" applyFill="1" applyAlignment="1">
      <alignment horizontal="left" vertical="center"/>
    </xf>
    <xf numFmtId="177" fontId="111" fillId="18" borderId="0" xfId="0" applyNumberFormat="1" applyFont="1" applyFill="1" applyAlignment="1">
      <alignment horizontal="left" vertical="center"/>
    </xf>
    <xf numFmtId="0" fontId="120" fillId="0" borderId="0" xfId="0" applyFo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8" customWidth="1"/>
    <col min="2" max="2" width="81" style="1325" customWidth="1"/>
    <col min="3" max="16384" width="9" style="1323"/>
  </cols>
  <sheetData>
    <row r="1" spans="1:2" s="1311" customFormat="1" ht="16.2" thickBot="1">
      <c r="A1" s="1310" t="s">
        <v>946</v>
      </c>
      <c r="B1" s="1309" t="s">
        <v>1025</v>
      </c>
    </row>
    <row r="2" spans="1:2" s="1314" customFormat="1" ht="16.2"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 ca="1">'预评函-封皮'!B46</f>
        <v>吴薇（注册号：1419970001)、崔锴（注册号：0)</v>
      </c>
    </row>
    <row r="5" spans="1:2" s="1311" customFormat="1" ht="16.2" thickBot="1">
      <c r="A5" s="1318" t="s">
        <v>950</v>
      </c>
      <c r="B5" s="1319" t="str">
        <f>'预评函-封皮'!B49</f>
        <v>康正预评字号</v>
      </c>
    </row>
    <row r="6" spans="1:2" s="1314" customFormat="1" ht="16.2"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估价对象为北京市房地产，为所有。根据《国有土地使用证》[]，估价对象（分摊）出让国有建设用地使用权面积为118122.57平方米，建筑面积为243924.88平方米。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估价对象为北京市房地产,属开发建设的，该项目尚在开发建设中。根据《国有土地使用证》[]，估价对象（分摊）出让国有建设用地使用权面积为118122.57平方米，规划建筑面积为243924.88平方米。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2022年7月27日（评估专业人员实地查勘之日）</v>
      </c>
    </row>
    <row r="13" spans="1:2" s="1317" customFormat="1">
      <c r="A13" s="1315" t="s">
        <v>954</v>
      </c>
      <c r="B13" s="1316"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6.2" thickBot="1">
      <c r="A18" s="1318" t="s">
        <v>959</v>
      </c>
      <c r="B18" s="1319" t="str">
        <f>'预评函-1'!A24</f>
        <v>本次评估采用的主估价方法为成本法和收益法。</v>
      </c>
    </row>
    <row r="19" spans="1:2" s="1314" customFormat="1" ht="16.2"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159583</v>
      </c>
    </row>
    <row r="21" spans="1:2" s="1317" customFormat="1">
      <c r="A21" s="1315" t="s">
        <v>962</v>
      </c>
      <c r="B21" s="1316">
        <f ca="1">'预评函-2'!D7</f>
        <v>6542</v>
      </c>
    </row>
    <row r="22" spans="1:2" s="1317" customFormat="1">
      <c r="A22" s="1315" t="s">
        <v>963</v>
      </c>
      <c r="B22" s="1316" t="str">
        <f ca="1">'预评函-2'!D6</f>
        <v>壹拾伍亿玖仟伍佰捌拾叁万元整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159583</v>
      </c>
    </row>
    <row r="31" spans="1:2" s="1317" customFormat="1">
      <c r="A31" s="1315" t="s">
        <v>1001</v>
      </c>
      <c r="B31" s="1316">
        <f ca="1">'预评函-2'!D15</f>
        <v>6542</v>
      </c>
    </row>
    <row r="32" spans="1:2" s="1317" customFormat="1">
      <c r="A32" s="1315" t="s">
        <v>968</v>
      </c>
      <c r="B32" s="1316" t="str">
        <f ca="1">'预评函-2'!D14</f>
        <v>壹拾伍亿玖仟伍佰捌拾叁万元整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ht="31.2">
      <c r="A42" s="1315" t="s">
        <v>1015</v>
      </c>
      <c r="B42" s="1316" t="str">
        <f>'预评函-3'!B2</f>
        <v>建筑面积</v>
      </c>
    </row>
    <row r="43" spans="1:2" s="1317" customFormat="1">
      <c r="A43" s="1315" t="s">
        <v>1016</v>
      </c>
      <c r="B43" s="1316">
        <f>'预评函-3'!B4</f>
        <v>243924.88</v>
      </c>
    </row>
    <row r="44" spans="1:2" s="1317" customFormat="1" ht="31.2">
      <c r="A44" s="1315" t="s">
        <v>1000</v>
      </c>
      <c r="B44" s="1316" t="str">
        <f>'预评函-3'!C2</f>
        <v>(分摊)土地面积</v>
      </c>
    </row>
    <row r="45" spans="1:2" s="1317" customFormat="1">
      <c r="A45" s="1315" t="s">
        <v>972</v>
      </c>
      <c r="B45" s="1316">
        <f>'预评函-3'!C4</f>
        <v>118122.57</v>
      </c>
    </row>
    <row r="46" spans="1:2" s="1317" customFormat="1">
      <c r="A46" s="1315" t="s">
        <v>998</v>
      </c>
      <c r="B46" s="1316" t="str">
        <f>'预评函-3'!D2</f>
        <v>出让国有建设用地使用权价值</v>
      </c>
    </row>
    <row r="47" spans="1:2" s="1317" customFormat="1">
      <c r="A47" s="1315" t="s">
        <v>973</v>
      </c>
      <c r="B47" s="1316">
        <f ca="1">'预评函-3'!D4</f>
        <v>49311</v>
      </c>
    </row>
    <row r="48" spans="1:2" s="1317" customFormat="1">
      <c r="A48" s="1315" t="s">
        <v>974</v>
      </c>
      <c r="B48" s="1316">
        <f ca="1">'预评函-3'!E4</f>
        <v>2021</v>
      </c>
    </row>
    <row r="49" spans="1:2" s="1317" customFormat="1">
      <c r="A49" s="1315" t="s">
        <v>975</v>
      </c>
      <c r="B49" s="1316" t="str">
        <f ca="1">'预评函-3'!D5</f>
        <v>肆亿玖仟叁佰壹拾壹万元整</v>
      </c>
    </row>
    <row r="50" spans="1:2" s="1317" customFormat="1">
      <c r="A50" s="1315" t="s">
        <v>999</v>
      </c>
      <c r="B50" s="1316" t="str">
        <f>'预评函-3'!F2</f>
        <v>在建建筑物价值</v>
      </c>
    </row>
    <row r="51" spans="1:2" s="1317" customFormat="1">
      <c r="A51" s="1315" t="s">
        <v>976</v>
      </c>
      <c r="B51" s="1316">
        <f ca="1">'预评函-3'!F4</f>
        <v>110272</v>
      </c>
    </row>
    <row r="52" spans="1:2" s="1317" customFormat="1">
      <c r="A52" s="1315" t="s">
        <v>977</v>
      </c>
      <c r="B52" s="1316">
        <f ca="1">'预评函-3'!G4</f>
        <v>4521</v>
      </c>
    </row>
    <row r="53" spans="1:2" s="1317" customFormat="1">
      <c r="A53" s="1315" t="s">
        <v>1005</v>
      </c>
      <c r="B53" s="1316" t="str">
        <f ca="1">'预评函-3'!F5</f>
        <v>壹拾壹亿零贰佰柒拾贰万元整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6.2" thickBot="1">
      <c r="A57" s="1318" t="s">
        <v>1024</v>
      </c>
      <c r="B57" s="1319" t="str">
        <f>'预评函-3'!A6</f>
        <v>估价师知悉的法定优先受偿款</v>
      </c>
    </row>
    <row r="58" spans="1:2" s="1314" customFormat="1" ht="16.2"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6.2" thickBot="1">
      <c r="A69" s="1318" t="s">
        <v>986</v>
      </c>
      <c r="B69" s="1320">
        <f>'预评函-4'!C31</f>
        <v>42551</v>
      </c>
    </row>
    <row r="70" spans="1:2" ht="16.2" thickTop="1">
      <c r="A70" s="1321" t="s">
        <v>987</v>
      </c>
      <c r="B70" s="1322" t="str">
        <f>'预评函-4'!A4</f>
        <v>吴薇</v>
      </c>
    </row>
    <row r="71" spans="1:2">
      <c r="A71" s="1315" t="s">
        <v>988</v>
      </c>
      <c r="B71" s="1316">
        <f ca="1">'预评函-4'!B4</f>
        <v>1419970001</v>
      </c>
    </row>
    <row r="72" spans="1:2">
      <c r="A72" s="1315" t="s">
        <v>989</v>
      </c>
      <c r="B72" s="1324" t="str">
        <f>'预评函-4'!A5</f>
        <v>崔锴</v>
      </c>
    </row>
    <row r="73" spans="1:2" s="1311" customFormat="1" ht="16.2" thickBot="1">
      <c r="A73" s="1318" t="s">
        <v>990</v>
      </c>
      <c r="B73" s="1319">
        <f ca="1">'预评函-4'!B5</f>
        <v>0</v>
      </c>
    </row>
    <row r="74" spans="1:2" ht="16.2"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6" sqref="F26"/>
    </sheetView>
  </sheetViews>
  <sheetFormatPr defaultColWidth="9" defaultRowHeight="14.4"/>
  <cols>
    <col min="1" max="1" width="13.44140625" style="1691" customWidth="1"/>
    <col min="2" max="2" width="23.21875" style="1642" customWidth="1"/>
    <col min="3" max="3" width="13" style="1686" customWidth="1"/>
    <col min="4" max="4" width="5.77734375" style="1683" customWidth="1"/>
    <col min="5" max="5" width="7.109375" style="1683" customWidth="1"/>
    <col min="6" max="6" width="10.6640625" style="1683" customWidth="1"/>
    <col min="7" max="7" width="7.44140625" style="1683" customWidth="1"/>
    <col min="8" max="8" width="9" style="1686" customWidth="1"/>
    <col min="9" max="9" width="11.6640625" style="1686" customWidth="1"/>
    <col min="10" max="10" width="9" style="1686" customWidth="1"/>
    <col min="11" max="19" width="9" style="1683" customWidth="1"/>
    <col min="20" max="23" width="9" style="1686" customWidth="1"/>
    <col min="24" max="24" width="21.109375" style="1642" customWidth="1"/>
    <col min="25" max="16384" width="9" style="1642"/>
  </cols>
  <sheetData>
    <row r="1" spans="1:23" s="1680" customFormat="1" ht="28.8">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3487</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2791</v>
      </c>
      <c r="C17" s="1682"/>
    </row>
    <row r="18" spans="1:3">
      <c r="A18" s="1681" t="s">
        <v>1490</v>
      </c>
      <c r="B18" s="1681" t="s">
        <v>2935</v>
      </c>
      <c r="C18" s="1682"/>
    </row>
    <row r="19" spans="1:3">
      <c r="A19" s="1681" t="s">
        <v>1491</v>
      </c>
      <c r="B19" s="1681" t="s">
        <v>3489</v>
      </c>
      <c r="C19" s="1682"/>
    </row>
    <row r="20" spans="1:3">
      <c r="A20" s="1681" t="s">
        <v>1492</v>
      </c>
      <c r="B20" s="1681" t="s">
        <v>3491</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20"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0"/>
      <c r="B54" s="1689" t="s">
        <v>651</v>
      </c>
      <c r="C54" s="1686" t="s">
        <v>1008</v>
      </c>
    </row>
    <row r="55" spans="1:4">
      <c r="A55" s="3320"/>
      <c r="B55" s="1689" t="s">
        <v>652</v>
      </c>
      <c r="C55" s="1686" t="s">
        <v>1009</v>
      </c>
    </row>
    <row r="56" spans="1:4">
      <c r="A56" s="3320"/>
      <c r="B56" s="1689" t="s">
        <v>653</v>
      </c>
      <c r="C56" s="1686" t="s">
        <v>1013</v>
      </c>
    </row>
    <row r="57" spans="1:4">
      <c r="A57" s="3320"/>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9" sqref="D49"/>
    </sheetView>
  </sheetViews>
  <sheetFormatPr defaultColWidth="10" defaultRowHeight="13.2"/>
  <cols>
    <col min="1" max="1" width="16.88671875" style="1880" customWidth="1"/>
    <col min="2" max="2" width="10" style="1880" customWidth="1"/>
    <col min="3" max="3" width="11.44140625" style="1880" customWidth="1"/>
    <col min="4" max="4" width="10" style="1880" customWidth="1"/>
    <col min="5" max="5" width="12.6640625" style="1880" customWidth="1"/>
    <col min="6" max="6" width="10" style="1880" customWidth="1"/>
    <col min="7" max="7" width="10.77734375" style="1880" customWidth="1"/>
    <col min="8" max="8" width="10" style="1880" customWidth="1"/>
    <col min="9" max="9" width="11.10937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8" thickBot="1">
      <c r="A1" s="2538" t="s">
        <v>2666</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331"/>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v>44769</v>
      </c>
      <c r="C3" s="2546" t="s">
        <v>2669</v>
      </c>
      <c r="D3" s="2545">
        <f>B3</f>
        <v>44769</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8" thickBot="1">
      <c r="A4" s="1203" t="s">
        <v>2670</v>
      </c>
      <c r="B4" s="2547" t="s">
        <v>3509</v>
      </c>
      <c r="C4" s="2548">
        <f ca="1">SUMIF(注册房地产估价师,B4,估价师及机构信息!B3:B24)</f>
        <v>1419970001</v>
      </c>
      <c r="D4" s="2547" t="s">
        <v>3510</v>
      </c>
      <c r="E4" s="2549">
        <f ca="1">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吴薇（注册号：1419970001)、崔锴（注册号：0)</v>
      </c>
      <c r="L4" s="2541"/>
      <c r="M4" s="2541"/>
      <c r="N4" s="2542"/>
      <c r="O4" s="1711"/>
      <c r="P4" s="2542"/>
      <c r="Q4" s="2542"/>
      <c r="R4" s="2542"/>
      <c r="S4" s="1817"/>
      <c r="T4" s="1880"/>
      <c r="U4" s="1880"/>
      <c r="V4" s="1880"/>
      <c r="W4" s="1880"/>
      <c r="X4" s="1880"/>
      <c r="Y4" s="1880"/>
      <c r="Z4" s="1880"/>
      <c r="AA4" s="1880"/>
      <c r="AB4" s="1880"/>
    </row>
    <row r="5" spans="1:28" ht="13.8"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3237</v>
      </c>
      <c r="C8" s="2562"/>
      <c r="D8" s="3332" t="s">
        <v>2675</v>
      </c>
      <c r="E8" s="2563" t="s">
        <v>3238</v>
      </c>
      <c r="F8" s="2564"/>
      <c r="G8" s="2838"/>
      <c r="H8" s="2838"/>
      <c r="I8" s="2838"/>
      <c r="J8" s="2613"/>
      <c r="K8" s="2788"/>
      <c r="L8" s="2787"/>
      <c r="M8" s="2787"/>
      <c r="N8" s="2613"/>
      <c r="O8" s="2624"/>
      <c r="P8" s="2613"/>
      <c r="Q8" s="2613"/>
      <c r="R8" s="2613"/>
    </row>
    <row r="9" spans="1:28" ht="13.8" thickBot="1">
      <c r="A9" s="2565" t="s">
        <v>2676</v>
      </c>
      <c r="B9" s="2566" t="s">
        <v>3238</v>
      </c>
      <c r="C9" s="2567"/>
      <c r="D9" s="3333"/>
      <c r="E9" s="2566"/>
      <c r="F9" s="2568"/>
      <c r="G9" s="2840"/>
      <c r="H9" s="2840"/>
      <c r="I9" s="2840"/>
      <c r="J9" s="2613"/>
      <c r="K9" s="2790"/>
      <c r="L9" s="2787"/>
      <c r="M9" s="2787"/>
      <c r="N9" s="2613"/>
      <c r="O9" s="2624"/>
      <c r="P9" s="2613"/>
      <c r="Q9" s="2613"/>
      <c r="R9" s="2613"/>
    </row>
    <row r="10" spans="1:28" ht="13.8" thickTop="1">
      <c r="A10" s="2569" t="s">
        <v>2677</v>
      </c>
      <c r="B10" s="2570" t="s">
        <v>3239</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3240</v>
      </c>
      <c r="C11" s="2575"/>
      <c r="D11" s="2576"/>
      <c r="E11" s="2542"/>
      <c r="F11" s="2542"/>
      <c r="G11" s="2542"/>
      <c r="H11" s="2542"/>
      <c r="I11" s="2542"/>
      <c r="J11" s="2613"/>
      <c r="K11" s="2790"/>
      <c r="L11" s="2787"/>
      <c r="M11" s="2787"/>
      <c r="N11" s="2613"/>
      <c r="O11" s="2624"/>
      <c r="P11" s="2613"/>
      <c r="Q11" s="2613"/>
      <c r="R11" s="2613"/>
    </row>
    <row r="12" spans="1:28">
      <c r="A12" s="2577" t="s">
        <v>2680</v>
      </c>
      <c r="B12" s="2574" t="s">
        <v>3241</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ht="15">
      <c r="A13" s="1194"/>
      <c r="B13" s="2579"/>
      <c r="C13" s="2580" t="s">
        <v>2688</v>
      </c>
      <c r="D13" s="946"/>
      <c r="E13" s="946"/>
      <c r="F13" s="946"/>
      <c r="G13" s="3241">
        <v>59926</v>
      </c>
      <c r="H13" s="3241"/>
      <c r="I13" s="946">
        <v>59926</v>
      </c>
      <c r="J13" s="2613"/>
      <c r="K13" s="2790"/>
      <c r="L13" s="2787"/>
      <c r="M13" s="2787"/>
      <c r="N13" s="2613"/>
      <c r="O13" s="2624"/>
      <c r="P13" s="2613"/>
      <c r="Q13" s="2613"/>
      <c r="R13" s="2613"/>
    </row>
    <row r="14" spans="1:28">
      <c r="A14" s="1194"/>
      <c r="B14" s="2579"/>
      <c r="C14" s="2580" t="s">
        <v>2689</v>
      </c>
      <c r="D14" s="2581"/>
      <c r="E14" s="2581"/>
      <c r="F14" s="2581"/>
      <c r="G14" s="2581">
        <v>50</v>
      </c>
      <c r="H14" s="2581"/>
      <c r="I14" s="2581">
        <v>50</v>
      </c>
      <c r="J14" s="2613"/>
      <c r="K14" s="2791"/>
      <c r="L14" s="2787"/>
      <c r="M14" s="2787"/>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t="str">
        <f>IF(B12="出让",IF(F13="","",ROUNDDOWN(MIN((F13-$D$3)/365,F14),2)),F14)</f>
        <v/>
      </c>
      <c r="G15" s="2584">
        <f>IF(B12="出让",IF(G13="","",ROUNDDOWN(MIN((G13-$D$3)/365,G14),2)),G14)</f>
        <v>41.52</v>
      </c>
      <c r="H15" s="2584" t="str">
        <f>IF(B12="出让",IF(H13="","",ROUNDDOWN(MIN((H13-$D$3)/365,H14),2)),H14)</f>
        <v/>
      </c>
      <c r="I15" s="2584">
        <f>IF(B12="出让",IF(I13="","",ROUNDDOWN(MIN((I13-$D$3)/365,I14),2)),I14)</f>
        <v>41.52</v>
      </c>
      <c r="J15" s="2613"/>
      <c r="K15" s="2792"/>
      <c r="L15" s="2625"/>
      <c r="M15" s="2625"/>
      <c r="N15" s="2683"/>
      <c r="O15" s="2625"/>
      <c r="P15" s="2683"/>
      <c r="Q15" s="2613"/>
      <c r="R15" s="2613"/>
    </row>
    <row r="16" spans="1:28">
      <c r="A16" s="2572" t="s">
        <v>2691</v>
      </c>
      <c r="B16" s="3339"/>
      <c r="C16" s="3340"/>
      <c r="D16" s="3341"/>
      <c r="E16" s="2587" t="s">
        <v>2692</v>
      </c>
      <c r="F16" s="3342"/>
      <c r="G16" s="3343"/>
      <c r="H16" s="3343"/>
      <c r="I16" s="3344"/>
      <c r="J16" s="2613"/>
      <c r="K16" s="2792"/>
      <c r="L16" s="2625"/>
      <c r="M16" s="2625"/>
      <c r="N16" s="2683"/>
      <c r="O16" s="2625"/>
      <c r="P16" s="2683"/>
      <c r="Q16" s="2613"/>
      <c r="R16" s="2613"/>
    </row>
    <row r="17" spans="1:28">
      <c r="A17" s="319" t="s">
        <v>2693</v>
      </c>
      <c r="B17" s="308" t="s">
        <v>2694</v>
      </c>
      <c r="C17" s="11">
        <f>'数据-汇总表'!E3</f>
        <v>243924.88</v>
      </c>
      <c r="D17" s="2494" t="s">
        <v>2695</v>
      </c>
      <c r="E17" s="3345" t="s">
        <v>2696</v>
      </c>
      <c r="F17" s="3346"/>
      <c r="G17" s="3346"/>
      <c r="H17" s="3346"/>
      <c r="I17" s="3347"/>
      <c r="J17" s="2613"/>
      <c r="K17" s="2793"/>
      <c r="L17" s="2625"/>
      <c r="M17" s="2625"/>
      <c r="N17" s="2683"/>
      <c r="O17" s="2625"/>
      <c r="P17" s="2683"/>
      <c r="Q17" s="2613"/>
      <c r="R17" s="2613"/>
      <c r="S17" s="2613"/>
      <c r="T17" s="2613"/>
      <c r="U17" s="2613"/>
      <c r="V17" s="2613"/>
    </row>
    <row r="18" spans="1:28" ht="24.6" thickBot="1">
      <c r="A18" s="2588" t="s">
        <v>2697</v>
      </c>
      <c r="B18" s="1203" t="s">
        <v>2698</v>
      </c>
      <c r="C18" s="2589">
        <f>'数据-汇总表'!D3</f>
        <v>118122.57</v>
      </c>
      <c r="D18" s="1205" t="s">
        <v>2699</v>
      </c>
      <c r="E18" s="3348" t="s">
        <v>2700</v>
      </c>
      <c r="F18" s="3349"/>
      <c r="G18" s="3349"/>
      <c r="H18" s="3349"/>
      <c r="I18" s="3350"/>
      <c r="J18" s="2613"/>
      <c r="K18" s="2793"/>
      <c r="L18" s="2625"/>
      <c r="M18" s="2625"/>
      <c r="N18" s="2683"/>
      <c r="O18" s="2625"/>
      <c r="P18" s="2683"/>
      <c r="Q18" s="2613"/>
      <c r="R18" s="2613"/>
      <c r="S18" s="2613"/>
      <c r="T18" s="2613"/>
      <c r="U18" s="2613"/>
      <c r="V18" s="2613"/>
    </row>
    <row r="19" spans="1:28" ht="37.200000000000003" thickTop="1" thickBot="1">
      <c r="A19" s="333" t="s">
        <v>1499</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35" t="s">
        <v>2704</v>
      </c>
      <c r="C20" s="3336"/>
      <c r="D20" s="3337" t="s">
        <v>2705</v>
      </c>
      <c r="E20" s="3338"/>
      <c r="F20" s="2822" t="s">
        <v>1500</v>
      </c>
      <c r="G20" s="2839"/>
      <c r="H20" s="2839"/>
      <c r="I20" s="2839"/>
      <c r="J20" s="2613"/>
      <c r="K20" s="3334"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36.6" thickBot="1">
      <c r="A21" s="2807"/>
      <c r="B21" s="2808" t="s">
        <v>2707</v>
      </c>
      <c r="C21" s="2809" t="s">
        <v>1501</v>
      </c>
      <c r="D21" s="1703" t="s">
        <v>2708</v>
      </c>
      <c r="E21" s="2810" t="s">
        <v>1501</v>
      </c>
      <c r="F21" s="2823"/>
      <c r="G21" s="2839"/>
      <c r="H21" s="2839"/>
      <c r="I21" s="2839"/>
      <c r="J21" s="2613"/>
      <c r="K21" s="333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36.6" thickBot="1">
      <c r="A22" s="2807"/>
      <c r="B22" s="2811" t="s">
        <v>2709</v>
      </c>
      <c r="C22" s="2809" t="s">
        <v>1502</v>
      </c>
      <c r="D22" s="2838"/>
      <c r="E22" s="2838"/>
      <c r="F22" s="2838"/>
      <c r="G22" s="2839"/>
      <c r="H22" s="2839"/>
      <c r="I22" s="2839"/>
      <c r="J22" s="2613"/>
      <c r="K22" s="333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1503</v>
      </c>
      <c r="C24" s="2816"/>
      <c r="D24" s="2812" t="s">
        <v>1503</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1504</v>
      </c>
      <c r="C25" s="2816"/>
      <c r="D25" s="2812" t="s">
        <v>1504</v>
      </c>
      <c r="E25" s="2817"/>
      <c r="F25" s="2838"/>
      <c r="G25" s="2839"/>
      <c r="H25" s="2839"/>
      <c r="I25" s="2839"/>
      <c r="J25" s="2613"/>
      <c r="K25" s="2790"/>
      <c r="L25" s="2787"/>
      <c r="M25" s="2787"/>
      <c r="N25" s="2683"/>
      <c r="O25" s="2625"/>
      <c r="P25" s="2683"/>
      <c r="Q25" s="2613"/>
      <c r="R25" s="2613"/>
      <c r="S25" s="2613"/>
      <c r="T25" s="2613"/>
      <c r="U25" s="2613"/>
      <c r="V25" s="2613"/>
    </row>
    <row r="26" spans="1:28" ht="13.8" thickBot="1">
      <c r="A26" s="2818"/>
      <c r="B26" s="2819" t="s">
        <v>1505</v>
      </c>
      <c r="C26" s="2820"/>
      <c r="D26" s="2818" t="s">
        <v>1505</v>
      </c>
      <c r="E26" s="2821"/>
      <c r="F26" s="2840"/>
      <c r="G26" s="2840"/>
      <c r="H26" s="2840"/>
      <c r="I26" s="2840"/>
      <c r="J26" s="2613"/>
      <c r="K26" s="2790"/>
      <c r="L26" s="2787"/>
      <c r="M26" s="2787"/>
      <c r="N26" s="2683"/>
      <c r="O26" s="2625"/>
      <c r="P26" s="2683"/>
      <c r="Q26" s="2613"/>
      <c r="R26" s="2613"/>
      <c r="S26" s="2613"/>
      <c r="T26" s="2613"/>
      <c r="U26" s="2613"/>
      <c r="V26" s="2613"/>
    </row>
    <row r="27" spans="1:28" ht="13.8" thickTop="1">
      <c r="A27" s="3322"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22"/>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22"/>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23"/>
      <c r="B30" s="308" t="s">
        <v>2716</v>
      </c>
      <c r="C30" s="3324"/>
      <c r="D30" s="3325"/>
      <c r="E30" s="2839"/>
      <c r="F30" s="2839"/>
      <c r="G30" s="2839"/>
      <c r="H30" s="2839"/>
      <c r="I30" s="2839"/>
      <c r="J30" s="2613"/>
      <c r="K30" s="2790"/>
      <c r="L30" s="2787"/>
      <c r="M30" s="2787"/>
      <c r="N30" s="2613"/>
      <c r="O30" s="2624"/>
      <c r="P30" s="2613"/>
      <c r="Q30" s="2613"/>
      <c r="R30" s="2613"/>
      <c r="S30" s="2613"/>
      <c r="T30" s="2613"/>
      <c r="U30" s="2613"/>
      <c r="V30" s="2613"/>
    </row>
    <row r="31" spans="1:28">
      <c r="A31" s="3326" t="s">
        <v>2717</v>
      </c>
      <c r="B31" s="2596" t="s">
        <v>3242</v>
      </c>
      <c r="C31" s="2495" t="str">
        <f>IF(B31="现房","成新及维护状况正常否",IF(B31="在建","工程状态是否正常",IF(B31="土地","是否闲置","-")))</f>
        <v>成新及维护状况正常否</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27"/>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27"/>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21" t="s">
        <v>2726</v>
      </c>
      <c r="T34" s="2602" t="str">
        <f>NUMBERSTRING(7-K34,1)&amp;"通"</f>
        <v>七通</v>
      </c>
      <c r="U34" s="2613"/>
      <c r="V34" s="2613"/>
    </row>
    <row r="35" spans="1:30">
      <c r="A35" s="2603"/>
      <c r="B35" s="3328" t="s">
        <v>2727</v>
      </c>
      <c r="C35" s="3328"/>
      <c r="D35" s="3328"/>
      <c r="E35" s="3328"/>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1"/>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533</v>
      </c>
      <c r="C37" s="2605" t="s">
        <v>533</v>
      </c>
      <c r="D37" s="2605" t="s">
        <v>533</v>
      </c>
      <c r="E37" s="2605" t="s">
        <v>533</v>
      </c>
      <c r="F37" s="2845"/>
      <c r="G37" s="2839"/>
      <c r="H37" s="2839"/>
      <c r="I37" s="2839"/>
      <c r="J37" s="2613"/>
      <c r="K37" s="2790"/>
      <c r="L37" s="2787"/>
      <c r="M37" s="2787"/>
      <c r="N37" s="2613"/>
      <c r="O37" s="2624"/>
      <c r="P37" s="2613"/>
      <c r="Q37" s="2613"/>
      <c r="R37" s="2613"/>
      <c r="S37" s="2613"/>
      <c r="T37" s="2613"/>
      <c r="U37" s="2613"/>
      <c r="V37" s="2613"/>
    </row>
    <row r="38" spans="1:30" ht="13.8" thickBot="1">
      <c r="A38" s="2806" t="s">
        <v>2729</v>
      </c>
      <c r="B38" s="2606" t="s">
        <v>233</v>
      </c>
      <c r="C38" s="2606" t="s">
        <v>233</v>
      </c>
      <c r="D38" s="2606" t="s">
        <v>233</v>
      </c>
      <c r="E38" s="2606" t="s">
        <v>233</v>
      </c>
      <c r="F38" s="2846"/>
      <c r="G38" s="2840"/>
      <c r="H38" s="2840"/>
      <c r="I38" s="2840"/>
      <c r="J38" s="2613"/>
      <c r="K38" s="2790"/>
      <c r="L38" s="2787"/>
      <c r="M38" s="2787"/>
      <c r="N38" s="2613"/>
      <c r="O38" s="2624"/>
      <c r="P38" s="2613"/>
      <c r="Q38" s="2613"/>
      <c r="R38" s="2613"/>
      <c r="S38" s="2613"/>
      <c r="T38" s="2613"/>
      <c r="U38" s="2613"/>
      <c r="V38" s="2613"/>
    </row>
    <row r="39" spans="1:30" s="2609" customFormat="1" ht="14.4"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2">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1708" customWidth="1"/>
    <col min="2" max="2" width="11" style="1708" customWidth="1"/>
    <col min="3" max="3" width="10.33203125" style="1708" customWidth="1"/>
    <col min="4" max="4" width="9.109375" style="1708" customWidth="1"/>
    <col min="5" max="6" width="10" style="1769" customWidth="1"/>
    <col min="7" max="8" width="10" style="1708" customWidth="1"/>
    <col min="9" max="9" width="10.6640625" style="1708" customWidth="1"/>
    <col min="10" max="10" width="9.44140625" style="1708" hidden="1" customWidth="1"/>
    <col min="11" max="11" width="11" style="1708" customWidth="1"/>
    <col min="12" max="12" width="9.44140625" style="1708" hidden="1" customWidth="1"/>
    <col min="13" max="13" width="9.44140625" style="1708" customWidth="1"/>
    <col min="14" max="14" width="9.44140625" style="1708" hidden="1" customWidth="1"/>
    <col min="15" max="15" width="9.88671875" style="1708" hidden="1" customWidth="1"/>
    <col min="16" max="16" width="9.77734375" style="1708" hidden="1" customWidth="1"/>
    <col min="17" max="17" width="9.33203125" style="1708" hidden="1" customWidth="1"/>
    <col min="18" max="18" width="9.21875" style="1708" hidden="1" customWidth="1"/>
    <col min="19" max="19" width="10.88671875" style="1708" hidden="1" customWidth="1"/>
    <col min="20" max="21" width="10.77734375" style="1708" hidden="1" customWidth="1"/>
    <col min="22" max="22" width="10.88671875" style="1708" hidden="1" customWidth="1"/>
    <col min="23" max="27" width="10.77734375" style="1708" hidden="1" customWidth="1"/>
    <col min="28" max="28" width="10.88671875" style="1708" hidden="1" customWidth="1"/>
    <col min="29" max="29" width="11" style="1708" bestFit="1" customWidth="1"/>
    <col min="30" max="30" width="10" style="1708" hidden="1" customWidth="1"/>
    <col min="31" max="31" width="9.77734375" style="1708" hidden="1" customWidth="1"/>
    <col min="32" max="37" width="9.44140625" style="1708" hidden="1" customWidth="1"/>
    <col min="38" max="46" width="9.44140625" style="1708" customWidth="1"/>
    <col min="47" max="47" width="18.109375" style="1708" customWidth="1"/>
    <col min="48" max="50" width="9.77734375" style="1708" customWidth="1"/>
    <col min="51" max="55" width="10.44140625" style="1708" bestFit="1" customWidth="1"/>
    <col min="56" max="56" width="9.44140625" style="1708" bestFit="1" customWidth="1"/>
    <col min="57" max="63" width="9.109375" style="1708" bestFit="1" customWidth="1"/>
    <col min="64" max="64" width="9.44140625" style="1708" bestFit="1" customWidth="1"/>
    <col min="65" max="65" width="9.109375" style="1708" bestFit="1" customWidth="1"/>
    <col min="66" max="66" width="9.44140625" style="1708" bestFit="1" customWidth="1"/>
    <col min="67" max="69" width="9.109375" style="1708" bestFit="1" customWidth="1"/>
    <col min="70" max="70" width="9.44140625" style="1708" bestFit="1" customWidth="1"/>
    <col min="71" max="71" width="9" style="1708" customWidth="1"/>
    <col min="72" max="72" width="9.109375" style="1708" bestFit="1" customWidth="1"/>
    <col min="73" max="16384" width="8.88671875" style="1708"/>
  </cols>
  <sheetData>
    <row r="1" spans="1:72" ht="21">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1511</v>
      </c>
      <c r="AZ2" s="1161"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3.2">
      <c r="A3" s="13">
        <f>面积表!K7</f>
        <v>119876.49</v>
      </c>
      <c r="B3" s="14">
        <f>IF(C3="否",G5-AT5,G5)</f>
        <v>243924.88</v>
      </c>
      <c r="C3" s="1715" t="s">
        <v>3243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f>面积表!K18</f>
        <v>118122.57</v>
      </c>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3.2">
      <c r="A5" s="15" t="s">
        <v>1514</v>
      </c>
      <c r="B5" s="1481"/>
      <c r="C5" s="1481"/>
      <c r="D5" s="1483"/>
      <c r="E5" s="16" t="s">
        <v>1</v>
      </c>
      <c r="F5" s="16">
        <f>SUM(F13:F587)</f>
        <v>0</v>
      </c>
      <c r="G5" s="16">
        <f>SUM(G13:G587)</f>
        <v>243924.88</v>
      </c>
      <c r="H5" s="16">
        <f t="shared" ref="H5:AT5" si="0">SUM(H13:H656)</f>
        <v>235999.26</v>
      </c>
      <c r="I5" s="16">
        <f t="shared" si="0"/>
        <v>175962.71000000002</v>
      </c>
      <c r="J5" s="16">
        <f t="shared" si="0"/>
        <v>0</v>
      </c>
      <c r="K5" s="16">
        <f t="shared" si="0"/>
        <v>29778.85</v>
      </c>
      <c r="L5" s="16">
        <f t="shared" si="0"/>
        <v>0</v>
      </c>
      <c r="M5" s="16">
        <f t="shared" si="0"/>
        <v>30257.699999999997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7925.619999999999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572.02</v>
      </c>
      <c r="AM5" s="16">
        <f t="shared" si="0"/>
        <v>0</v>
      </c>
      <c r="AN5" s="16">
        <f t="shared" si="0"/>
        <v>7353.5999999999995</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243924.88</v>
      </c>
      <c r="BA5" s="18">
        <f t="shared" si="1"/>
        <v>235999.26</v>
      </c>
      <c r="BB5" s="18">
        <f t="shared" si="1"/>
        <v>175962.71000000002</v>
      </c>
      <c r="BC5" s="18">
        <f t="shared" si="1"/>
        <v>29778.85</v>
      </c>
      <c r="BD5" s="18">
        <f t="shared" si="1"/>
        <v>30257.699999999997</v>
      </c>
      <c r="BE5" s="18">
        <f t="shared" si="1"/>
        <v>0</v>
      </c>
      <c r="BF5" s="18">
        <f t="shared" si="1"/>
        <v>0</v>
      </c>
      <c r="BG5" s="18">
        <f t="shared" si="1"/>
        <v>0</v>
      </c>
      <c r="BH5" s="18">
        <f t="shared" si="1"/>
        <v>0</v>
      </c>
      <c r="BI5" s="18">
        <f t="shared" si="1"/>
        <v>0</v>
      </c>
      <c r="BJ5" s="18">
        <f t="shared" si="1"/>
        <v>0</v>
      </c>
      <c r="BK5" s="18">
        <f t="shared" si="1"/>
        <v>0</v>
      </c>
      <c r="BL5" s="18">
        <f t="shared" si="1"/>
        <v>7925.619999999999</v>
      </c>
      <c r="BM5" s="18">
        <f t="shared" si="1"/>
        <v>0</v>
      </c>
      <c r="BN5" s="18">
        <f t="shared" si="1"/>
        <v>0</v>
      </c>
      <c r="BO5" s="18">
        <f t="shared" si="1"/>
        <v>0</v>
      </c>
      <c r="BP5" s="18">
        <f t="shared" si="1"/>
        <v>0</v>
      </c>
      <c r="BQ5" s="18">
        <f t="shared" si="1"/>
        <v>572.02</v>
      </c>
      <c r="BR5" s="18">
        <f t="shared" si="1"/>
        <v>7353.5999999999995</v>
      </c>
      <c r="BS5" s="18">
        <f t="shared" si="1"/>
        <v>0</v>
      </c>
      <c r="BT5" s="19">
        <f t="shared" si="1"/>
        <v>0</v>
      </c>
    </row>
    <row r="6" spans="1:72" s="1724" customFormat="1" ht="13.2">
      <c r="A6" s="15" t="s">
        <v>1515</v>
      </c>
      <c r="B6" s="1721"/>
      <c r="C6" s="1721"/>
      <c r="D6" s="1722"/>
      <c r="E6" s="16">
        <f>H6+AC6+AT6</f>
        <v>119876.49</v>
      </c>
      <c r="F6" s="16" t="s">
        <v>1</v>
      </c>
      <c r="G6" s="16" t="s">
        <v>2</v>
      </c>
      <c r="H6" s="20">
        <f>SUMIF(I$12:AB$12,"总值",I6:AB6)</f>
        <v>115981.46</v>
      </c>
      <c r="I6" s="16">
        <f t="shared" ref="I6:AB6" si="2">ROUND($A$3*I5/$B$3,2)</f>
        <v>86476.59</v>
      </c>
      <c r="J6" s="16">
        <f t="shared" si="2"/>
        <v>0</v>
      </c>
      <c r="K6" s="16">
        <f t="shared" si="2"/>
        <v>14634.77</v>
      </c>
      <c r="L6" s="16">
        <f t="shared" si="2"/>
        <v>0</v>
      </c>
      <c r="M6" s="16">
        <f t="shared" si="2"/>
        <v>14870.1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3895.0299999999997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281.12</v>
      </c>
      <c r="AM6" s="16">
        <f t="shared" si="3"/>
        <v>0</v>
      </c>
      <c r="AN6" s="16">
        <f t="shared" si="3"/>
        <v>3613.91</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118122.57</v>
      </c>
      <c r="AZ6" s="16" t="s">
        <v>3</v>
      </c>
      <c r="BA6" s="16">
        <f>ROUND($AY$6*BA5/$AZ$5,2)</f>
        <v>114284.53</v>
      </c>
      <c r="BB6" s="16">
        <f>ROUND($AY$6*BB5/$AZ$5,2)</f>
        <v>85211.35</v>
      </c>
      <c r="BC6" s="16">
        <f t="shared" ref="BC6:BH6" si="4">ROUND($AY$6*BC5/$AZ$5,2)</f>
        <v>14420.65</v>
      </c>
      <c r="BD6" s="16">
        <f t="shared" si="4"/>
        <v>14652.53</v>
      </c>
      <c r="BE6" s="16">
        <f t="shared" si="4"/>
        <v>0</v>
      </c>
      <c r="BF6" s="16">
        <f t="shared" si="4"/>
        <v>0</v>
      </c>
      <c r="BG6" s="16">
        <f t="shared" si="4"/>
        <v>0</v>
      </c>
      <c r="BH6" s="16">
        <f t="shared" si="4"/>
        <v>0</v>
      </c>
      <c r="BI6" s="16">
        <f t="shared" ref="BI6:BT6" si="5">ROUND($AY$6*BI5/$AZ$5,2)</f>
        <v>0</v>
      </c>
      <c r="BJ6" s="16">
        <f t="shared" si="5"/>
        <v>0</v>
      </c>
      <c r="BK6" s="16">
        <f t="shared" si="5"/>
        <v>0</v>
      </c>
      <c r="BL6" s="16">
        <f t="shared" si="5"/>
        <v>3838.04</v>
      </c>
      <c r="BM6" s="16">
        <f t="shared" si="5"/>
        <v>0</v>
      </c>
      <c r="BN6" s="16">
        <f t="shared" si="5"/>
        <v>0</v>
      </c>
      <c r="BO6" s="16">
        <f t="shared" si="5"/>
        <v>0</v>
      </c>
      <c r="BP6" s="16">
        <f t="shared" si="5"/>
        <v>0</v>
      </c>
      <c r="BQ6" s="16">
        <f t="shared" si="5"/>
        <v>277.01</v>
      </c>
      <c r="BR6" s="16">
        <f t="shared" si="5"/>
        <v>3561.04</v>
      </c>
      <c r="BS6" s="16">
        <f t="shared" si="5"/>
        <v>0</v>
      </c>
      <c r="BT6" s="22">
        <f t="shared" si="5"/>
        <v>0</v>
      </c>
    </row>
    <row r="7" spans="1:72" s="1714" customFormat="1" ht="25.2">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3" t="s">
        <v>1530</v>
      </c>
      <c r="AU8" s="1729" t="s">
        <v>1531</v>
      </c>
      <c r="AV8" s="1183"/>
      <c r="AW8" s="1712"/>
      <c r="AX8" s="1183"/>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3.2">
      <c r="A9" s="1729"/>
      <c r="B9" s="1729"/>
      <c r="C9" s="1729"/>
      <c r="D9" s="1729"/>
      <c r="E9" s="1729"/>
      <c r="F9" s="1729"/>
      <c r="G9" s="1183"/>
      <c r="H9" s="1737" t="s">
        <v>1534</v>
      </c>
      <c r="I9" s="1738" t="s">
        <v>3173</v>
      </c>
      <c r="J9" s="899"/>
      <c r="K9" s="1738" t="s">
        <v>3174</v>
      </c>
      <c r="L9" s="899"/>
      <c r="M9" s="1738" t="s">
        <v>3174</v>
      </c>
      <c r="N9" s="899"/>
      <c r="O9" s="1738"/>
      <c r="P9" s="899"/>
      <c r="Q9" s="1738"/>
      <c r="R9" s="899"/>
      <c r="S9" s="1738"/>
      <c r="T9" s="899"/>
      <c r="U9" s="1738"/>
      <c r="V9" s="899"/>
      <c r="W9" s="1738"/>
      <c r="X9" s="1739"/>
      <c r="Y9" s="1738"/>
      <c r="Z9" s="899"/>
      <c r="AA9" s="1738"/>
      <c r="AB9" s="899"/>
      <c r="AC9" s="1730"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0"/>
      <c r="AT9" s="1729"/>
      <c r="AU9" s="1729" t="s">
        <v>1537</v>
      </c>
      <c r="AV9" s="1183"/>
      <c r="AW9" s="1712"/>
      <c r="AX9" s="1183"/>
      <c r="AY9" s="28"/>
      <c r="AZ9" s="28" t="s">
        <v>1527</v>
      </c>
      <c r="BA9" s="1741" t="s">
        <v>1538</v>
      </c>
      <c r="BB9" s="1742"/>
      <c r="BC9" s="1201"/>
      <c r="BD9" s="1201"/>
      <c r="BE9" s="1201"/>
      <c r="BF9" s="1201"/>
      <c r="BG9" s="1201"/>
      <c r="BH9" s="1201"/>
      <c r="BI9" s="1201"/>
      <c r="BJ9" s="1201"/>
      <c r="BK9" s="1743"/>
      <c r="BL9" s="15" t="s">
        <v>1539</v>
      </c>
      <c r="BM9" s="1494"/>
      <c r="BN9" s="1732"/>
      <c r="BO9" s="1494"/>
      <c r="BP9" s="1494"/>
      <c r="BQ9" s="1494"/>
      <c r="BR9" s="1494"/>
      <c r="BS9" s="1494"/>
      <c r="BT9" s="26"/>
    </row>
    <row r="10" spans="1:72" s="1736" customFormat="1" ht="13.2">
      <c r="A10" s="1729"/>
      <c r="B10" s="1729"/>
      <c r="C10" s="1729"/>
      <c r="D10" s="1729"/>
      <c r="E10" s="1729"/>
      <c r="F10" s="1729"/>
      <c r="G10" s="1183"/>
      <c r="H10" s="28"/>
      <c r="I10" s="1738" t="s">
        <v>6</v>
      </c>
      <c r="J10" s="899"/>
      <c r="K10" s="1744" t="s">
        <v>3245</v>
      </c>
      <c r="L10" s="899"/>
      <c r="M10" s="1744" t="s">
        <v>3246</v>
      </c>
      <c r="N10" s="899"/>
      <c r="O10" s="1744"/>
      <c r="P10" s="899"/>
      <c r="Q10" s="1744"/>
      <c r="R10" s="899"/>
      <c r="S10" s="1744"/>
      <c r="T10" s="899"/>
      <c r="U10" s="1744"/>
      <c r="V10" s="899"/>
      <c r="W10" s="1744"/>
      <c r="X10" s="899"/>
      <c r="Y10" s="1744"/>
      <c r="Z10" s="899"/>
      <c r="AA10" s="1744"/>
      <c r="AB10" s="899"/>
      <c r="AC10" s="1183"/>
      <c r="AD10" s="15" t="s">
        <v>1540</v>
      </c>
      <c r="AE10" s="1745"/>
      <c r="AF10" s="15" t="s">
        <v>1540</v>
      </c>
      <c r="AG10" s="1745"/>
      <c r="AH10" s="15" t="s">
        <v>1541</v>
      </c>
      <c r="AI10" s="1745"/>
      <c r="AJ10" s="15" t="s">
        <v>1541</v>
      </c>
      <c r="AK10" s="1745"/>
      <c r="AL10" s="15" t="s">
        <v>1542</v>
      </c>
      <c r="AM10" s="1189"/>
      <c r="AN10" s="15" t="s">
        <v>1542</v>
      </c>
      <c r="AO10" s="1189"/>
      <c r="AP10" s="15" t="s">
        <v>1543</v>
      </c>
      <c r="AQ10" s="1189"/>
      <c r="AR10" s="15" t="s">
        <v>1543</v>
      </c>
      <c r="AS10" s="1189"/>
      <c r="AT10" s="1729"/>
      <c r="AU10" s="1729"/>
      <c r="AV10" s="1183"/>
      <c r="AW10" s="1712"/>
      <c r="AX10" s="1183"/>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3.2">
      <c r="A11" s="1729"/>
      <c r="B11" s="1729"/>
      <c r="C11" s="1729"/>
      <c r="D11" s="1729"/>
      <c r="E11" s="1729"/>
      <c r="F11" s="1729"/>
      <c r="G11" s="1183"/>
      <c r="H11" s="1746"/>
      <c r="I11" s="1749" t="s">
        <v>3244</v>
      </c>
      <c r="J11" s="1750"/>
      <c r="K11" s="1749" t="s">
        <v>3244</v>
      </c>
      <c r="L11" s="1750"/>
      <c r="M11" s="1749" t="s">
        <v>3246</v>
      </c>
      <c r="N11" s="1750"/>
      <c r="O11" s="1749"/>
      <c r="P11" s="1750"/>
      <c r="Q11" s="1749"/>
      <c r="R11" s="1750"/>
      <c r="S11" s="1749"/>
      <c r="T11" s="1750"/>
      <c r="U11" s="1749"/>
      <c r="V11" s="1750"/>
      <c r="W11" s="1749"/>
      <c r="X11" s="1750"/>
      <c r="Y11" s="1749"/>
      <c r="Z11" s="1750"/>
      <c r="AA11" s="1749"/>
      <c r="AB11" s="1750"/>
      <c r="AC11" s="1183"/>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t="str">
        <f>K10</f>
        <v>仓储</v>
      </c>
      <c r="BD11" s="1734" t="str">
        <f>M10</f>
        <v>车库</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3.2">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标准厂房</v>
      </c>
      <c r="BC12" s="1759" t="str">
        <f>K11</f>
        <v>标准厂房</v>
      </c>
      <c r="BD12" s="1759" t="str">
        <f>M11</f>
        <v>车库</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3.2">
      <c r="A13" s="1163"/>
      <c r="B13" s="1163"/>
      <c r="C13" s="1163"/>
      <c r="D13" s="1760" t="s">
        <v>3243</v>
      </c>
      <c r="E13" s="16">
        <f>IF($C$3="是",ROUND($A$3*G13/$B$3,2),ROUND($A$3*(G13-AT13)/$B$3,2))</f>
        <v>119876.49</v>
      </c>
      <c r="F13" s="32"/>
      <c r="G13" s="33">
        <f>H13+AC13+AT13</f>
        <v>243924.88</v>
      </c>
      <c r="H13" s="20">
        <f>SUMIF(I$12:AB$12,"总值",I13:AB13)</f>
        <v>235999.26</v>
      </c>
      <c r="I13" s="1761">
        <f>面积表!K20</f>
        <v>175962.71000000002</v>
      </c>
      <c r="J13" s="1761"/>
      <c r="K13" s="1761">
        <f>面积表!K21</f>
        <v>29778.85</v>
      </c>
      <c r="L13" s="1761"/>
      <c r="M13" s="1761">
        <f>面积表!K22</f>
        <v>30257.699999999997</v>
      </c>
      <c r="N13" s="1761"/>
      <c r="O13" s="1761"/>
      <c r="P13" s="1761"/>
      <c r="Q13" s="1761"/>
      <c r="R13" s="1761"/>
      <c r="S13" s="1761"/>
      <c r="T13" s="1761"/>
      <c r="U13" s="1761"/>
      <c r="V13" s="1761"/>
      <c r="W13" s="1761"/>
      <c r="X13" s="1761"/>
      <c r="Y13" s="1761"/>
      <c r="Z13" s="1761"/>
      <c r="AA13" s="1761"/>
      <c r="AB13" s="1761"/>
      <c r="AC13" s="16">
        <f>SUMIF(AD$12:AS$12,"总值",AD13:AS13)</f>
        <v>7925.619999999999</v>
      </c>
      <c r="AD13" s="1762"/>
      <c r="AE13" s="1762"/>
      <c r="AF13" s="1762"/>
      <c r="AG13" s="1762"/>
      <c r="AH13" s="1762"/>
      <c r="AI13" s="1762"/>
      <c r="AJ13" s="1762"/>
      <c r="AK13" s="1762"/>
      <c r="AL13" s="1762">
        <f>面积表!K23</f>
        <v>572.02</v>
      </c>
      <c r="AM13" s="1762"/>
      <c r="AN13" s="1762">
        <f>面积表!K24</f>
        <v>7353.5999999999995</v>
      </c>
      <c r="AO13" s="1762"/>
      <c r="AP13" s="1762"/>
      <c r="AQ13" s="1762"/>
      <c r="AR13" s="1762"/>
      <c r="AS13" s="1762"/>
      <c r="AT13" s="1763"/>
      <c r="AU13" s="1764"/>
      <c r="AV13" s="11">
        <f t="shared" ref="AV13:AX17" si="6">A13</f>
        <v>0</v>
      </c>
      <c r="AW13" s="11">
        <f t="shared" si="6"/>
        <v>0</v>
      </c>
      <c r="AX13" s="11">
        <f t="shared" si="6"/>
        <v>0</v>
      </c>
      <c r="AY13" s="1483">
        <f>ROUND($AY$6*AZ13/$AZ$5,2)</f>
        <v>118122.57</v>
      </c>
      <c r="AZ13" s="16">
        <f>BA13+BL13</f>
        <v>243924.88</v>
      </c>
      <c r="BA13" s="16">
        <f>SUM(BB13:BK13)</f>
        <v>235999.26</v>
      </c>
      <c r="BB13" s="16">
        <f>IF($D13="是",I13-J13,0)</f>
        <v>175962.71000000002</v>
      </c>
      <c r="BC13" s="16">
        <f>IF($D13="是",K13-L13,0)</f>
        <v>29778.85</v>
      </c>
      <c r="BD13" s="16">
        <f>IF($D13="是",M13-N13,0)</f>
        <v>30257.699999999997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7925.619999999999</v>
      </c>
      <c r="BM13" s="16">
        <f>IF($D13="是",AD13-AE13,0)</f>
        <v>0</v>
      </c>
      <c r="BN13" s="16">
        <f>IF($D13="是",AF13-AG13,0)</f>
        <v>0</v>
      </c>
      <c r="BO13" s="16">
        <f>IF($D13="是",AH13-AI13,0)</f>
        <v>0</v>
      </c>
      <c r="BP13" s="16">
        <f>IF($D13="是",AJ13-AK13,0)</f>
        <v>0</v>
      </c>
      <c r="BQ13" s="16">
        <f>IF($D13="是",AL13-AM13,0)</f>
        <v>572.02</v>
      </c>
      <c r="BR13" s="16">
        <f>IF($D13="是",AN13-AO13,0)</f>
        <v>7353.5999999999995</v>
      </c>
      <c r="BS13" s="16">
        <f>IF($D13="是",AP13-AQ13,0)</f>
        <v>0</v>
      </c>
      <c r="BT13" s="22">
        <f>IF($D13="是",AR13-AS13,0)</f>
        <v>0</v>
      </c>
    </row>
    <row r="14" spans="1:72" s="1714" customFormat="1" ht="13.2">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3.2">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3.2">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3.2">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51" t="s">
        <v>0</v>
      </c>
      <c r="B1" s="3351" t="s">
        <v>4</v>
      </c>
      <c r="C1" s="3351" t="s">
        <v>5</v>
      </c>
      <c r="D1" s="3352" t="s">
        <v>53</v>
      </c>
      <c r="E1" s="3352" t="s">
        <v>54</v>
      </c>
      <c r="F1" s="3352"/>
      <c r="G1" s="3352"/>
      <c r="H1" s="3352"/>
      <c r="I1" s="3352"/>
      <c r="J1" s="3352"/>
      <c r="K1" s="3352"/>
      <c r="L1" s="3352"/>
      <c r="M1" s="3352"/>
    </row>
    <row r="2" spans="1:13" ht="27" customHeight="1">
      <c r="A2" s="3351"/>
      <c r="B2" s="3351"/>
      <c r="C2" s="3351"/>
      <c r="D2" s="3352"/>
      <c r="E2" s="3352" t="s">
        <v>37</v>
      </c>
      <c r="F2" s="3352" t="s">
        <v>38</v>
      </c>
      <c r="G2" s="3352"/>
      <c r="H2" s="3352"/>
      <c r="I2" s="3352"/>
      <c r="J2" s="3352" t="s">
        <v>39</v>
      </c>
      <c r="K2" s="3352"/>
      <c r="L2" s="3352"/>
      <c r="M2" s="3352"/>
    </row>
    <row r="3" spans="1:13" ht="46.8">
      <c r="A3" s="3351"/>
      <c r="B3" s="3351"/>
      <c r="C3" s="3351"/>
      <c r="D3" s="3352"/>
      <c r="E3" s="335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2" t="s">
        <v>55</v>
      </c>
      <c r="B9" s="3352"/>
      <c r="C9" s="33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zoomScaleSheetLayoutView="70" workbookViewId="0">
      <selection activeCell="G20" sqref="G20"/>
    </sheetView>
  </sheetViews>
  <sheetFormatPr defaultColWidth="9.21875" defaultRowHeight="13.8"/>
  <cols>
    <col min="1" max="1" width="12.109375" style="1773" customWidth="1"/>
    <col min="2" max="2" width="10.21875" style="1773" customWidth="1"/>
    <col min="3" max="3" width="18.44140625" style="1773" customWidth="1"/>
    <col min="4" max="4" width="11.6640625" style="1773" customWidth="1"/>
    <col min="5" max="5" width="13.33203125" style="1773" customWidth="1"/>
    <col min="6" max="8" width="11.44140625" style="1773" customWidth="1"/>
    <col min="9" max="9" width="11.109375" style="1773" customWidth="1"/>
    <col min="10" max="10" width="3.109375" style="2824" customWidth="1"/>
    <col min="11" max="16" width="10" style="1773" customWidth="1"/>
    <col min="17" max="17" width="2.6640625" style="1773" customWidth="1"/>
    <col min="18" max="18" width="9.33203125" style="1773" bestFit="1" customWidth="1"/>
    <col min="19" max="19" width="10.44140625" style="1773" bestFit="1" customWidth="1"/>
    <col min="20" max="16384" width="9.21875" style="1773"/>
  </cols>
  <sheetData>
    <row r="1" spans="1:16" ht="18" thickBot="1">
      <c r="A1" s="1772" t="s">
        <v>1573</v>
      </c>
      <c r="B1" s="1254"/>
      <c r="C1" s="1254"/>
      <c r="D1" s="1254"/>
      <c r="E1" s="1254"/>
      <c r="F1" s="1254"/>
      <c r="G1" s="1254"/>
      <c r="H1" s="1254"/>
      <c r="I1" s="1254"/>
      <c r="J1" s="1254"/>
      <c r="K1" s="1254"/>
      <c r="L1" s="1254"/>
      <c r="M1" s="1254"/>
      <c r="N1" s="1254"/>
      <c r="O1" s="1254"/>
      <c r="P1" s="1254"/>
    </row>
    <row r="2" spans="1:16" ht="14.4">
      <c r="A2" s="3362" t="s">
        <v>1574</v>
      </c>
      <c r="B2" s="3362"/>
      <c r="C2" s="3362"/>
      <c r="D2" s="885" t="s">
        <v>1550</v>
      </c>
      <c r="E2" s="1774" t="s">
        <v>1551</v>
      </c>
      <c r="F2" s="2834"/>
      <c r="G2" s="2825"/>
      <c r="H2" s="2826"/>
      <c r="I2" s="2497" t="s">
        <v>1575</v>
      </c>
      <c r="J2" s="2834"/>
      <c r="K2" s="2834"/>
      <c r="L2" s="2834"/>
      <c r="M2" s="2834"/>
      <c r="N2" s="2836"/>
      <c r="O2" s="2834"/>
      <c r="P2" s="2834"/>
    </row>
    <row r="3" spans="1:16" ht="15" thickBot="1">
      <c r="A3" s="3363" t="s">
        <v>1548</v>
      </c>
      <c r="B3" s="3363"/>
      <c r="C3" s="3363"/>
      <c r="D3" s="46">
        <f>'数据-基础表'!AY6</f>
        <v>118122.57</v>
      </c>
      <c r="E3" s="46">
        <f>'数据-基础表'!AZ5</f>
        <v>243924.88</v>
      </c>
      <c r="F3" s="2834"/>
      <c r="G3" s="1260"/>
      <c r="H3" s="1138" t="s">
        <v>1549</v>
      </c>
      <c r="I3" s="945">
        <f>ROUND('数据-基础表'!B3/'数据-基础表'!A3,2)</f>
        <v>2.0299999999999998</v>
      </c>
      <c r="J3" s="2834"/>
      <c r="K3" s="2834"/>
      <c r="L3" s="2834"/>
      <c r="M3" s="2834"/>
      <c r="N3" s="2836"/>
      <c r="O3" s="2834"/>
      <c r="P3" s="2834"/>
    </row>
    <row r="4" spans="1:16" ht="14.4">
      <c r="A4" s="3364"/>
      <c r="B4" s="3365"/>
      <c r="C4" s="3366"/>
      <c r="D4" s="1776" t="s">
        <v>1550</v>
      </c>
      <c r="E4" s="1777" t="s">
        <v>1551</v>
      </c>
      <c r="F4" s="2834"/>
      <c r="G4" s="2827" t="s">
        <v>1576</v>
      </c>
      <c r="H4" s="1138" t="s">
        <v>1556</v>
      </c>
      <c r="I4" s="945">
        <f>ROUND(SUMIF('数据-基础表'!I9:AS9,"地上",'数据-基础表'!I5:AS5)/'数据-基础表'!A3,2)</f>
        <v>1.47</v>
      </c>
      <c r="J4" s="2834"/>
      <c r="K4" s="2834"/>
      <c r="L4" s="2834"/>
      <c r="M4" s="2834"/>
      <c r="N4" s="2836"/>
      <c r="O4" s="2834"/>
      <c r="P4" s="2834"/>
    </row>
    <row r="5" spans="1:16" ht="14.4">
      <c r="A5" s="47" t="s">
        <v>1552</v>
      </c>
      <c r="B5" s="3367" t="s">
        <v>1553</v>
      </c>
      <c r="C5" s="3367"/>
      <c r="D5" s="48">
        <f>ROUND($D$3*E5/$E$3,2)</f>
        <v>0</v>
      </c>
      <c r="E5" s="49">
        <f>SUMIF('数据-基础表'!$11:$11,"住宅",'数据-基础表'!$5:$5)</f>
        <v>0</v>
      </c>
      <c r="F5" s="2834"/>
      <c r="G5" s="1260"/>
      <c r="H5" s="1138" t="s">
        <v>1549</v>
      </c>
      <c r="I5" s="945">
        <f>ROUND(E31/D31,2)</f>
        <v>2.0699999999999998</v>
      </c>
      <c r="J5" s="2834"/>
      <c r="K5" s="2834"/>
      <c r="L5" s="2834"/>
      <c r="M5" s="2834"/>
      <c r="N5" s="2834"/>
      <c r="O5" s="2834"/>
      <c r="P5" s="2834"/>
    </row>
    <row r="6" spans="1:16" ht="15" thickBot="1">
      <c r="A6" s="1779"/>
      <c r="B6" s="3367" t="s">
        <v>1554</v>
      </c>
      <c r="C6" s="3367"/>
      <c r="D6" s="48">
        <f>ROUND($D$3*E6/$E$3,2)</f>
        <v>118122.57</v>
      </c>
      <c r="E6" s="49">
        <f>E3-E5</f>
        <v>243924.88</v>
      </c>
      <c r="F6" s="2834"/>
      <c r="G6" s="2828" t="s">
        <v>1555</v>
      </c>
      <c r="H6" s="1261" t="s">
        <v>1556</v>
      </c>
      <c r="I6" s="2829">
        <f>ROUND(F31/D31,2)</f>
        <v>1.49</v>
      </c>
      <c r="J6" s="2834"/>
      <c r="K6" s="2834"/>
      <c r="L6" s="2834"/>
      <c r="M6" s="2834"/>
      <c r="N6" s="2834"/>
      <c r="O6" s="2834"/>
      <c r="P6" s="2834"/>
    </row>
    <row r="7" spans="1:16" ht="15" thickBot="1">
      <c r="A7" s="3359"/>
      <c r="B7" s="3360"/>
      <c r="C7" s="3361"/>
      <c r="D7" s="1776" t="s">
        <v>1550</v>
      </c>
      <c r="E7" s="1780" t="s">
        <v>1557</v>
      </c>
      <c r="F7" s="2834"/>
      <c r="G7" s="2830" t="s">
        <v>1558</v>
      </c>
      <c r="H7" s="2831"/>
      <c r="I7" s="2832"/>
      <c r="J7" s="2834"/>
      <c r="K7" s="2834"/>
      <c r="L7" s="2834"/>
      <c r="M7" s="2834"/>
      <c r="N7" s="2834"/>
      <c r="O7" s="2834"/>
      <c r="P7" s="2834"/>
    </row>
    <row r="8" spans="1:16" ht="14.4">
      <c r="A8" s="47" t="s">
        <v>1559</v>
      </c>
      <c r="B8" s="50" t="s">
        <v>1560</v>
      </c>
      <c r="C8" s="48" t="s">
        <v>1561</v>
      </c>
      <c r="D8" s="48">
        <f t="shared" ref="D8:D15" si="0">ROUND($D$3*E8/$E$3,2)</f>
        <v>85211.35</v>
      </c>
      <c r="E8" s="51">
        <f>SUMIF('数据-基础表'!BB10:BK10,"地上",'数据-基础表'!BB5:BK5)</f>
        <v>175962.71000000002</v>
      </c>
      <c r="F8" s="2834"/>
      <c r="G8" s="2835"/>
      <c r="H8" s="2835"/>
      <c r="I8" s="2834"/>
      <c r="J8" s="2834"/>
      <c r="K8" s="2834"/>
      <c r="L8" s="2834"/>
      <c r="M8" s="2834"/>
      <c r="N8" s="2834"/>
      <c r="O8" s="2834"/>
      <c r="P8" s="2834"/>
    </row>
    <row r="9" spans="1:16" ht="14.4">
      <c r="A9" s="1781"/>
      <c r="B9" s="1782"/>
      <c r="C9" s="48" t="s">
        <v>1562</v>
      </c>
      <c r="D9" s="48">
        <f t="shared" si="0"/>
        <v>0</v>
      </c>
      <c r="E9" s="52">
        <v>0</v>
      </c>
      <c r="F9" s="2834"/>
      <c r="G9" s="2835"/>
      <c r="H9" s="2835"/>
      <c r="I9" s="2834"/>
      <c r="J9" s="2834"/>
      <c r="K9" s="2834"/>
      <c r="L9" s="2834"/>
      <c r="M9" s="2834"/>
      <c r="N9" s="2834"/>
      <c r="O9" s="2834"/>
      <c r="P9" s="2834"/>
    </row>
    <row r="10" spans="1:16" ht="14.4">
      <c r="A10" s="1781"/>
      <c r="B10" s="1782"/>
      <c r="C10" s="48" t="s">
        <v>1571</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ht="14.4">
      <c r="A11" s="1781"/>
      <c r="B11" s="1782"/>
      <c r="C11" s="48" t="s">
        <v>1563</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ht="14.4">
      <c r="A12" s="1781"/>
      <c r="B12" s="1782"/>
      <c r="C12" s="48" t="s">
        <v>1564</v>
      </c>
      <c r="D12" s="48">
        <f t="shared" si="0"/>
        <v>14420.65</v>
      </c>
      <c r="E12" s="51">
        <f>SUMPRODUCT(('数据-基础表'!BB10:BK10="地下")*('数据-基础表'!BB11:BK11="仓储")*('数据-基础表'!BB5:BK5))</f>
        <v>29778.85</v>
      </c>
      <c r="F12" s="2834"/>
      <c r="G12" s="2835"/>
      <c r="H12" s="2835"/>
      <c r="I12" s="2834"/>
      <c r="J12" s="2834"/>
      <c r="K12" s="2834"/>
      <c r="L12" s="2834"/>
      <c r="M12" s="2834"/>
      <c r="N12" s="2834"/>
      <c r="O12" s="2834"/>
      <c r="P12" s="2834"/>
    </row>
    <row r="13" spans="1:16" ht="14.4">
      <c r="A13" s="1781"/>
      <c r="B13" s="1782"/>
      <c r="C13" s="48" t="s">
        <v>1565</v>
      </c>
      <c r="D13" s="48">
        <f t="shared" si="0"/>
        <v>14652.53</v>
      </c>
      <c r="E13" s="51">
        <f>SUMPRODUCT(('数据-基础表'!BB10:BK10="地下")*('数据-基础表'!BB11:BK11="车库")*('数据-基础表'!BB5:BK5))</f>
        <v>30257.699999999997</v>
      </c>
      <c r="F13" s="2834"/>
      <c r="G13" s="2835"/>
      <c r="H13" s="2835"/>
      <c r="I13" s="2834"/>
      <c r="J13" s="2834"/>
      <c r="K13" s="2834"/>
      <c r="L13" s="2834"/>
      <c r="M13" s="2834"/>
      <c r="N13" s="2834"/>
      <c r="O13" s="2834"/>
      <c r="P13" s="2834"/>
    </row>
    <row r="14" spans="1:16" ht="14.4">
      <c r="A14" s="1781"/>
      <c r="B14" s="1782"/>
      <c r="C14" s="48" t="s">
        <v>1577</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1572</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 thickBot="1">
      <c r="A16" s="1779"/>
      <c r="B16" s="1782"/>
      <c r="C16" s="50" t="s">
        <v>1566</v>
      </c>
      <c r="D16" s="50">
        <f>SUM(D8:D15)</f>
        <v>114284.53</v>
      </c>
      <c r="E16" s="53">
        <f>SUM(E8:E15)</f>
        <v>235999.26</v>
      </c>
      <c r="F16" s="2834"/>
      <c r="G16" s="2835"/>
      <c r="H16" s="1783" t="s">
        <v>1578</v>
      </c>
      <c r="I16" s="1784"/>
      <c r="J16" s="1254"/>
      <c r="K16" s="3356" t="s">
        <v>1578</v>
      </c>
      <c r="L16" s="3357"/>
      <c r="M16" s="3357"/>
      <c r="N16" s="3357"/>
      <c r="O16" s="3357"/>
      <c r="P16" s="3358"/>
    </row>
    <row r="17" spans="1:19" ht="14.4">
      <c r="A17" s="1785" t="s">
        <v>1579</v>
      </c>
      <c r="B17" s="1786" t="s">
        <v>1580</v>
      </c>
      <c r="C17" s="1787" t="s">
        <v>1581</v>
      </c>
      <c r="D17" s="1788" t="s">
        <v>1569</v>
      </c>
      <c r="E17" s="1789" t="s">
        <v>1570</v>
      </c>
      <c r="F17" s="1790"/>
      <c r="G17" s="1791"/>
      <c r="H17" s="1792" t="s">
        <v>1582</v>
      </c>
      <c r="I17" s="1793" t="s">
        <v>1567</v>
      </c>
      <c r="J17" s="1254"/>
      <c r="K17" s="3353" t="s">
        <v>1583</v>
      </c>
      <c r="L17" s="3354"/>
      <c r="M17" s="3355"/>
      <c r="N17" s="3353" t="s">
        <v>1584</v>
      </c>
      <c r="O17" s="3354"/>
      <c r="P17" s="3355"/>
      <c r="R17" s="1775" t="s">
        <v>1585</v>
      </c>
      <c r="S17" s="60"/>
    </row>
    <row r="18" spans="1:19" ht="14.4">
      <c r="A18" s="1781"/>
      <c r="B18" s="1794"/>
      <c r="C18" s="1795"/>
      <c r="D18" s="1796"/>
      <c r="E18" s="1797" t="s">
        <v>1586</v>
      </c>
      <c r="F18" s="1798" t="s">
        <v>1587</v>
      </c>
      <c r="G18" s="1799" t="s">
        <v>1588</v>
      </c>
      <c r="H18" s="1153" t="s">
        <v>1589</v>
      </c>
      <c r="I18" s="1800" t="s">
        <v>1590</v>
      </c>
      <c r="J18" s="1254"/>
      <c r="K18" s="1153" t="s">
        <v>1591</v>
      </c>
      <c r="L18" s="1801" t="s">
        <v>1592</v>
      </c>
      <c r="M18" s="945" t="s">
        <v>1593</v>
      </c>
      <c r="N18" s="1153" t="s">
        <v>1591</v>
      </c>
      <c r="O18" s="1801" t="s">
        <v>1592</v>
      </c>
      <c r="P18" s="945" t="s">
        <v>1593</v>
      </c>
      <c r="R18" s="1138" t="s">
        <v>1594</v>
      </c>
      <c r="S18" s="1138" t="s">
        <v>1595</v>
      </c>
    </row>
    <row r="19" spans="1:19" ht="14.4">
      <c r="A19" s="1802"/>
      <c r="B19" s="50" t="s">
        <v>1568</v>
      </c>
      <c r="C19" s="3242" t="s">
        <v>3253</v>
      </c>
      <c r="D19" s="48">
        <f>ROUND($D$3*E19/$E$3,2)</f>
        <v>85211.35</v>
      </c>
      <c r="E19" s="56">
        <f t="shared" ref="E19:E26" si="1">SUM(F19:G19)</f>
        <v>175962.71000000002</v>
      </c>
      <c r="F19" s="2974">
        <f>'数据-基础表'!I5</f>
        <v>175962.71000000002</v>
      </c>
      <c r="G19" s="2975"/>
      <c r="H19" s="679">
        <f>ROUND($D$3*I19/$E$3,2)</f>
        <v>2861.67</v>
      </c>
      <c r="I19" s="51">
        <f t="shared" ref="I19:I26" si="2">IF($I$17="自定义",P19,M19)</f>
        <v>5909.4</v>
      </c>
      <c r="J19" s="1254"/>
      <c r="K19" s="1253">
        <f t="shared" ref="K19:K26" si="3">ROUND(E$28*E19/E$27,2)</f>
        <v>5909.4</v>
      </c>
      <c r="L19" s="1138">
        <f t="shared" ref="L19:L26" si="4">ROUND(IF(COUNTIF(C19,"*住宅*")&gt;0,E$29*E19/E$32,0),2)</f>
        <v>0</v>
      </c>
      <c r="M19" s="1265">
        <f>K19+L19</f>
        <v>5909.4</v>
      </c>
      <c r="N19" s="1803"/>
      <c r="O19" s="1804"/>
      <c r="P19" s="1265">
        <f>N19+O19</f>
        <v>0</v>
      </c>
      <c r="R19" s="1138">
        <f t="shared" ref="R19:S26" si="5">D19+H19</f>
        <v>88073.02</v>
      </c>
      <c r="S19" s="1139">
        <f t="shared" si="5"/>
        <v>181872.11000000002</v>
      </c>
    </row>
    <row r="20" spans="1:19" ht="14.4">
      <c r="A20" s="1805"/>
      <c r="B20" s="50" t="s">
        <v>1596</v>
      </c>
      <c r="C20" s="3242" t="s">
        <v>3254</v>
      </c>
      <c r="D20" s="48">
        <f t="shared" ref="D20:D26" si="6">ROUND($D$3*E20/$E$3,2)</f>
        <v>14420.65</v>
      </c>
      <c r="E20" s="56">
        <f t="shared" si="1"/>
        <v>29778.85</v>
      </c>
      <c r="F20" s="2974"/>
      <c r="G20" s="2975">
        <f>'数据-基础表'!K5</f>
        <v>29778.85</v>
      </c>
      <c r="H20" s="679">
        <f t="shared" ref="H20:H26" si="7">ROUND($D$3*I20/$E$3,2)</f>
        <v>484.29</v>
      </c>
      <c r="I20" s="51">
        <f t="shared" si="2"/>
        <v>1000.07</v>
      </c>
      <c r="J20" s="1254"/>
      <c r="K20" s="1253">
        <f t="shared" si="3"/>
        <v>1000.07</v>
      </c>
      <c r="L20" s="1138">
        <f t="shared" si="4"/>
        <v>0</v>
      </c>
      <c r="M20" s="1265">
        <f t="shared" ref="M20:M26" si="8">K20+L20</f>
        <v>1000.07</v>
      </c>
      <c r="N20" s="1803"/>
      <c r="O20" s="1804"/>
      <c r="P20" s="1265">
        <f t="shared" ref="P20:P26" si="9">N20+O20</f>
        <v>0</v>
      </c>
      <c r="R20" s="1138">
        <f t="shared" si="5"/>
        <v>14904.94</v>
      </c>
      <c r="S20" s="1139">
        <f t="shared" si="5"/>
        <v>30778.92</v>
      </c>
    </row>
    <row r="21" spans="1:19" ht="14.4">
      <c r="A21" s="1805"/>
      <c r="B21" s="50" t="s">
        <v>1596</v>
      </c>
      <c r="C21" s="3242" t="s">
        <v>3255</v>
      </c>
      <c r="D21" s="48">
        <f t="shared" si="6"/>
        <v>14652.53</v>
      </c>
      <c r="E21" s="56">
        <f t="shared" si="1"/>
        <v>30257.699999999997</v>
      </c>
      <c r="F21" s="2974"/>
      <c r="G21" s="2975">
        <f>'数据-基础表'!M5</f>
        <v>30257.699999999997</v>
      </c>
      <c r="H21" s="679">
        <f t="shared" si="7"/>
        <v>492.08</v>
      </c>
      <c r="I21" s="51">
        <f t="shared" si="2"/>
        <v>1016.15</v>
      </c>
      <c r="J21" s="1254"/>
      <c r="K21" s="1253">
        <f t="shared" si="3"/>
        <v>1016.15</v>
      </c>
      <c r="L21" s="1138">
        <f t="shared" si="4"/>
        <v>0</v>
      </c>
      <c r="M21" s="1265">
        <f t="shared" si="8"/>
        <v>1016.15</v>
      </c>
      <c r="N21" s="1803"/>
      <c r="O21" s="1804"/>
      <c r="P21" s="1265">
        <f t="shared" si="9"/>
        <v>0</v>
      </c>
      <c r="R21" s="1138">
        <f t="shared" si="5"/>
        <v>15144.61</v>
      </c>
      <c r="S21" s="1139">
        <f t="shared" si="5"/>
        <v>31273.85</v>
      </c>
    </row>
    <row r="22" spans="1:19" ht="14.4">
      <c r="A22" s="1805"/>
      <c r="B22" s="50" t="s">
        <v>1596</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ht="14.4">
      <c r="A23" s="1805"/>
      <c r="B23" s="50" t="s">
        <v>1596</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ht="14.4">
      <c r="A24" s="1805"/>
      <c r="B24" s="50" t="s">
        <v>1596</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ht="14.4">
      <c r="A25" s="1805"/>
      <c r="B25" s="50" t="s">
        <v>1596</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ht="14.4">
      <c r="A26" s="1805"/>
      <c r="B26" s="50" t="s">
        <v>1596</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15" thickBot="1">
      <c r="A27" s="1805"/>
      <c r="B27" s="48"/>
      <c r="C27" s="1808" t="s">
        <v>1597</v>
      </c>
      <c r="D27" s="1255">
        <f>SUM(D19:D26)</f>
        <v>114284.53</v>
      </c>
      <c r="E27" s="1256">
        <f>IF(SUM(E19:E26)='数据-基础表'!BA5,SUM(E19:E26),IF(F27="地上面积有误","面积有误","地下面积有误"))</f>
        <v>235999.26</v>
      </c>
      <c r="F27" s="1255">
        <f>IF(SUM(F19:F26)=E8,SUM(F19:F26),"地上面积有误")</f>
        <v>175962.71000000002</v>
      </c>
      <c r="G27" s="1257">
        <f>SUM(G19:G26)</f>
        <v>60036.549999999996</v>
      </c>
      <c r="H27" s="1258">
        <f>SUM(H19:H26)</f>
        <v>3838.04</v>
      </c>
      <c r="I27" s="1259">
        <f>SUM(I19:I26)</f>
        <v>7925.619999999999</v>
      </c>
      <c r="J27" s="1254"/>
      <c r="K27" s="1262">
        <f>SUM(K19:K26)</f>
        <v>7925.619999999999</v>
      </c>
      <c r="L27" s="1263">
        <f>SUM(L19:L26)</f>
        <v>0</v>
      </c>
      <c r="M27" s="1266">
        <f>SUM(M19:M26)</f>
        <v>7925.619999999999</v>
      </c>
      <c r="N27" s="1262">
        <f t="shared" ref="N27:O27" si="10">SUM(N19:N26)</f>
        <v>0</v>
      </c>
      <c r="O27" s="1263">
        <f t="shared" si="10"/>
        <v>0</v>
      </c>
      <c r="P27" s="1264">
        <f>SUM(P19:P26)</f>
        <v>0</v>
      </c>
      <c r="R27" s="1140">
        <f>IF(SUM(R19:R26)=$D$3,SUM(R19:R26),SUM(R19:R26)&amp;"误差"&amp;ROUND(SUM(R19:R26)-$D$3,2))</f>
        <v>118122.57</v>
      </c>
      <c r="S27" s="1138">
        <f>IF(SUM(S19:S26)=$E$3,SUM(S19:S26),SUM(S19:S26)&amp;"误差"&amp;ROUND(SUM(S19:S26)-E3,2))</f>
        <v>243924.88000000003</v>
      </c>
    </row>
    <row r="28" spans="1:19" ht="14.4">
      <c r="A28" s="1805"/>
      <c r="B28" s="50" t="s">
        <v>1598</v>
      </c>
      <c r="C28" s="1150" t="s">
        <v>1599</v>
      </c>
      <c r="D28" s="48">
        <f>ROUND($D$3*E28/$E$3,2)</f>
        <v>3838.04</v>
      </c>
      <c r="E28" s="56">
        <f>SUM(F28:G28)</f>
        <v>7925.619999999999</v>
      </c>
      <c r="F28" s="60">
        <f>'数据-基础表'!BQ5+'数据-基础表'!BS5</f>
        <v>572.02</v>
      </c>
      <c r="G28" s="61">
        <f>'数据-基础表'!BR5+'数据-基础表'!BT5</f>
        <v>7353.5999999999995</v>
      </c>
      <c r="H28" s="2834"/>
      <c r="I28" s="2834"/>
      <c r="J28" s="2834"/>
      <c r="K28" s="2834"/>
      <c r="L28" s="2834"/>
      <c r="M28" s="2834"/>
      <c r="N28" s="2834"/>
      <c r="O28" s="2834"/>
      <c r="P28" s="2834"/>
    </row>
    <row r="29" spans="1:19" ht="14.4">
      <c r="A29" s="1805"/>
      <c r="B29" s="50" t="s">
        <v>1598</v>
      </c>
      <c r="C29" s="1809" t="s">
        <v>1600</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4.4">
      <c r="A30" s="1805"/>
      <c r="B30" s="50"/>
      <c r="C30" s="1810" t="s">
        <v>1597</v>
      </c>
      <c r="D30" s="1255">
        <f>SUM(D28:D29)</f>
        <v>3838.04</v>
      </c>
      <c r="E30" s="1255">
        <f>SUM(E28:E29)</f>
        <v>7925.619999999999</v>
      </c>
      <c r="F30" s="1255">
        <f>SUM(F28:F29)</f>
        <v>572.02</v>
      </c>
      <c r="G30" s="1257">
        <f>SUM(G28:G29)</f>
        <v>7353.5999999999995</v>
      </c>
      <c r="H30" s="2834"/>
      <c r="I30" s="2834"/>
      <c r="J30" s="2834"/>
      <c r="K30" s="2834"/>
      <c r="L30" s="2834"/>
      <c r="M30" s="2834"/>
      <c r="N30" s="2834"/>
      <c r="O30" s="2834"/>
      <c r="P30" s="2834"/>
    </row>
    <row r="31" spans="1:19" ht="15" thickBot="1">
      <c r="A31" s="1811"/>
      <c r="B31" s="1812"/>
      <c r="C31" s="925" t="s">
        <v>1601</v>
      </c>
      <c r="D31" s="685">
        <f>D27+D30</f>
        <v>118122.56999999999</v>
      </c>
      <c r="E31" s="685">
        <f>E27+E30</f>
        <v>243924.88</v>
      </c>
      <c r="F31" s="686">
        <f>F27+F30</f>
        <v>176534.73</v>
      </c>
      <c r="G31" s="687">
        <f>G27+G30</f>
        <v>67390.149999999994</v>
      </c>
      <c r="H31" s="2834"/>
      <c r="I31" s="2834"/>
      <c r="J31" s="2834"/>
      <c r="K31" s="2834"/>
      <c r="L31" s="2834"/>
      <c r="M31" s="2834"/>
      <c r="N31" s="2834"/>
      <c r="O31" s="2834"/>
      <c r="P31" s="2834"/>
    </row>
    <row r="32" spans="1:19" ht="14.4">
      <c r="A32" s="1778"/>
      <c r="B32" s="1778" t="s">
        <v>1602</v>
      </c>
      <c r="C32" s="1778"/>
      <c r="D32" s="1778"/>
      <c r="E32" s="1165">
        <f>SUMIF(C19:C26,"*住宅*",E19:E26)</f>
        <v>0</v>
      </c>
      <c r="F32" s="1778"/>
      <c r="G32" s="1778"/>
      <c r="H32" s="2834"/>
      <c r="I32" s="2834"/>
      <c r="J32" s="2834"/>
      <c r="K32" s="2834"/>
      <c r="L32" s="2834"/>
      <c r="M32" s="2834"/>
      <c r="N32" s="2834"/>
      <c r="O32" s="2834"/>
      <c r="P32" s="2834"/>
    </row>
    <row r="33" spans="4:7">
      <c r="D33" s="1813"/>
    </row>
    <row r="34" spans="4:7">
      <c r="E34" s="1773">
        <f>E35*10000/E31</f>
        <v>6461.7313945178548</v>
      </c>
      <c r="F34" s="1773">
        <v>8000</v>
      </c>
      <c r="G34" s="1773">
        <v>2500</v>
      </c>
    </row>
    <row r="35" spans="4:7">
      <c r="E35" s="1773">
        <f>F35+G35</f>
        <v>157617.70550000004</v>
      </c>
      <c r="F35" s="1773">
        <f>F34*F27/10000</f>
        <v>140770.16800000003</v>
      </c>
      <c r="G35" s="1773">
        <f>G34*G31/10000</f>
        <v>16847.537499999999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1880" customWidth="1"/>
    <col min="2" max="2" width="12" style="1817" customWidth="1"/>
    <col min="3" max="3" width="12.77734375" style="1817" customWidth="1"/>
    <col min="4" max="4" width="9.109375" style="1881" customWidth="1"/>
    <col min="5" max="5" width="15" style="1817" bestFit="1" customWidth="1"/>
    <col min="6" max="10" width="8.88671875" style="1817" customWidth="1"/>
    <col min="11" max="12" width="12.33203125" style="1736" customWidth="1"/>
    <col min="13" max="13" width="8.6640625" style="1817" customWidth="1"/>
    <col min="14" max="14" width="11.88671875" style="1817" customWidth="1"/>
    <col min="15" max="15" width="8.44140625" style="1817" customWidth="1"/>
    <col min="16" max="17" width="10.88671875" style="1817" customWidth="1"/>
    <col min="18" max="19" width="12.44140625" style="1817" customWidth="1"/>
    <col min="20" max="20" width="12.109375" style="1817" customWidth="1"/>
    <col min="21" max="21" width="7.44140625" style="1817" customWidth="1"/>
    <col min="22" max="22" width="6.33203125" style="1817" customWidth="1"/>
    <col min="23" max="30" width="6.77734375" style="1817" customWidth="1"/>
    <col min="31" max="31" width="8" style="1817" customWidth="1"/>
    <col min="32" max="34" width="7.21875" style="1817" customWidth="1"/>
    <col min="35" max="39" width="8" style="1817" customWidth="1"/>
    <col min="40" max="40" width="13.77734375" style="1816"/>
    <col min="41" max="41" width="11.6640625" style="1816" customWidth="1"/>
    <col min="42" max="42" width="9.77734375" style="1816" customWidth="1"/>
    <col min="43" max="67" width="13.77734375" style="1816"/>
    <col min="68" max="16384" width="13.77734375" style="1817"/>
  </cols>
  <sheetData>
    <row r="1" spans="1:67" ht="18" thickBot="1">
      <c r="A1" s="1814" t="s">
        <v>1603</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 thickBot="1">
      <c r="A2" s="1818" t="s">
        <v>1604</v>
      </c>
      <c r="B2" s="1157">
        <f>项目基本情况!D3</f>
        <v>44769</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4.4"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1605</v>
      </c>
      <c r="B4" s="1823"/>
      <c r="C4" s="1824"/>
      <c r="D4" s="1825"/>
      <c r="E4" s="1824" t="s">
        <v>1606</v>
      </c>
      <c r="F4" s="1824"/>
      <c r="G4" s="1824"/>
      <c r="H4" s="1824"/>
      <c r="I4" s="1824"/>
      <c r="J4" s="1826"/>
      <c r="K4" s="1827"/>
      <c r="L4" s="1828"/>
      <c r="M4" s="1824"/>
      <c r="N4" s="1824" t="s">
        <v>1607</v>
      </c>
      <c r="O4" s="1824"/>
      <c r="P4" s="1824"/>
      <c r="Q4" s="1824"/>
      <c r="R4" s="1824"/>
      <c r="S4" s="1826"/>
      <c r="T4" s="2833" t="str">
        <f>'数据-汇总表'!I17</f>
        <v>按面积比例</v>
      </c>
      <c r="U4" s="1823" t="s">
        <v>1608</v>
      </c>
      <c r="V4" s="1824"/>
      <c r="W4" s="1824"/>
      <c r="X4" s="1824"/>
      <c r="Y4" s="1826"/>
      <c r="Z4" s="1787" t="s">
        <v>1609</v>
      </c>
      <c r="AA4" s="1787"/>
      <c r="AB4" s="1787"/>
      <c r="AC4" s="1787"/>
      <c r="AD4" s="1787"/>
      <c r="AE4" s="1785" t="s">
        <v>1610</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57.6">
      <c r="A5" s="1830" t="s">
        <v>1611</v>
      </c>
      <c r="B5" s="1831" t="s">
        <v>1612</v>
      </c>
      <c r="C5" s="1832" t="s">
        <v>1613</v>
      </c>
      <c r="D5" s="1833" t="s">
        <v>1614</v>
      </c>
      <c r="E5" s="1159" t="s">
        <v>1615</v>
      </c>
      <c r="F5" s="1834" t="s">
        <v>1616</v>
      </c>
      <c r="G5" s="1159" t="s">
        <v>1617</v>
      </c>
      <c r="H5" s="1159" t="s">
        <v>1618</v>
      </c>
      <c r="I5" s="1159" t="s">
        <v>1619</v>
      </c>
      <c r="J5" s="1835" t="s">
        <v>1620</v>
      </c>
      <c r="K5" s="1836" t="s">
        <v>1621</v>
      </c>
      <c r="L5" s="1837" t="s">
        <v>1622</v>
      </c>
      <c r="M5" s="1838" t="s">
        <v>1623</v>
      </c>
      <c r="N5" s="1839" t="s">
        <v>3485</v>
      </c>
      <c r="O5" s="1837" t="s">
        <v>1624</v>
      </c>
      <c r="P5" s="1840" t="s">
        <v>1625</v>
      </c>
      <c r="Q5" s="65" t="s">
        <v>1626</v>
      </c>
      <c r="R5" s="1841" t="s">
        <v>1627</v>
      </c>
      <c r="S5" s="1842" t="s">
        <v>1628</v>
      </c>
      <c r="T5" s="1843" t="s">
        <v>1629</v>
      </c>
      <c r="U5" s="1158" t="s">
        <v>1630</v>
      </c>
      <c r="V5" s="1159" t="s">
        <v>1631</v>
      </c>
      <c r="W5" s="1159" t="s">
        <v>1632</v>
      </c>
      <c r="X5" s="67"/>
      <c r="Y5" s="66" t="s">
        <v>1633</v>
      </c>
      <c r="Z5" s="1844" t="s">
        <v>1630</v>
      </c>
      <c r="AA5" s="1159" t="s">
        <v>1631</v>
      </c>
      <c r="AB5" s="1159" t="s">
        <v>1632</v>
      </c>
      <c r="AC5" s="67"/>
      <c r="AD5" s="67" t="s">
        <v>1633</v>
      </c>
      <c r="AE5" s="1158" t="s">
        <v>1634</v>
      </c>
      <c r="AF5" s="1159" t="s">
        <v>1635</v>
      </c>
      <c r="AG5" s="66" t="s">
        <v>1636</v>
      </c>
      <c r="AH5" s="1158" t="s">
        <v>1637</v>
      </c>
      <c r="AI5" s="1844" t="s">
        <v>1638</v>
      </c>
      <c r="AJ5" s="1844" t="s">
        <v>1639</v>
      </c>
      <c r="AK5" s="1159" t="s">
        <v>1640</v>
      </c>
      <c r="AL5" s="1159" t="s">
        <v>1641</v>
      </c>
      <c r="AM5" s="66" t="s">
        <v>1642</v>
      </c>
      <c r="AN5" s="1845" t="s">
        <v>1643</v>
      </c>
      <c r="AO5" s="1697" t="s">
        <v>1644</v>
      </c>
      <c r="AP5" s="1140" t="s">
        <v>1645</v>
      </c>
      <c r="AQ5" s="1846" t="s">
        <v>1646</v>
      </c>
      <c r="AR5" s="1846"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3.8">
      <c r="A6" s="1847" t="str">
        <f>'数据-汇总表'!C19</f>
        <v>厂房</v>
      </c>
      <c r="B6" s="1848" t="str">
        <f>IF(A6=0,"","经营性")</f>
        <v>经营性</v>
      </c>
      <c r="C6" s="1849" t="s">
        <v>6</v>
      </c>
      <c r="D6" s="948">
        <f>SUMIF(项目基本情况!D$12:I$12,C6,项目基本情况!D$14:I$14)</f>
        <v>50</v>
      </c>
      <c r="E6" s="947">
        <f>IF(B6="","",SUMIF(项目基本情况!D$12:I$12,C6,项目基本情况!D$13:I$13))</f>
        <v>59926</v>
      </c>
      <c r="F6" s="68">
        <f>SUMIF(项目基本情况!D$12:I$12,C6,项目基本情况!D$15:I$15)</f>
        <v>41.52</v>
      </c>
      <c r="G6" s="69">
        <f>IF(ISERROR(ROUND(POWER(1+H6,D6-F6)*(POWER(1+H6,F6)-1)/(POWER(1+H6,D6)-1),3)),0,ROUND(POWER(1+H6,D6-F6)*(POWER(1+H6,F6)-1)/(POWER(1+H6,D6)-1),3))</f>
        <v>0.94399999999999995</v>
      </c>
      <c r="H6" s="741">
        <v>4.4999999999999998E-2</v>
      </c>
      <c r="I6" s="741">
        <v>0.05</v>
      </c>
      <c r="J6" s="70">
        <v>0.08</v>
      </c>
      <c r="K6" s="1142">
        <f>SUMIF('数据-汇总表'!C$19:C$33,A6,'数据-汇总表'!E$19:E$33)</f>
        <v>175962.71000000002</v>
      </c>
      <c r="L6" s="742">
        <v>3500</v>
      </c>
      <c r="M6" s="71">
        <f t="shared" ref="M6:M14" si="0">ROUND(K6*L6/10000,0)</f>
        <v>61587</v>
      </c>
      <c r="N6" s="740">
        <v>0.97</v>
      </c>
      <c r="O6" s="71" t="str">
        <f>IF($N$5="成新度","——",ROUND(M6*N6,0))</f>
        <v>——</v>
      </c>
      <c r="P6" s="72" t="str">
        <f>IF($N$5="成新度","——",M6-O6)</f>
        <v>——</v>
      </c>
      <c r="Q6" s="743">
        <v>0.15</v>
      </c>
      <c r="R6" s="73">
        <f ca="1">SUMIF('数据-汇总表'!C$19:C$33,A6,'数据-汇总表'!R$19:R$27)</f>
        <v>88073.02</v>
      </c>
      <c r="S6" s="54">
        <f>IF('数据-汇总表'!$I$17="按面积比例",SUMIF('数据-汇总表'!C$19:C$33,A6,'数据-汇总表'!K$19:K$33),SUMIF('数据-汇总表'!C$19:C$33,A6,'数据-汇总表'!N$19:N$33))</f>
        <v>5909.4</v>
      </c>
      <c r="T6" s="1287">
        <f>ROUND($L$14*S6/10000,0)</f>
        <v>2068</v>
      </c>
      <c r="U6" s="74">
        <v>1.4</v>
      </c>
      <c r="V6" s="3252">
        <v>0.02</v>
      </c>
      <c r="W6" s="75">
        <v>0.1</v>
      </c>
      <c r="X6" s="1152"/>
      <c r="Y6" s="76">
        <f>N6</f>
        <v>0.97</v>
      </c>
      <c r="Z6" s="77"/>
      <c r="AA6" s="70"/>
      <c r="AB6" s="70"/>
      <c r="AC6" s="1152"/>
      <c r="AD6" s="78"/>
      <c r="AE6" s="1153">
        <f ca="1">IF(AN6="",0,SUMIF(INDIRECT("'"&amp;AN6&amp;"'"&amp;"!E:E"),$AE$5,INDIRECT("'"&amp;AN6&amp;"'"&amp;"!F:F")))</f>
        <v>41.52</v>
      </c>
      <c r="AF6" s="1482"/>
      <c r="AG6" s="143">
        <f>IF(AF6="",0,AE6-AF6)</f>
        <v>0</v>
      </c>
      <c r="AH6" s="79"/>
      <c r="AI6" s="81">
        <v>365</v>
      </c>
      <c r="AJ6" s="82"/>
      <c r="AK6" s="3275">
        <v>0.01</v>
      </c>
      <c r="AL6" s="84">
        <v>1E-3</v>
      </c>
      <c r="AM6" s="85">
        <v>1.4999999999999999E-2</v>
      </c>
      <c r="AN6" s="1850" t="s">
        <v>3486</v>
      </c>
      <c r="AO6" s="55">
        <f ca="1">SUMIF(INDIRECT("'"&amp;AN6&amp;"'"&amp;"!A:A"),"总价",INDIRECT("'"&amp;AN6&amp;"'"&amp;"!B:B"))</f>
        <v>131274</v>
      </c>
      <c r="AP6" s="1851">
        <f>IF(C6="住宅",K6*L6,0)</f>
        <v>0</v>
      </c>
      <c r="AQ6" s="55">
        <f>ROUND($L$14*$N$14*S6/10000,0)</f>
        <v>2006</v>
      </c>
      <c r="AR6" s="55">
        <f>ROUND($L$14*(1-$N$14)*S6/10000,0)</f>
        <v>62</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3.8">
      <c r="A7" s="1847" t="str">
        <f>'数据-汇总表'!C20</f>
        <v>地下厂房</v>
      </c>
      <c r="B7" s="1848" t="str">
        <f t="shared" ref="B7:B13" si="1">IF(A7=0,"","经营性")</f>
        <v>经营性</v>
      </c>
      <c r="C7" s="1849" t="s">
        <v>6</v>
      </c>
      <c r="D7" s="948">
        <f>SUMIF(项目基本情况!D$12:I$12,C7,项目基本情况!D$14:I$14)</f>
        <v>50</v>
      </c>
      <c r="E7" s="947">
        <f>IF(B7="","",SUMIF(项目基本情况!D$12:I$12,C7,项目基本情况!D$13:I$13))</f>
        <v>59926</v>
      </c>
      <c r="F7" s="68">
        <f>SUMIF(项目基本情况!D$12:I$12,C7,项目基本情况!D$15:I$15)</f>
        <v>41.52</v>
      </c>
      <c r="G7" s="69">
        <f t="shared" ref="G7:G11" si="2">IF(ISERROR(ROUND(POWER(1+H7,D7-F7)*(POWER(1+H7,F7)-1)/(POWER(1+H7,D7)-1),3)),0,ROUND(POWER(1+H7,D7-F7)*(POWER(1+H7,F7)-1)/(POWER(1+H7,D7)-1),3))</f>
        <v>0.94399999999999995</v>
      </c>
      <c r="H7" s="741">
        <v>4.4999999999999998E-2</v>
      </c>
      <c r="I7" s="741">
        <f t="shared" ref="I7" si="3">H7+0.005</f>
        <v>4.9999999999999996E-2</v>
      </c>
      <c r="J7" s="70">
        <v>0.08</v>
      </c>
      <c r="K7" s="1142">
        <f>SUMIF('数据-汇总表'!C$19:C$33,A7,'数据-汇总表'!E$19:E$33)</f>
        <v>29778.85</v>
      </c>
      <c r="L7" s="742">
        <f>L6</f>
        <v>3500</v>
      </c>
      <c r="M7" s="71">
        <f t="shared" si="0"/>
        <v>10423</v>
      </c>
      <c r="N7" s="740">
        <f>N6</f>
        <v>0.97</v>
      </c>
      <c r="O7" s="71" t="str">
        <f t="shared" ref="O7:O14" si="4">IF($N$5="成新度","——",ROUND(M7*N7,0))</f>
        <v>——</v>
      </c>
      <c r="P7" s="72" t="str">
        <f t="shared" ref="P7:P14" si="5">IF($N$5="成新度","——",M7-O7)</f>
        <v>——</v>
      </c>
      <c r="Q7" s="743">
        <v>0.08</v>
      </c>
      <c r="R7" s="73">
        <f ca="1">SUMIF('数据-汇总表'!C$19:C$33,A7,'数据-汇总表'!R$19:R$27)</f>
        <v>14904.94</v>
      </c>
      <c r="S7" s="54">
        <f>IF('数据-汇总表'!$I$17="按面积比例",SUMIF('数据-汇总表'!C$19:C$33,A7,'数据-汇总表'!K$19:K$33),SUMIF('数据-汇总表'!C$19:C$33,A7,'数据-汇总表'!N$19:N$33))</f>
        <v>1000.07</v>
      </c>
      <c r="T7" s="1287">
        <f t="shared" ref="T7:T13" si="6">ROUND($L$14*S7/10000,0)</f>
        <v>350</v>
      </c>
      <c r="U7" s="74">
        <v>0.8</v>
      </c>
      <c r="V7" s="75">
        <v>0.02</v>
      </c>
      <c r="W7" s="75">
        <v>0.1</v>
      </c>
      <c r="X7" s="1152"/>
      <c r="Y7" s="76">
        <f>Y6</f>
        <v>0.97</v>
      </c>
      <c r="Z7" s="77"/>
      <c r="AA7" s="70"/>
      <c r="AB7" s="70"/>
      <c r="AC7" s="1152"/>
      <c r="AD7" s="78"/>
      <c r="AE7" s="1153">
        <f t="shared" ref="AE7:AE13" ca="1" si="7">IF(AN7="",0,SUMIF(INDIRECT("'"&amp;AN7&amp;"'"&amp;"!E:E"),$AE$5,INDIRECT("'"&amp;AN7&amp;"'"&amp;"!F:F")))</f>
        <v>41.52</v>
      </c>
      <c r="AF7" s="1482"/>
      <c r="AG7" s="143">
        <f t="shared" ref="AG7:AG13" si="8">IF(AF7="",0,AE7-AF7)</f>
        <v>0</v>
      </c>
      <c r="AH7" s="79"/>
      <c r="AI7" s="81">
        <v>365</v>
      </c>
      <c r="AJ7" s="82"/>
      <c r="AK7" s="83">
        <v>5.0000000000000001E-3</v>
      </c>
      <c r="AL7" s="84">
        <v>1E-3</v>
      </c>
      <c r="AM7" s="85">
        <f>AM6</f>
        <v>1.4999999999999999E-2</v>
      </c>
      <c r="AN7" s="1850" t="s">
        <v>3488</v>
      </c>
      <c r="AO7" s="55">
        <f t="shared" ref="AO7:AO13" ca="1" si="9">SUMIF(INDIRECT("'"&amp;AN7&amp;"'"&amp;"!A:A"),"总价",INDIRECT("'"&amp;AN7&amp;"'"&amp;"!B:B"))</f>
        <v>12901</v>
      </c>
      <c r="AP7" s="1851">
        <f t="shared" ref="AP7:AP13" si="10">IF(C7="住宅",K7*L7,0)</f>
        <v>0</v>
      </c>
      <c r="AQ7" s="55">
        <f t="shared" ref="AQ7:AQ13" si="11">ROUND($L$14*$N$14*S7/10000,0)</f>
        <v>340</v>
      </c>
      <c r="AR7" s="55">
        <f t="shared" ref="AR7:AR13" si="12">ROUND($L$14*(1-$N$14)*S7/10000,0)</f>
        <v>11</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3.8">
      <c r="A8" s="1847" t="str">
        <f>'数据-汇总表'!C21</f>
        <v>地下车库</v>
      </c>
      <c r="B8" s="1848" t="str">
        <f t="shared" si="1"/>
        <v>经营性</v>
      </c>
      <c r="C8" s="1849" t="s">
        <v>3246</v>
      </c>
      <c r="D8" s="948">
        <f>SUMIF(项目基本情况!D$12:I$12,C8,项目基本情况!D$14:I$14)</f>
        <v>50</v>
      </c>
      <c r="E8" s="947">
        <f>IF(B8="","",SUMIF(项目基本情况!D$12:I$12,C8,项目基本情况!D$13:I$13))</f>
        <v>59926</v>
      </c>
      <c r="F8" s="68">
        <f>SUMIF(项目基本情况!D$12:I$12,C8,项目基本情况!D$15:I$15)</f>
        <v>41.52</v>
      </c>
      <c r="G8" s="69">
        <f t="shared" si="2"/>
        <v>0.94399999999999995</v>
      </c>
      <c r="H8" s="741">
        <v>4.4999999999999998E-2</v>
      </c>
      <c r="I8" s="741">
        <v>0.05</v>
      </c>
      <c r="J8" s="70">
        <v>0.08</v>
      </c>
      <c r="K8" s="1142">
        <f>SUMIF('数据-汇总表'!C$19:C$33,A8,'数据-汇总表'!E$19:E$33)</f>
        <v>30257.699999999997</v>
      </c>
      <c r="L8" s="742">
        <f>L6</f>
        <v>3500</v>
      </c>
      <c r="M8" s="71">
        <f>ROUND(K8*L8/10000,0)</f>
        <v>10590</v>
      </c>
      <c r="N8" s="740">
        <f>N6</f>
        <v>0.97</v>
      </c>
      <c r="O8" s="71" t="str">
        <f t="shared" si="4"/>
        <v>——</v>
      </c>
      <c r="P8" s="72" t="str">
        <f t="shared" si="5"/>
        <v>——</v>
      </c>
      <c r="Q8" s="743">
        <v>0.03</v>
      </c>
      <c r="R8" s="73">
        <f ca="1">SUMIF('数据-汇总表'!C$19:C$33,A8,'数据-汇总表'!R$19:R$27)</f>
        <v>15144.61</v>
      </c>
      <c r="S8" s="54">
        <f>IF('数据-汇总表'!$I$17="按面积比例",SUMIF('数据-汇总表'!C$19:C$33,A8,'数据-汇总表'!K$19:K$33),SUMIF('数据-汇总表'!C$19:C$33,A8,'数据-汇总表'!N$19:N$33))</f>
        <v>1016.15</v>
      </c>
      <c r="T8" s="1287">
        <f t="shared" si="6"/>
        <v>356</v>
      </c>
      <c r="U8" s="744">
        <v>0.5</v>
      </c>
      <c r="V8" s="745">
        <v>0.02</v>
      </c>
      <c r="W8" s="745">
        <v>0.1</v>
      </c>
      <c r="X8" s="1152"/>
      <c r="Y8" s="746">
        <f>Y6</f>
        <v>0.97</v>
      </c>
      <c r="Z8" s="77"/>
      <c r="AA8" s="70"/>
      <c r="AB8" s="70"/>
      <c r="AC8" s="1152"/>
      <c r="AD8" s="78"/>
      <c r="AE8" s="1153">
        <f t="shared" ca="1" si="7"/>
        <v>41.52</v>
      </c>
      <c r="AF8" s="1482"/>
      <c r="AG8" s="143">
        <f t="shared" si="8"/>
        <v>0</v>
      </c>
      <c r="AH8" s="747"/>
      <c r="AI8" s="81">
        <v>365</v>
      </c>
      <c r="AJ8" s="82"/>
      <c r="AK8" s="748">
        <v>5.0000000000000001E-3</v>
      </c>
      <c r="AL8" s="749">
        <v>1E-3</v>
      </c>
      <c r="AM8" s="750">
        <f>AM6</f>
        <v>1.4999999999999999E-2</v>
      </c>
      <c r="AN8" s="1850" t="s">
        <v>3490</v>
      </c>
      <c r="AO8" s="55">
        <f t="shared" ca="1" si="9"/>
        <v>7489</v>
      </c>
      <c r="AP8" s="1851">
        <f t="shared" si="10"/>
        <v>0</v>
      </c>
      <c r="AQ8" s="55">
        <f t="shared" si="11"/>
        <v>345</v>
      </c>
      <c r="AR8" s="55">
        <f t="shared" si="12"/>
        <v>11</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3.8">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287">
        <f t="shared" si="6"/>
        <v>0</v>
      </c>
      <c r="U9" s="74"/>
      <c r="V9" s="75"/>
      <c r="W9" s="75"/>
      <c r="X9" s="1152"/>
      <c r="Y9" s="76"/>
      <c r="Z9" s="77"/>
      <c r="AA9" s="70"/>
      <c r="AB9" s="70"/>
      <c r="AC9" s="1152"/>
      <c r="AD9" s="78"/>
      <c r="AE9" s="1153">
        <f t="shared" ca="1" si="7"/>
        <v>0</v>
      </c>
      <c r="AF9" s="1482"/>
      <c r="AG9" s="143">
        <f t="shared" si="8"/>
        <v>0</v>
      </c>
      <c r="AH9" s="79"/>
      <c r="AI9" s="81"/>
      <c r="AJ9" s="82"/>
      <c r="AK9" s="83"/>
      <c r="AL9" s="84"/>
      <c r="AM9" s="85"/>
      <c r="AN9" s="1850"/>
      <c r="AO9" s="55" t="e">
        <f t="shared" ca="1" si="9"/>
        <v>#REF!</v>
      </c>
      <c r="AP9" s="1851">
        <f t="shared" si="10"/>
        <v>0</v>
      </c>
      <c r="AQ9" s="55">
        <f t="shared" si="11"/>
        <v>0</v>
      </c>
      <c r="AR9" s="55">
        <f t="shared" si="12"/>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3.8">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287">
        <f t="shared" si="6"/>
        <v>0</v>
      </c>
      <c r="U10" s="74"/>
      <c r="V10" s="75"/>
      <c r="W10" s="75"/>
      <c r="X10" s="1152"/>
      <c r="Y10" s="76"/>
      <c r="Z10" s="77"/>
      <c r="AA10" s="70"/>
      <c r="AB10" s="70"/>
      <c r="AC10" s="1152"/>
      <c r="AD10" s="78"/>
      <c r="AE10" s="1153">
        <f t="shared" ca="1" si="7"/>
        <v>0</v>
      </c>
      <c r="AF10" s="1482"/>
      <c r="AG10" s="143">
        <f t="shared" si="8"/>
        <v>0</v>
      </c>
      <c r="AH10" s="79"/>
      <c r="AI10" s="81"/>
      <c r="AJ10" s="82"/>
      <c r="AK10" s="83"/>
      <c r="AL10" s="84"/>
      <c r="AM10" s="85"/>
      <c r="AN10" s="1850"/>
      <c r="AO10" s="55" t="e">
        <f t="shared" ca="1" si="9"/>
        <v>#REF!</v>
      </c>
      <c r="AP10" s="1851">
        <f t="shared" si="10"/>
        <v>0</v>
      </c>
      <c r="AQ10" s="55">
        <f t="shared" si="11"/>
        <v>0</v>
      </c>
      <c r="AR10" s="55">
        <f t="shared" si="12"/>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3.8">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287">
        <f t="shared" si="6"/>
        <v>0</v>
      </c>
      <c r="U11" s="79"/>
      <c r="V11" s="70"/>
      <c r="W11" s="70"/>
      <c r="X11" s="1152"/>
      <c r="Y11" s="76"/>
      <c r="Z11" s="89"/>
      <c r="AA11" s="70"/>
      <c r="AB11" s="70"/>
      <c r="AC11" s="1152"/>
      <c r="AD11" s="78"/>
      <c r="AE11" s="1153">
        <f t="shared" ca="1" si="7"/>
        <v>0</v>
      </c>
      <c r="AF11" s="1482"/>
      <c r="AG11" s="143">
        <f t="shared" si="8"/>
        <v>0</v>
      </c>
      <c r="AH11" s="79"/>
      <c r="AI11" s="81"/>
      <c r="AJ11" s="82"/>
      <c r="AK11" s="90"/>
      <c r="AL11" s="91"/>
      <c r="AM11" s="92"/>
      <c r="AN11" s="1850"/>
      <c r="AO11" s="55" t="e">
        <f t="shared" ca="1" si="9"/>
        <v>#REF!</v>
      </c>
      <c r="AP11" s="1851">
        <f t="shared" si="10"/>
        <v>0</v>
      </c>
      <c r="AQ11" s="55">
        <f t="shared" si="11"/>
        <v>0</v>
      </c>
      <c r="AR11" s="55">
        <f t="shared" si="12"/>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3.8">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287">
        <f t="shared" si="6"/>
        <v>0</v>
      </c>
      <c r="U12" s="79"/>
      <c r="V12" s="70"/>
      <c r="W12" s="70"/>
      <c r="X12" s="1152"/>
      <c r="Y12" s="76"/>
      <c r="Z12" s="89"/>
      <c r="AA12" s="70"/>
      <c r="AB12" s="70"/>
      <c r="AC12" s="1152"/>
      <c r="AD12" s="78"/>
      <c r="AE12" s="1153">
        <f t="shared" ca="1" si="7"/>
        <v>0</v>
      </c>
      <c r="AF12" s="1482"/>
      <c r="AG12" s="143">
        <f t="shared" si="8"/>
        <v>0</v>
      </c>
      <c r="AH12" s="79"/>
      <c r="AI12" s="81"/>
      <c r="AJ12" s="82"/>
      <c r="AK12" s="90"/>
      <c r="AL12" s="91"/>
      <c r="AM12" s="92"/>
      <c r="AN12" s="1850"/>
      <c r="AO12" s="55" t="e">
        <f t="shared" ca="1" si="9"/>
        <v>#REF!</v>
      </c>
      <c r="AP12" s="1851">
        <f t="shared" si="10"/>
        <v>0</v>
      </c>
      <c r="AQ12" s="55">
        <f t="shared" si="11"/>
        <v>0</v>
      </c>
      <c r="AR12" s="55">
        <f t="shared" si="12"/>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3.8">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287">
        <f t="shared" si="6"/>
        <v>0</v>
      </c>
      <c r="U13" s="74"/>
      <c r="V13" s="75"/>
      <c r="W13" s="75"/>
      <c r="X13" s="1152"/>
      <c r="Y13" s="76"/>
      <c r="Z13" s="77"/>
      <c r="AA13" s="70"/>
      <c r="AB13" s="70"/>
      <c r="AC13" s="1152"/>
      <c r="AD13" s="78"/>
      <c r="AE13" s="1153">
        <f t="shared" ca="1" si="7"/>
        <v>0</v>
      </c>
      <c r="AF13" s="1482"/>
      <c r="AG13" s="143">
        <f t="shared" si="8"/>
        <v>0</v>
      </c>
      <c r="AH13" s="79"/>
      <c r="AI13" s="81"/>
      <c r="AJ13" s="82"/>
      <c r="AK13" s="83"/>
      <c r="AL13" s="84"/>
      <c r="AM13" s="85"/>
      <c r="AN13" s="1850"/>
      <c r="AO13" s="55" t="e">
        <f t="shared" ca="1" si="9"/>
        <v>#REF!</v>
      </c>
      <c r="AP13" s="1851">
        <f t="shared" si="10"/>
        <v>0</v>
      </c>
      <c r="AQ13" s="55">
        <f t="shared" si="11"/>
        <v>0</v>
      </c>
      <c r="AR13" s="55">
        <f t="shared" si="12"/>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4">
      <c r="A14" s="1852" t="s">
        <v>1648</v>
      </c>
      <c r="B14" s="1848" t="s">
        <v>1649</v>
      </c>
      <c r="C14" s="1853" t="s">
        <v>1648</v>
      </c>
      <c r="D14" s="948"/>
      <c r="E14" s="947"/>
      <c r="F14" s="68"/>
      <c r="G14" s="69"/>
      <c r="H14" s="1141"/>
      <c r="I14" s="1141"/>
      <c r="J14" s="1141"/>
      <c r="K14" s="1142">
        <f>SUMIF('数据-汇总表'!C$19:C$33,A14,'数据-汇总表'!E$19:E$33)</f>
        <v>7925.619999999999</v>
      </c>
      <c r="L14" s="87">
        <f>L6</f>
        <v>3500</v>
      </c>
      <c r="M14" s="71">
        <f t="shared" si="0"/>
        <v>2774</v>
      </c>
      <c r="N14" s="88">
        <f>N6</f>
        <v>0.97</v>
      </c>
      <c r="O14" s="71" t="str">
        <f t="shared" si="4"/>
        <v>——</v>
      </c>
      <c r="P14" s="72" t="str">
        <f t="shared" si="5"/>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8.8">
      <c r="A15" s="1852" t="s">
        <v>1650</v>
      </c>
      <c r="B15" s="1848" t="s">
        <v>1649</v>
      </c>
      <c r="C15" s="1853"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 thickBot="1">
      <c r="A16" s="1854" t="s">
        <v>1652</v>
      </c>
      <c r="B16" s="93"/>
      <c r="C16" s="923"/>
      <c r="D16" s="1855"/>
      <c r="E16" s="93"/>
      <c r="F16" s="93"/>
      <c r="G16" s="94">
        <f>ROUND(SUMPRODUCT(G6:G13,K6:K13)/SUMPRODUCT((G6:G13&gt;0)*(K6:K13)),3)</f>
        <v>0.94399999999999995</v>
      </c>
      <c r="H16" s="95">
        <f>ROUND(SUMPRODUCT(H6:H13,K6:K13)/SUMPRODUCT((H6:H13&gt;0)*(K6:K13)),3)</f>
        <v>4.4999999999999998E-2</v>
      </c>
      <c r="I16" s="96"/>
      <c r="J16" s="96"/>
      <c r="K16" s="97">
        <f>SUM(K6:K15)</f>
        <v>243924.88</v>
      </c>
      <c r="L16" s="98">
        <f>ROUND(M16*10000/SUM(K6:K14),0)</f>
        <v>3500</v>
      </c>
      <c r="M16" s="98">
        <f>SUM(M6:M14)</f>
        <v>85374</v>
      </c>
      <c r="N16" s="99">
        <f>ROUND(SUMPRODUCT(M6:M14,N6:N14)/M16,3)</f>
        <v>0.97</v>
      </c>
      <c r="O16" s="98">
        <f>SUM(O6:O14)</f>
        <v>0</v>
      </c>
      <c r="P16" s="98">
        <f>SUM(P6:P14)</f>
        <v>0</v>
      </c>
      <c r="Q16" s="100">
        <f>ROUND(SUMPRODUCT(Q6:Q13,K6:K13)/SUMPRODUCT((Q6:Q13&gt;0)*(K6:K13)),2)</f>
        <v>0.13</v>
      </c>
      <c r="R16" s="1146">
        <f ca="1">SUM(R6:R13)</f>
        <v>118122.57</v>
      </c>
      <c r="S16" s="101">
        <f>SUM(S6:S13)</f>
        <v>7925.619999999999</v>
      </c>
      <c r="T16" s="102">
        <f>IF(SUMIF(T6:T13,"&lt;9E307")=M14,SUMIF(T6:T13,"&lt;9E307"),"有误，请检查")</f>
        <v>2774</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8"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1653</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4">
      <c r="A19" s="1857" t="s">
        <v>1654</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f>U6*K6+U7*K7+U8*K8</f>
        <v>285299.72399999999</v>
      </c>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4">
      <c r="A20" s="1858" t="s">
        <v>1655</v>
      </c>
      <c r="B20" s="109">
        <v>3</v>
      </c>
      <c r="C20" s="2979" t="s">
        <v>2801</v>
      </c>
      <c r="D20" s="2853"/>
      <c r="E20" s="2850"/>
      <c r="F20" s="2850"/>
      <c r="G20" s="2850"/>
      <c r="H20" s="2850"/>
      <c r="I20" s="2850"/>
      <c r="J20" s="2850"/>
      <c r="K20" s="2849"/>
      <c r="L20" s="2849"/>
      <c r="M20" s="2848"/>
      <c r="N20" s="2848"/>
      <c r="O20" s="2848"/>
      <c r="P20" s="2848"/>
      <c r="Q20" s="2848"/>
      <c r="R20" s="2848"/>
      <c r="S20" s="2848"/>
      <c r="T20" s="2848"/>
      <c r="U20" s="2848">
        <f>U19/K16</f>
        <v>1.1696212538876722</v>
      </c>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4">
      <c r="A21" s="1859" t="s">
        <v>1656</v>
      </c>
      <c r="B21" s="109">
        <v>3</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4">
      <c r="A22" s="1858" t="s">
        <v>1657</v>
      </c>
      <c r="B22" s="110">
        <f>B19+B20</f>
        <v>3</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4">
      <c r="A23" s="1859" t="s">
        <v>1658</v>
      </c>
      <c r="B23" s="110">
        <f>B19+B21</f>
        <v>3</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1659</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4.4"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1660</v>
      </c>
      <c r="B26" s="1861" t="s">
        <v>1661</v>
      </c>
      <c r="C26" s="2854" t="s">
        <v>1662</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8.8">
      <c r="A27" s="1862" t="s">
        <v>1663</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8.8">
      <c r="A28" s="1864" t="s">
        <v>1664</v>
      </c>
      <c r="B28" s="115">
        <v>190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9.4" thickBot="1">
      <c r="A29" s="1865" t="s">
        <v>1665</v>
      </c>
      <c r="B29" s="117">
        <f ca="1">成本法!C10</f>
        <v>4635</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8.8">
      <c r="A30" s="1866" t="s">
        <v>1666</v>
      </c>
      <c r="B30" s="680">
        <v>150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8.8">
      <c r="A31" s="1864" t="s">
        <v>1667</v>
      </c>
      <c r="B31" s="116">
        <f>B30-B32</f>
        <v>150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9.4" thickBot="1">
      <c r="A32" s="1867" t="s">
        <v>1668</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4">
      <c r="A33" s="1862" t="s">
        <v>1669</v>
      </c>
      <c r="B33" s="682">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4">
      <c r="A34" s="1864" t="s">
        <v>1670</v>
      </c>
      <c r="B34" s="118"/>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4">
      <c r="A35" s="1864" t="s">
        <v>1671</v>
      </c>
      <c r="B35" s="115">
        <v>100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1672</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4">
      <c r="A37" s="1866" t="s">
        <v>1673</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4">
      <c r="A38" s="1864" t="s">
        <v>1674</v>
      </c>
      <c r="B38" s="118">
        <v>0.01</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4">
      <c r="A39" s="1867" t="s">
        <v>1675</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8.2" thickBot="1">
      <c r="A40" s="2994" t="s">
        <v>3484</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4">
      <c r="A41" s="1862" t="s">
        <v>1676</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4">
      <c r="A42" s="1868" t="s">
        <v>1677</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4">
      <c r="A43" s="1868" t="s">
        <v>1678</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4">
      <c r="A44" s="1869" t="s">
        <v>1679</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4">
      <c r="A45" s="1869" t="s">
        <v>1680</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4">
      <c r="A46" s="1869" t="s">
        <v>1681</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1682</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4">
      <c r="A48" s="1871" t="s">
        <v>1683</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1684</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4">
      <c r="A50" s="1872" t="s">
        <v>1685</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1686</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4">
      <c r="A52" s="1872" t="s">
        <v>1687</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8.8">
      <c r="A53" s="1864" t="s">
        <v>1688</v>
      </c>
      <c r="B53" s="1873" t="s">
        <v>56</v>
      </c>
      <c r="C53" s="2836" t="s">
        <v>1689</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4">
      <c r="A54" s="1874" t="s">
        <v>1690</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4">
      <c r="A55" s="1874" t="s">
        <v>1691</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4">
      <c r="A56" s="1874" t="s">
        <v>1692</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4">
      <c r="A57" s="1874" t="s">
        <v>1693</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4">
      <c r="A58" s="1874" t="s">
        <v>1694</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4">
      <c r="A59" s="1874" t="s">
        <v>1695</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4">
      <c r="A60" s="1874" t="s">
        <v>1696</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4">
      <c r="A61" s="1874" t="s">
        <v>1697</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4">
      <c r="A62" s="1874" t="s">
        <v>1698</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1699</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R71"/>
  <sheetViews>
    <sheetView zoomScaleNormal="100" workbookViewId="0">
      <selection activeCell="AJ1" sqref="AJ1:AR1048576"/>
    </sheetView>
  </sheetViews>
  <sheetFormatPr defaultColWidth="9" defaultRowHeight="12"/>
  <cols>
    <col min="1" max="1" width="31.109375" style="3262" bestFit="1" customWidth="1"/>
    <col min="2" max="2" width="14.77734375" style="3262" customWidth="1"/>
    <col min="3" max="3" width="9" style="3262"/>
    <col min="4" max="4" width="11.21875" style="3262" bestFit="1" customWidth="1"/>
    <col min="5" max="7" width="9" style="3262"/>
    <col min="8" max="8" width="12.33203125" style="3262" customWidth="1"/>
    <col min="9" max="9" width="9.33203125" style="3262" bestFit="1" customWidth="1"/>
    <col min="10" max="10" width="11.33203125" style="3262" bestFit="1" customWidth="1"/>
    <col min="11" max="11" width="9" style="3262"/>
    <col min="12" max="12" width="15.33203125" style="3262" customWidth="1"/>
    <col min="13" max="13" width="9" style="3262"/>
    <col min="14" max="14" width="31.109375" style="3262" bestFit="1" customWidth="1"/>
    <col min="15" max="16" width="9" style="3262"/>
    <col min="17" max="17" width="10.6640625" style="3262" customWidth="1"/>
    <col min="18" max="18" width="9" style="3274"/>
    <col min="19" max="23" width="9" style="3262"/>
    <col min="24" max="35" width="9" style="3262" hidden="1" customWidth="1"/>
    <col min="36" max="37" width="0" style="3638" hidden="1" customWidth="1"/>
    <col min="38" max="39" width="0" style="3262" hidden="1" customWidth="1"/>
    <col min="40" max="40" width="9.5546875" style="3262" hidden="1" customWidth="1"/>
    <col min="41" max="44" width="0" style="3262" hidden="1" customWidth="1"/>
    <col min="45" max="16384" width="9" style="3262"/>
  </cols>
  <sheetData>
    <row r="1" spans="1:44">
      <c r="AP1" s="3262" t="s">
        <v>3670</v>
      </c>
      <c r="AQ1" s="3262" t="s">
        <v>3671</v>
      </c>
      <c r="AR1" s="3262" t="s">
        <v>3672</v>
      </c>
    </row>
    <row r="2" spans="1:44">
      <c r="A2" s="3262" t="s">
        <v>3645</v>
      </c>
      <c r="N2" s="3262" t="s">
        <v>3646</v>
      </c>
      <c r="Y2" s="3240"/>
      <c r="Z2" s="3240" t="s">
        <v>3650</v>
      </c>
      <c r="AA2" s="3240" t="s">
        <v>3651</v>
      </c>
      <c r="AB2" s="3240" t="s">
        <v>3652</v>
      </c>
      <c r="AC2" s="3240" t="s">
        <v>3653</v>
      </c>
      <c r="AD2" s="3240" t="s">
        <v>3654</v>
      </c>
      <c r="AE2" s="3240" t="s">
        <v>3655</v>
      </c>
      <c r="AF2" s="3240"/>
      <c r="AG2" s="3240"/>
      <c r="AH2" s="3240"/>
      <c r="AI2" s="3240"/>
      <c r="AN2" s="3262">
        <f>AP2+AQ2+AR2</f>
        <v>235999.26</v>
      </c>
      <c r="AP2" s="3262">
        <f>'数据-汇总表'!F19</f>
        <v>175962.71000000002</v>
      </c>
      <c r="AQ2" s="3262">
        <f>'数据-汇总表'!G20</f>
        <v>29778.85</v>
      </c>
      <c r="AR2" s="3262">
        <f>'数据-汇总表'!G21</f>
        <v>30257.699999999997</v>
      </c>
    </row>
    <row r="3" spans="1:44" ht="15" customHeight="1">
      <c r="A3" s="3371" t="s">
        <v>3511</v>
      </c>
      <c r="B3" s="3371" t="s">
        <v>3532</v>
      </c>
      <c r="C3" s="3369" t="s">
        <v>3172</v>
      </c>
      <c r="D3" s="3369" t="s">
        <v>3559</v>
      </c>
      <c r="E3" s="3369" t="s">
        <v>3560</v>
      </c>
      <c r="F3" s="3369"/>
      <c r="G3" s="3369"/>
      <c r="H3" s="3369"/>
      <c r="N3" s="3371" t="s">
        <v>3511</v>
      </c>
      <c r="O3" s="3371" t="s">
        <v>3532</v>
      </c>
      <c r="P3" s="3369" t="s">
        <v>3172</v>
      </c>
      <c r="Q3" s="3369" t="s">
        <v>3559</v>
      </c>
      <c r="R3" s="3369" t="s">
        <v>3560</v>
      </c>
      <c r="S3" s="3369"/>
      <c r="T3" s="3369"/>
      <c r="U3" s="3369"/>
      <c r="V3" s="3272"/>
      <c r="W3" s="3272"/>
      <c r="Y3" s="3270" t="s">
        <v>3656</v>
      </c>
      <c r="Z3" s="3240">
        <f>K20</f>
        <v>175962.71000000002</v>
      </c>
      <c r="AA3" s="3240">
        <f>K21</f>
        <v>29778.85</v>
      </c>
      <c r="AB3" s="3240">
        <f>K22</f>
        <v>30257.699999999997</v>
      </c>
      <c r="AC3" s="3240">
        <f>K23+K24</f>
        <v>7925.619999999999</v>
      </c>
      <c r="AD3" s="3240">
        <f>SUM(Z3:AC3)</f>
        <v>243924.88</v>
      </c>
      <c r="AE3" s="3240">
        <f>Z3+AA3+AB3</f>
        <v>235999.26</v>
      </c>
      <c r="AF3" s="3240"/>
      <c r="AG3" s="3240" t="s">
        <v>3657</v>
      </c>
      <c r="AH3" s="3240" t="s">
        <v>3658</v>
      </c>
      <c r="AI3" s="3240" t="s">
        <v>3659</v>
      </c>
      <c r="AJ3" s="3638" t="s">
        <v>3673</v>
      </c>
      <c r="AK3" s="3638" t="s">
        <v>3668</v>
      </c>
      <c r="AL3" s="3262" t="s">
        <v>3667</v>
      </c>
      <c r="AM3" s="3262" t="s">
        <v>3668</v>
      </c>
      <c r="AN3" s="3262" t="s">
        <v>3669</v>
      </c>
      <c r="AO3" s="3262" t="s">
        <v>3668</v>
      </c>
      <c r="AP3" s="3262">
        <f ca="1">AP4*10000/AP2</f>
        <v>3366.5655638061039</v>
      </c>
      <c r="AQ3" s="3262">
        <f ca="1">AQ4*10000/AQ2</f>
        <v>1955.0788563023757</v>
      </c>
      <c r="AR3" s="3262">
        <f ca="1">AR4*10000/AR2</f>
        <v>1116.7405321620613</v>
      </c>
    </row>
    <row r="4" spans="1:44" ht="15.6">
      <c r="A4" s="3371"/>
      <c r="B4" s="3371"/>
      <c r="C4" s="3369"/>
      <c r="D4" s="3369"/>
      <c r="E4" s="3254" t="s">
        <v>3173</v>
      </c>
      <c r="F4" s="3254"/>
      <c r="G4" s="3254" t="s">
        <v>3174</v>
      </c>
      <c r="H4" s="3254"/>
      <c r="N4" s="3371"/>
      <c r="O4" s="3371"/>
      <c r="P4" s="3369"/>
      <c r="Q4" s="3369"/>
      <c r="R4" s="3633" t="s">
        <v>3173</v>
      </c>
      <c r="S4" s="3254"/>
      <c r="T4" s="3254" t="s">
        <v>3174</v>
      </c>
      <c r="U4" s="3254"/>
      <c r="V4" s="3272" t="s">
        <v>3664</v>
      </c>
      <c r="W4" s="3272"/>
      <c r="Y4" s="3240" t="s">
        <v>3660</v>
      </c>
      <c r="Z4" s="3240">
        <f>'土地比较法-工业'!F51</f>
        <v>31708</v>
      </c>
      <c r="AA4" s="3240">
        <f>'土地比较法-工业'!F57</f>
        <v>268</v>
      </c>
      <c r="AB4" s="3240">
        <f>'土地比较法-工业'!F58</f>
        <v>136</v>
      </c>
      <c r="AC4" s="3240"/>
      <c r="AD4" s="3240">
        <f>SUM(Z4:AC4)</f>
        <v>32112</v>
      </c>
      <c r="AE4" s="3240"/>
      <c r="AF4" s="3240"/>
      <c r="AG4" s="3240">
        <f ca="1">结果表!H118</f>
        <v>159583</v>
      </c>
      <c r="AH4" s="3240">
        <f ca="1">结果表!F118</f>
        <v>110272</v>
      </c>
      <c r="AI4" s="3240">
        <f ca="1">结果表!D118</f>
        <v>49311</v>
      </c>
      <c r="AJ4" s="3638">
        <f ca="1">AL4+AN4</f>
        <v>159583</v>
      </c>
      <c r="AL4" s="3262">
        <f ca="1">ROUND(AM4*Q68/10000,0)</f>
        <v>91143</v>
      </c>
      <c r="AM4" s="3638">
        <f ca="1">成本法!J33</f>
        <v>3758</v>
      </c>
      <c r="AN4" s="3262">
        <f ca="1">系统读取表!D14-AL4</f>
        <v>68440</v>
      </c>
      <c r="AO4" s="3632">
        <f ca="1">系统读取表!E14-面积表!AM4</f>
        <v>2784</v>
      </c>
      <c r="AP4" s="3262">
        <f ca="1">ROUND(AN4*'收益法（汇总）'!J6,0)</f>
        <v>59239</v>
      </c>
      <c r="AQ4" s="3262">
        <f ca="1">ROUND(AN4*'收益法（汇总）'!J7,0)</f>
        <v>5822</v>
      </c>
      <c r="AR4" s="3262">
        <f ca="1">AN4-AP4-AQ4</f>
        <v>3379</v>
      </c>
    </row>
    <row r="5" spans="1:44" ht="15.6">
      <c r="A5" s="3263" t="s">
        <v>3572</v>
      </c>
      <c r="B5" s="3254" t="s">
        <v>3579</v>
      </c>
      <c r="C5" s="3254" t="s">
        <v>3183</v>
      </c>
      <c r="D5" s="3255">
        <v>9433.5300000000007</v>
      </c>
      <c r="E5" s="3255">
        <v>9433.5300000000007</v>
      </c>
      <c r="F5" s="3254" t="s">
        <v>3175</v>
      </c>
      <c r="G5" s="3255" t="s">
        <v>70</v>
      </c>
      <c r="H5" s="3255" t="s">
        <v>70</v>
      </c>
      <c r="N5" s="3263" t="s">
        <v>3572</v>
      </c>
      <c r="O5" s="3254" t="s">
        <v>3579</v>
      </c>
      <c r="P5" s="3254" t="s">
        <v>3183</v>
      </c>
      <c r="Q5" s="3255">
        <v>9433.5300000000007</v>
      </c>
      <c r="R5" s="3634">
        <v>9433.5300000000007</v>
      </c>
      <c r="S5" s="3254" t="s">
        <v>3175</v>
      </c>
      <c r="T5" s="3255" t="s">
        <v>70</v>
      </c>
      <c r="U5" s="3255" t="s">
        <v>70</v>
      </c>
      <c r="V5" s="3273">
        <f ca="1">ROUND(R5*$Z$7/10000+R5*$Z$9/10000,0)</f>
        <v>6875</v>
      </c>
      <c r="W5" s="3273">
        <v>6886</v>
      </c>
      <c r="Y5" s="3240"/>
      <c r="Z5" s="3240"/>
      <c r="AA5" s="3240"/>
      <c r="AB5" s="3240"/>
      <c r="AC5" s="3240"/>
      <c r="AD5" s="3240"/>
      <c r="AE5" s="3240"/>
      <c r="AF5" s="3240"/>
      <c r="AG5" s="3240"/>
      <c r="AH5" s="3240"/>
      <c r="AI5" s="3240"/>
      <c r="AJ5" s="3638">
        <f ca="1">AL5+AN5</f>
        <v>6720.9</v>
      </c>
      <c r="AK5" s="3639">
        <f ca="1">AM5+AO5</f>
        <v>7124.6082579903814</v>
      </c>
      <c r="AL5" s="3262">
        <f ca="1">ROUND(AM5*Q5/10000,0)</f>
        <v>3545</v>
      </c>
      <c r="AM5" s="3262">
        <f ca="1">AM4</f>
        <v>3758</v>
      </c>
      <c r="AN5" s="3262">
        <f ca="1">AP5+AQ5+AR5</f>
        <v>3175.9</v>
      </c>
      <c r="AO5" s="3632">
        <f ca="1">AN5*10000/Q5</f>
        <v>3366.6082579903809</v>
      </c>
      <c r="AP5" s="3262">
        <f ca="1">ROUND($AP$4*R5/$AP$2,1)</f>
        <v>3175.9</v>
      </c>
    </row>
    <row r="6" spans="1:44" ht="15.6">
      <c r="A6" s="3263" t="s">
        <v>3573</v>
      </c>
      <c r="B6" s="3254" t="s">
        <v>3580</v>
      </c>
      <c r="C6" s="3254" t="s">
        <v>3184</v>
      </c>
      <c r="D6" s="3255">
        <v>8269.76</v>
      </c>
      <c r="E6" s="3255">
        <v>8269.76</v>
      </c>
      <c r="F6" s="3254" t="s">
        <v>3176</v>
      </c>
      <c r="G6" s="3255" t="s">
        <v>70</v>
      </c>
      <c r="H6" s="3255" t="s">
        <v>70</v>
      </c>
      <c r="J6" s="3262" t="s">
        <v>3647</v>
      </c>
      <c r="L6" s="3262" t="s">
        <v>3642</v>
      </c>
      <c r="N6" s="3263" t="s">
        <v>3573</v>
      </c>
      <c r="O6" s="3254" t="s">
        <v>3580</v>
      </c>
      <c r="P6" s="3254" t="s">
        <v>3184</v>
      </c>
      <c r="Q6" s="3255">
        <v>8269.76</v>
      </c>
      <c r="R6" s="3634">
        <v>8269.76</v>
      </c>
      <c r="S6" s="3254" t="s">
        <v>3176</v>
      </c>
      <c r="T6" s="3255" t="s">
        <v>70</v>
      </c>
      <c r="U6" s="3255" t="s">
        <v>70</v>
      </c>
      <c r="V6" s="3273">
        <f ca="1">ROUND(R6*$Z$7/10000+R6*$Z$9/10000,0)</f>
        <v>6027</v>
      </c>
      <c r="W6" s="3273">
        <v>6036</v>
      </c>
      <c r="Y6" s="3240" t="s">
        <v>3661</v>
      </c>
      <c r="Z6" s="3240">
        <f ca="1">ROUND(Z4/$AD$4*$AI$4,0)</f>
        <v>48691</v>
      </c>
      <c r="AA6" s="3240">
        <f t="shared" ref="AA6:AB6" ca="1" si="0">ROUND(AA4/$AD$4*$AI$4,0)</f>
        <v>412</v>
      </c>
      <c r="AB6" s="3240">
        <f t="shared" ca="1" si="0"/>
        <v>209</v>
      </c>
      <c r="AC6" s="3240"/>
      <c r="AD6" s="3240"/>
      <c r="AE6" s="3240"/>
      <c r="AF6" s="3240"/>
      <c r="AG6" s="3240"/>
      <c r="AH6" s="3240"/>
      <c r="AI6" s="3240"/>
      <c r="AJ6" s="3638">
        <f t="shared" ref="AJ6:AJ67" ca="1" si="1">AL6+AN6</f>
        <v>5892.1</v>
      </c>
      <c r="AK6" s="3639">
        <f t="shared" ref="AK6:AK67" ca="1" si="2">AM6+AO6</f>
        <v>7124.6031420500713</v>
      </c>
      <c r="AL6" s="3262">
        <f t="shared" ref="AL6:AL67" ca="1" si="3">ROUND(AM6*Q6/10000,0)</f>
        <v>3108</v>
      </c>
      <c r="AM6" s="3262">
        <f t="shared" ref="AM6:AM67" ca="1" si="4">AM5</f>
        <v>3758</v>
      </c>
      <c r="AN6" s="3262">
        <f ca="1">AP6+AQ6+AR6</f>
        <v>2784.1</v>
      </c>
      <c r="AO6" s="3632">
        <f t="shared" ref="AO6:AO7" ca="1" si="5">AN6*10000/Q6</f>
        <v>3366.6031420500717</v>
      </c>
      <c r="AP6" s="3262">
        <f ca="1">ROUND($AP$4*R6/$AP$2,1)</f>
        <v>2784.1</v>
      </c>
    </row>
    <row r="7" spans="1:44" ht="15.6">
      <c r="A7" s="3373" t="s">
        <v>3577</v>
      </c>
      <c r="B7" s="3369" t="s">
        <v>3581</v>
      </c>
      <c r="C7" s="3369" t="s">
        <v>3185</v>
      </c>
      <c r="D7" s="3370">
        <v>10595.77</v>
      </c>
      <c r="E7" s="3370" t="s">
        <v>70</v>
      </c>
      <c r="F7" s="3370" t="s">
        <v>70</v>
      </c>
      <c r="G7" s="3255">
        <v>5325.27</v>
      </c>
      <c r="H7" s="3254" t="s">
        <v>3177</v>
      </c>
      <c r="J7" s="3262" t="s">
        <v>3643</v>
      </c>
      <c r="K7" s="3262">
        <v>119876.49</v>
      </c>
      <c r="L7" s="3269">
        <v>59926</v>
      </c>
      <c r="N7" s="3373" t="s">
        <v>3577</v>
      </c>
      <c r="O7" s="3369" t="s">
        <v>3581</v>
      </c>
      <c r="P7" s="3369" t="s">
        <v>3185</v>
      </c>
      <c r="Q7" s="3370">
        <v>10595.77</v>
      </c>
      <c r="R7" s="3635" t="s">
        <v>70</v>
      </c>
      <c r="S7" s="3370" t="s">
        <v>70</v>
      </c>
      <c r="T7" s="3255">
        <v>5325.27</v>
      </c>
      <c r="U7" s="3254" t="s">
        <v>3177</v>
      </c>
      <c r="V7" s="3273">
        <f ca="1">ROUND(T7*$AB$7/10000+T7*$Z$9/10000,0)</f>
        <v>2444</v>
      </c>
      <c r="W7" s="3273">
        <v>2768</v>
      </c>
      <c r="Y7" s="3271" t="s">
        <v>3662</v>
      </c>
      <c r="Z7" s="3240">
        <f ca="1">ROUND(Z6/Z3*10000,0)</f>
        <v>2767</v>
      </c>
      <c r="AA7" s="3240">
        <f ca="1">ROUND(AA6/AA3*10000,0)</f>
        <v>138</v>
      </c>
      <c r="AB7" s="3240">
        <f ca="1">ROUND(AB6/AB3*10000,0)</f>
        <v>69</v>
      </c>
      <c r="AC7" s="3240"/>
      <c r="AD7" s="3240"/>
      <c r="AE7" s="3240"/>
      <c r="AF7" s="3240"/>
      <c r="AG7" s="3240"/>
      <c r="AH7" s="3240"/>
      <c r="AI7" s="3240"/>
      <c r="AJ7" s="3638">
        <f t="shared" ca="1" si="1"/>
        <v>4980.8999999999996</v>
      </c>
      <c r="AK7" s="3639">
        <f t="shared" ca="1" si="2"/>
        <v>4700.7346950717128</v>
      </c>
      <c r="AL7" s="3262">
        <f t="shared" ca="1" si="3"/>
        <v>3982</v>
      </c>
      <c r="AM7" s="3262">
        <f t="shared" ca="1" si="4"/>
        <v>3758</v>
      </c>
      <c r="AN7" s="3262">
        <f ca="1">SUM(AP7:AR10)</f>
        <v>998.90000000000009</v>
      </c>
      <c r="AO7" s="3632">
        <f t="shared" ca="1" si="5"/>
        <v>942.73469507171251</v>
      </c>
      <c r="AR7" s="3262">
        <f ca="1">ROUND($AR$4*T7/$AR$2,1)</f>
        <v>594.70000000000005</v>
      </c>
    </row>
    <row r="8" spans="1:44" ht="15.6">
      <c r="A8" s="3373"/>
      <c r="B8" s="3369"/>
      <c r="C8" s="3369"/>
      <c r="D8" s="3370"/>
      <c r="E8" s="3370"/>
      <c r="F8" s="3370"/>
      <c r="G8" s="3255">
        <v>1393.64</v>
      </c>
      <c r="H8" s="3254" t="s">
        <v>3178</v>
      </c>
      <c r="J8" s="3262" t="s">
        <v>3644</v>
      </c>
      <c r="K8" s="3262">
        <f>D71</f>
        <v>246132.41999999998</v>
      </c>
      <c r="N8" s="3373"/>
      <c r="O8" s="3369"/>
      <c r="P8" s="3369"/>
      <c r="Q8" s="3370"/>
      <c r="R8" s="3635"/>
      <c r="S8" s="3370"/>
      <c r="T8" s="3255">
        <v>1393.64</v>
      </c>
      <c r="U8" s="3254" t="s">
        <v>3178</v>
      </c>
      <c r="V8" s="3273">
        <f ca="1">ROUND(T8*$Z$9/10000,0)</f>
        <v>630</v>
      </c>
      <c r="W8" s="3273">
        <v>713</v>
      </c>
      <c r="Y8" s="3240"/>
      <c r="Z8" s="3240"/>
      <c r="AA8" s="3240"/>
      <c r="AB8" s="3240"/>
      <c r="AC8" s="3240"/>
      <c r="AD8" s="3240"/>
      <c r="AE8" s="3240"/>
      <c r="AF8" s="3240"/>
      <c r="AG8" s="3240"/>
      <c r="AH8" s="3240"/>
      <c r="AI8" s="3240"/>
      <c r="AK8" s="3639"/>
      <c r="AM8" s="3262">
        <f t="shared" ca="1" si="4"/>
        <v>3758</v>
      </c>
      <c r="AO8" s="3632"/>
      <c r="AQ8" s="3262">
        <f ca="1">ROUND($AQ$4*T8/$AQ$2,1)</f>
        <v>272.5</v>
      </c>
    </row>
    <row r="9" spans="1:44" ht="15.6">
      <c r="A9" s="3373"/>
      <c r="B9" s="3369"/>
      <c r="C9" s="3369"/>
      <c r="D9" s="3370"/>
      <c r="E9" s="3370"/>
      <c r="F9" s="3370"/>
      <c r="G9" s="3255">
        <v>673.87</v>
      </c>
      <c r="H9" s="3254" t="s">
        <v>3179</v>
      </c>
      <c r="J9" s="3262" t="s">
        <v>3247</v>
      </c>
      <c r="K9" s="3262">
        <f>E5+E6+SUM(E11:E26)+E30+SUM(E32:E52)+SUM(E56:E68)</f>
        <v>178411.05000000002</v>
      </c>
      <c r="N9" s="3373"/>
      <c r="O9" s="3369"/>
      <c r="P9" s="3369"/>
      <c r="Q9" s="3370"/>
      <c r="R9" s="3635"/>
      <c r="S9" s="3370"/>
      <c r="T9" s="3255">
        <v>673.87</v>
      </c>
      <c r="U9" s="3254" t="s">
        <v>3179</v>
      </c>
      <c r="V9" s="3273">
        <f ca="1">ROUND(T9*$AA$7/10000+T9*$Z$9/10000,0)</f>
        <v>314</v>
      </c>
      <c r="W9" s="3273">
        <v>352</v>
      </c>
      <c r="Y9" s="3240" t="s">
        <v>3663</v>
      </c>
      <c r="Z9" s="3240">
        <f ca="1">ROUND(AH4/AD3*10000,0)</f>
        <v>4521</v>
      </c>
      <c r="AA9" s="3240"/>
      <c r="AB9" s="3240"/>
      <c r="AC9" s="3240"/>
      <c r="AD9" s="3240"/>
      <c r="AE9" s="3240"/>
      <c r="AF9" s="3240"/>
      <c r="AG9" s="3240"/>
      <c r="AH9" s="3240"/>
      <c r="AI9" s="3240"/>
      <c r="AK9" s="3639"/>
      <c r="AM9" s="3262">
        <f t="shared" ca="1" si="4"/>
        <v>3758</v>
      </c>
      <c r="AO9" s="3632"/>
      <c r="AQ9" s="3262">
        <f ca="1">ROUND($AQ$4*T9/$AQ$2,1)</f>
        <v>131.69999999999999</v>
      </c>
    </row>
    <row r="10" spans="1:44" ht="15.6">
      <c r="A10" s="3373"/>
      <c r="B10" s="3369"/>
      <c r="C10" s="3369"/>
      <c r="D10" s="3370"/>
      <c r="E10" s="3370"/>
      <c r="F10" s="3370"/>
      <c r="G10" s="3255">
        <v>3202.99</v>
      </c>
      <c r="H10" s="3254" t="s">
        <v>3180</v>
      </c>
      <c r="J10" s="3274" t="s">
        <v>3249</v>
      </c>
      <c r="K10" s="3274">
        <f>G9+G28+SUM(G34:G52)+SUM(G56:G68)+G8</f>
        <v>30343.309999999998</v>
      </c>
      <c r="N10" s="3373"/>
      <c r="O10" s="3369"/>
      <c r="P10" s="3369"/>
      <c r="Q10" s="3370"/>
      <c r="R10" s="3635"/>
      <c r="S10" s="3370"/>
      <c r="T10" s="3255">
        <v>3202.99</v>
      </c>
      <c r="U10" s="3254" t="s">
        <v>3180</v>
      </c>
      <c r="V10" s="3273">
        <f ca="1">ROUND(T10*$Z$9/10000,0)</f>
        <v>1448</v>
      </c>
      <c r="W10" s="3273">
        <v>1639</v>
      </c>
      <c r="X10" s="3274">
        <f ca="1">V7+V8+V9+V10</f>
        <v>4836</v>
      </c>
      <c r="Y10" s="3262">
        <f>W7+W8+W9+W10</f>
        <v>5472</v>
      </c>
      <c r="Z10" s="3262">
        <f ca="1">Y10/X10-1</f>
        <v>0.13151364764267992</v>
      </c>
      <c r="AK10" s="3639"/>
      <c r="AM10" s="3262">
        <f t="shared" ca="1" si="4"/>
        <v>3758</v>
      </c>
      <c r="AO10" s="3632"/>
    </row>
    <row r="11" spans="1:44" ht="15.6">
      <c r="A11" s="3263" t="s">
        <v>3574</v>
      </c>
      <c r="B11" s="3264" t="s">
        <v>3582</v>
      </c>
      <c r="C11" s="3254" t="s">
        <v>3186</v>
      </c>
      <c r="D11" s="3255">
        <v>1500.94</v>
      </c>
      <c r="E11" s="3255">
        <v>1500.94</v>
      </c>
      <c r="F11" s="3254" t="s">
        <v>3175</v>
      </c>
      <c r="G11" s="3255" t="s">
        <v>70</v>
      </c>
      <c r="H11" s="3255" t="s">
        <v>70</v>
      </c>
      <c r="J11" s="3262" t="s">
        <v>3250</v>
      </c>
      <c r="K11" s="3262">
        <f>G7+G27+G54+G70</f>
        <v>30257.699999999997</v>
      </c>
      <c r="N11" s="3263" t="s">
        <v>3574</v>
      </c>
      <c r="O11" s="3264" t="s">
        <v>3582</v>
      </c>
      <c r="P11" s="3254" t="s">
        <v>3186</v>
      </c>
      <c r="Q11" s="3255">
        <v>1500.94</v>
      </c>
      <c r="R11" s="3634">
        <v>1500.94</v>
      </c>
      <c r="S11" s="3254" t="s">
        <v>3175</v>
      </c>
      <c r="T11" s="3255" t="s">
        <v>70</v>
      </c>
      <c r="U11" s="3255" t="s">
        <v>70</v>
      </c>
      <c r="V11" s="3273">
        <f ca="1">ROUND(R11*$Z$7/10000+R11*$Z$9/10000,0)</f>
        <v>1094</v>
      </c>
      <c r="W11" s="3273">
        <v>1096</v>
      </c>
      <c r="AJ11" s="3638">
        <f t="shared" ca="1" si="1"/>
        <v>1069.3</v>
      </c>
      <c r="AK11" s="3639">
        <f t="shared" ca="1" si="2"/>
        <v>7124.5569576398793</v>
      </c>
      <c r="AL11" s="3262">
        <f t="shared" ca="1" si="3"/>
        <v>564</v>
      </c>
      <c r="AM11" s="3262">
        <f t="shared" ca="1" si="4"/>
        <v>3758</v>
      </c>
      <c r="AN11" s="3262">
        <f t="shared" ref="AN11:AN25" ca="1" si="6">AP11+AQ11+AR11</f>
        <v>505.3</v>
      </c>
      <c r="AO11" s="3632">
        <f ca="1">AN11*10000/Q11</f>
        <v>3366.5569576398789</v>
      </c>
      <c r="AP11" s="3262">
        <f t="shared" ref="AP11:AP26" ca="1" si="7">ROUND($AP$4*R11/$AP$2,1)</f>
        <v>505.3</v>
      </c>
    </row>
    <row r="12" spans="1:44" ht="15.6">
      <c r="A12" s="3263" t="s">
        <v>3575</v>
      </c>
      <c r="B12" s="3264" t="s">
        <v>3583</v>
      </c>
      <c r="C12" s="3254" t="s">
        <v>3187</v>
      </c>
      <c r="D12" s="3255">
        <v>1116.4000000000001</v>
      </c>
      <c r="E12" s="3255">
        <v>1116.4000000000001</v>
      </c>
      <c r="F12" s="3254" t="s">
        <v>3175</v>
      </c>
      <c r="G12" s="3255" t="s">
        <v>70</v>
      </c>
      <c r="H12" s="3255" t="s">
        <v>70</v>
      </c>
      <c r="J12" s="3262" t="s">
        <v>3251</v>
      </c>
      <c r="K12" s="3262">
        <f>E31+E53+E69</f>
        <v>1160.4000000000001</v>
      </c>
      <c r="N12" s="3263" t="s">
        <v>3575</v>
      </c>
      <c r="O12" s="3264" t="s">
        <v>3583</v>
      </c>
      <c r="P12" s="3254" t="s">
        <v>3187</v>
      </c>
      <c r="Q12" s="3255">
        <v>1116.4000000000001</v>
      </c>
      <c r="R12" s="3634">
        <v>1116.4000000000001</v>
      </c>
      <c r="S12" s="3254" t="s">
        <v>3175</v>
      </c>
      <c r="T12" s="3255" t="s">
        <v>70</v>
      </c>
      <c r="U12" s="3255" t="s">
        <v>70</v>
      </c>
      <c r="V12" s="3273">
        <f t="shared" ref="V12:V26" ca="1" si="8">ROUND(R12*$Z$7/10000+R12*$Z$9/10000,0)</f>
        <v>814</v>
      </c>
      <c r="W12" s="3273">
        <v>815</v>
      </c>
      <c r="AJ12" s="3638">
        <f t="shared" ca="1" si="1"/>
        <v>795.8</v>
      </c>
      <c r="AK12" s="3639">
        <f t="shared" ca="1" si="2"/>
        <v>7124.176997491938</v>
      </c>
      <c r="AL12" s="3262">
        <f t="shared" ca="1" si="3"/>
        <v>420</v>
      </c>
      <c r="AM12" s="3262">
        <f t="shared" ca="1" si="4"/>
        <v>3758</v>
      </c>
      <c r="AN12" s="3262">
        <f t="shared" ca="1" si="6"/>
        <v>375.8</v>
      </c>
      <c r="AO12" s="3632">
        <f t="shared" ref="AO12:AO27" ca="1" si="9">AN12*10000/Q12</f>
        <v>3366.176997491938</v>
      </c>
      <c r="AP12" s="3274">
        <f ca="1">ROUND($AP$4*R12/$AP$2,1)</f>
        <v>375.8</v>
      </c>
    </row>
    <row r="13" spans="1:44" ht="15.6">
      <c r="A13" s="3263" t="s">
        <v>3576</v>
      </c>
      <c r="B13" s="3264" t="s">
        <v>3584</v>
      </c>
      <c r="C13" s="3254" t="s">
        <v>3188</v>
      </c>
      <c r="D13" s="3255">
        <v>2056.79</v>
      </c>
      <c r="E13" s="3255">
        <v>2056.79</v>
      </c>
      <c r="F13" s="3254" t="s">
        <v>3175</v>
      </c>
      <c r="G13" s="3255" t="s">
        <v>70</v>
      </c>
      <c r="H13" s="3255" t="s">
        <v>70</v>
      </c>
      <c r="J13" s="3262" t="s">
        <v>3252</v>
      </c>
      <c r="K13" s="3262">
        <f>G8+G10+G29+G30+G55</f>
        <v>7353.5999999999995</v>
      </c>
      <c r="N13" s="3263" t="s">
        <v>3576</v>
      </c>
      <c r="O13" s="3264" t="s">
        <v>3584</v>
      </c>
      <c r="P13" s="3254" t="s">
        <v>3188</v>
      </c>
      <c r="Q13" s="3255">
        <v>2056.79</v>
      </c>
      <c r="R13" s="3634">
        <v>2056.79</v>
      </c>
      <c r="S13" s="3254" t="s">
        <v>3175</v>
      </c>
      <c r="T13" s="3255" t="s">
        <v>70</v>
      </c>
      <c r="U13" s="3255" t="s">
        <v>70</v>
      </c>
      <c r="V13" s="3273">
        <f t="shared" ca="1" si="8"/>
        <v>1499</v>
      </c>
      <c r="W13" s="3273">
        <v>1501</v>
      </c>
      <c r="AJ13" s="3638">
        <f t="shared" ca="1" si="1"/>
        <v>1465.4</v>
      </c>
      <c r="AK13" s="3639">
        <f t="shared" ca="1" si="2"/>
        <v>7124.4107662911629</v>
      </c>
      <c r="AL13" s="3262">
        <f t="shared" ca="1" si="3"/>
        <v>773</v>
      </c>
      <c r="AM13" s="3262">
        <f t="shared" ca="1" si="4"/>
        <v>3758</v>
      </c>
      <c r="AN13" s="3262">
        <f t="shared" ca="1" si="6"/>
        <v>692.4</v>
      </c>
      <c r="AO13" s="3632">
        <f t="shared" ca="1" si="9"/>
        <v>3366.4107662911624</v>
      </c>
      <c r="AP13" s="3262">
        <f t="shared" ca="1" si="7"/>
        <v>692.4</v>
      </c>
    </row>
    <row r="14" spans="1:44" ht="15.6">
      <c r="A14" s="3263" t="s">
        <v>3556</v>
      </c>
      <c r="B14" s="3264" t="s">
        <v>3585</v>
      </c>
      <c r="C14" s="3254" t="s">
        <v>3189</v>
      </c>
      <c r="D14" s="3255">
        <v>2010</v>
      </c>
      <c r="E14" s="3255">
        <v>2010</v>
      </c>
      <c r="F14" s="3254" t="s">
        <v>3175</v>
      </c>
      <c r="G14" s="3255" t="s">
        <v>70</v>
      </c>
      <c r="H14" s="3255" t="s">
        <v>70</v>
      </c>
      <c r="J14" s="3262" t="s">
        <v>3256</v>
      </c>
      <c r="K14" s="3262">
        <f>SUM(K9:K13)</f>
        <v>247526.06</v>
      </c>
      <c r="N14" s="3263" t="s">
        <v>3556</v>
      </c>
      <c r="O14" s="3264" t="s">
        <v>3585</v>
      </c>
      <c r="P14" s="3254" t="s">
        <v>3189</v>
      </c>
      <c r="Q14" s="3255">
        <v>2010</v>
      </c>
      <c r="R14" s="3634">
        <v>2010</v>
      </c>
      <c r="S14" s="3254" t="s">
        <v>3175</v>
      </c>
      <c r="T14" s="3255" t="s">
        <v>70</v>
      </c>
      <c r="U14" s="3255" t="s">
        <v>70</v>
      </c>
      <c r="V14" s="3273">
        <f t="shared" ca="1" si="8"/>
        <v>1465</v>
      </c>
      <c r="W14" s="3273">
        <v>1467</v>
      </c>
      <c r="AJ14" s="3638">
        <f t="shared" ca="1" si="1"/>
        <v>1431.7</v>
      </c>
      <c r="AK14" s="3639">
        <f t="shared" ca="1" si="2"/>
        <v>7124.6666666666661</v>
      </c>
      <c r="AL14" s="3262">
        <f t="shared" ca="1" si="3"/>
        <v>755</v>
      </c>
      <c r="AM14" s="3262">
        <f t="shared" ca="1" si="4"/>
        <v>3758</v>
      </c>
      <c r="AN14" s="3262">
        <f t="shared" ca="1" si="6"/>
        <v>676.7</v>
      </c>
      <c r="AO14" s="3632">
        <f t="shared" ca="1" si="9"/>
        <v>3366.6666666666665</v>
      </c>
      <c r="AP14" s="3262">
        <f t="shared" ca="1" si="7"/>
        <v>676.7</v>
      </c>
    </row>
    <row r="15" spans="1:44" ht="15.6">
      <c r="A15" s="3263" t="s">
        <v>3557</v>
      </c>
      <c r="B15" s="3264" t="s">
        <v>3586</v>
      </c>
      <c r="C15" s="3254" t="s">
        <v>3190</v>
      </c>
      <c r="D15" s="3255">
        <v>1927.94</v>
      </c>
      <c r="E15" s="3255">
        <v>1927.94</v>
      </c>
      <c r="F15" s="3254" t="s">
        <v>3175</v>
      </c>
      <c r="G15" s="3255" t="s">
        <v>70</v>
      </c>
      <c r="H15" s="3255" t="s">
        <v>70</v>
      </c>
      <c r="N15" s="3263" t="s">
        <v>3557</v>
      </c>
      <c r="O15" s="3264" t="s">
        <v>3586</v>
      </c>
      <c r="P15" s="3254" t="s">
        <v>3190</v>
      </c>
      <c r="Q15" s="3255">
        <v>1927.94</v>
      </c>
      <c r="R15" s="3634">
        <v>1927.94</v>
      </c>
      <c r="S15" s="3254" t="s">
        <v>3175</v>
      </c>
      <c r="T15" s="3255" t="s">
        <v>70</v>
      </c>
      <c r="U15" s="3255" t="s">
        <v>70</v>
      </c>
      <c r="V15" s="3273">
        <f t="shared" ca="1" si="8"/>
        <v>1405</v>
      </c>
      <c r="W15" s="3273">
        <v>1407</v>
      </c>
      <c r="AJ15" s="3638">
        <f t="shared" ca="1" si="1"/>
        <v>1374.1</v>
      </c>
      <c r="AK15" s="3639">
        <f t="shared" ca="1" si="2"/>
        <v>7124.8060209342611</v>
      </c>
      <c r="AL15" s="3262">
        <f t="shared" ca="1" si="3"/>
        <v>725</v>
      </c>
      <c r="AM15" s="3262">
        <f t="shared" ca="1" si="4"/>
        <v>3758</v>
      </c>
      <c r="AN15" s="3262">
        <f t="shared" ca="1" si="6"/>
        <v>649.1</v>
      </c>
      <c r="AO15" s="3632">
        <f t="shared" ca="1" si="9"/>
        <v>3366.8060209342611</v>
      </c>
      <c r="AP15" s="3274">
        <f ca="1">ROUND($AP$4*R15/$AP$2,1)</f>
        <v>649.1</v>
      </c>
    </row>
    <row r="16" spans="1:44" ht="15.6">
      <c r="A16" s="3263" t="s">
        <v>3558</v>
      </c>
      <c r="B16" s="3264" t="s">
        <v>3587</v>
      </c>
      <c r="C16" s="3254" t="s">
        <v>3191</v>
      </c>
      <c r="D16" s="3255">
        <v>1116.0999999999999</v>
      </c>
      <c r="E16" s="3255">
        <v>1116.0999999999999</v>
      </c>
      <c r="F16" s="3254" t="s">
        <v>3175</v>
      </c>
      <c r="G16" s="3255" t="s">
        <v>70</v>
      </c>
      <c r="H16" s="3255" t="s">
        <v>70</v>
      </c>
      <c r="N16" s="3263" t="s">
        <v>3558</v>
      </c>
      <c r="O16" s="3264" t="s">
        <v>3587</v>
      </c>
      <c r="P16" s="3254" t="s">
        <v>3191</v>
      </c>
      <c r="Q16" s="3255">
        <v>1116.0999999999999</v>
      </c>
      <c r="R16" s="3634">
        <v>1116.0999999999999</v>
      </c>
      <c r="S16" s="3254" t="s">
        <v>3175</v>
      </c>
      <c r="T16" s="3255" t="s">
        <v>70</v>
      </c>
      <c r="U16" s="3255" t="s">
        <v>70</v>
      </c>
      <c r="V16" s="3273">
        <f t="shared" ca="1" si="8"/>
        <v>813</v>
      </c>
      <c r="W16" s="3273">
        <v>815</v>
      </c>
      <c r="AJ16" s="3638">
        <f t="shared" ca="1" si="1"/>
        <v>794.7</v>
      </c>
      <c r="AK16" s="3639">
        <f t="shared" ca="1" si="2"/>
        <v>7124.1858256428641</v>
      </c>
      <c r="AL16" s="3262">
        <f t="shared" ca="1" si="3"/>
        <v>419</v>
      </c>
      <c r="AM16" s="3262">
        <f t="shared" ca="1" si="4"/>
        <v>3758</v>
      </c>
      <c r="AN16" s="3262">
        <f t="shared" ca="1" si="6"/>
        <v>375.7</v>
      </c>
      <c r="AO16" s="3632">
        <f t="shared" ca="1" si="9"/>
        <v>3366.1858256428636</v>
      </c>
      <c r="AP16" s="3274">
        <f ca="1">ROUND($AP$4*R16/$AP$2,1)</f>
        <v>375.7</v>
      </c>
    </row>
    <row r="17" spans="1:44" ht="15.6">
      <c r="A17" s="3263" t="s">
        <v>3561</v>
      </c>
      <c r="B17" s="3264" t="s">
        <v>3588</v>
      </c>
      <c r="C17" s="3254" t="s">
        <v>3192</v>
      </c>
      <c r="D17" s="3255">
        <v>2056.48</v>
      </c>
      <c r="E17" s="3255">
        <v>2056.48</v>
      </c>
      <c r="F17" s="3254" t="s">
        <v>3175</v>
      </c>
      <c r="G17" s="3255" t="s">
        <v>70</v>
      </c>
      <c r="H17" s="3255" t="s">
        <v>70</v>
      </c>
      <c r="J17" s="3262" t="s">
        <v>3649</v>
      </c>
      <c r="L17" s="3262" t="s">
        <v>3642</v>
      </c>
      <c r="N17" s="3263" t="s">
        <v>3561</v>
      </c>
      <c r="O17" s="3264" t="s">
        <v>3588</v>
      </c>
      <c r="P17" s="3254" t="s">
        <v>3192</v>
      </c>
      <c r="Q17" s="3255">
        <v>2056.48</v>
      </c>
      <c r="R17" s="3634">
        <v>2056.48</v>
      </c>
      <c r="S17" s="3254" t="s">
        <v>3175</v>
      </c>
      <c r="T17" s="3255" t="s">
        <v>70</v>
      </c>
      <c r="U17" s="3255" t="s">
        <v>70</v>
      </c>
      <c r="V17" s="3273">
        <f t="shared" ca="1" si="8"/>
        <v>1499</v>
      </c>
      <c r="W17" s="3273">
        <v>1501</v>
      </c>
      <c r="AJ17" s="3638">
        <f t="shared" ca="1" si="1"/>
        <v>1465.3</v>
      </c>
      <c r="AK17" s="3639">
        <f t="shared" ca="1" si="2"/>
        <v>7124.4319614097876</v>
      </c>
      <c r="AL17" s="3262">
        <f t="shared" ca="1" si="3"/>
        <v>773</v>
      </c>
      <c r="AM17" s="3262">
        <f t="shared" ca="1" si="4"/>
        <v>3758</v>
      </c>
      <c r="AN17" s="3262">
        <f t="shared" ca="1" si="6"/>
        <v>692.3</v>
      </c>
      <c r="AO17" s="3632">
        <f t="shared" ca="1" si="9"/>
        <v>3366.4319614097876</v>
      </c>
      <c r="AP17" s="3262">
        <f t="shared" ca="1" si="7"/>
        <v>692.3</v>
      </c>
    </row>
    <row r="18" spans="1:44" ht="15.6">
      <c r="A18" s="3263" t="s">
        <v>3562</v>
      </c>
      <c r="B18" s="3264" t="s">
        <v>3589</v>
      </c>
      <c r="C18" s="3254" t="s">
        <v>3193</v>
      </c>
      <c r="D18" s="3255">
        <v>2010.38</v>
      </c>
      <c r="E18" s="3255">
        <v>2010.38</v>
      </c>
      <c r="F18" s="3254" t="s">
        <v>3175</v>
      </c>
      <c r="G18" s="3255" t="s">
        <v>70</v>
      </c>
      <c r="H18" s="3255" t="s">
        <v>70</v>
      </c>
      <c r="J18" s="3262" t="s">
        <v>3648</v>
      </c>
      <c r="K18" s="3262">
        <f>ROUND(K19/K8*K7,2)</f>
        <v>118122.57</v>
      </c>
      <c r="L18" s="3269">
        <v>59926</v>
      </c>
      <c r="N18" s="3263" t="s">
        <v>3562</v>
      </c>
      <c r="O18" s="3264" t="s">
        <v>3589</v>
      </c>
      <c r="P18" s="3254" t="s">
        <v>3193</v>
      </c>
      <c r="Q18" s="3255">
        <v>2010.38</v>
      </c>
      <c r="R18" s="3634">
        <v>2010.38</v>
      </c>
      <c r="S18" s="3254" t="s">
        <v>3175</v>
      </c>
      <c r="T18" s="3255" t="s">
        <v>70</v>
      </c>
      <c r="U18" s="3255" t="s">
        <v>70</v>
      </c>
      <c r="V18" s="3273">
        <f t="shared" ca="1" si="8"/>
        <v>1465</v>
      </c>
      <c r="W18" s="3273">
        <v>1467</v>
      </c>
      <c r="AJ18" s="3638">
        <f t="shared" ca="1" si="1"/>
        <v>1432.8</v>
      </c>
      <c r="AK18" s="3639">
        <f t="shared" ca="1" si="2"/>
        <v>7124.5277211273487</v>
      </c>
      <c r="AL18" s="3262">
        <f t="shared" ca="1" si="3"/>
        <v>756</v>
      </c>
      <c r="AM18" s="3262">
        <f t="shared" ca="1" si="4"/>
        <v>3758</v>
      </c>
      <c r="AN18" s="3262">
        <f t="shared" ca="1" si="6"/>
        <v>676.8</v>
      </c>
      <c r="AO18" s="3632">
        <f t="shared" ca="1" si="9"/>
        <v>3366.5277211273487</v>
      </c>
      <c r="AP18" s="3262">
        <f t="shared" ca="1" si="7"/>
        <v>676.8</v>
      </c>
    </row>
    <row r="19" spans="1:44" ht="15.6">
      <c r="A19" s="3263" t="s">
        <v>3563</v>
      </c>
      <c r="B19" s="3264" t="s">
        <v>3590</v>
      </c>
      <c r="C19" s="3254" t="s">
        <v>3194</v>
      </c>
      <c r="D19" s="3255">
        <v>1117.76</v>
      </c>
      <c r="E19" s="3255">
        <v>1117.76</v>
      </c>
      <c r="F19" s="3254" t="s">
        <v>3175</v>
      </c>
      <c r="G19" s="3255" t="s">
        <v>70</v>
      </c>
      <c r="H19" s="3255" t="s">
        <v>70</v>
      </c>
      <c r="J19" s="3262" t="s">
        <v>3644</v>
      </c>
      <c r="K19" s="3262">
        <f>Q68</f>
        <v>242531.24000000002</v>
      </c>
      <c r="N19" s="3263" t="s">
        <v>3563</v>
      </c>
      <c r="O19" s="3264" t="s">
        <v>3590</v>
      </c>
      <c r="P19" s="3254" t="s">
        <v>3194</v>
      </c>
      <c r="Q19" s="3255">
        <v>1117.76</v>
      </c>
      <c r="R19" s="3634">
        <v>1117.76</v>
      </c>
      <c r="S19" s="3254" t="s">
        <v>3175</v>
      </c>
      <c r="T19" s="3255" t="s">
        <v>70</v>
      </c>
      <c r="U19" s="3255" t="s">
        <v>70</v>
      </c>
      <c r="V19" s="3273">
        <f t="shared" ca="1" si="8"/>
        <v>815</v>
      </c>
      <c r="W19" s="3273">
        <v>816</v>
      </c>
      <c r="AJ19" s="3638">
        <f t="shared" ca="1" si="1"/>
        <v>796.3</v>
      </c>
      <c r="AK19" s="3639">
        <f t="shared" ca="1" si="2"/>
        <v>7124.5545376467217</v>
      </c>
      <c r="AL19" s="3262">
        <f t="shared" ca="1" si="3"/>
        <v>420</v>
      </c>
      <c r="AM19" s="3262">
        <f t="shared" ca="1" si="4"/>
        <v>3758</v>
      </c>
      <c r="AN19" s="3262">
        <f t="shared" ca="1" si="6"/>
        <v>376.3</v>
      </c>
      <c r="AO19" s="3632">
        <f t="shared" ca="1" si="9"/>
        <v>3366.5545376467221</v>
      </c>
      <c r="AP19" s="3262">
        <f t="shared" ca="1" si="7"/>
        <v>376.3</v>
      </c>
    </row>
    <row r="20" spans="1:44" ht="15.6">
      <c r="A20" s="3263" t="s">
        <v>3564</v>
      </c>
      <c r="B20" s="3264" t="s">
        <v>3591</v>
      </c>
      <c r="C20" s="3254" t="s">
        <v>3195</v>
      </c>
      <c r="D20" s="3255">
        <v>2010.07</v>
      </c>
      <c r="E20" s="3255">
        <v>2010.07</v>
      </c>
      <c r="F20" s="3254" t="s">
        <v>3175</v>
      </c>
      <c r="G20" s="3255" t="s">
        <v>70</v>
      </c>
      <c r="H20" s="3255" t="s">
        <v>70</v>
      </c>
      <c r="J20" s="3262" t="s">
        <v>3247</v>
      </c>
      <c r="K20" s="3262">
        <f>R5+R6+SUM(R11:R26)+R30+SUM(R32:R52)+SUM(R55:R66)</f>
        <v>175962.71000000002</v>
      </c>
      <c r="N20" s="3263" t="s">
        <v>3564</v>
      </c>
      <c r="O20" s="3264" t="s">
        <v>3591</v>
      </c>
      <c r="P20" s="3254" t="s">
        <v>3195</v>
      </c>
      <c r="Q20" s="3255">
        <v>2010.07</v>
      </c>
      <c r="R20" s="3634">
        <v>2010.07</v>
      </c>
      <c r="S20" s="3254" t="s">
        <v>3175</v>
      </c>
      <c r="T20" s="3255" t="s">
        <v>70</v>
      </c>
      <c r="U20" s="3255" t="s">
        <v>70</v>
      </c>
      <c r="V20" s="3273">
        <f t="shared" ca="1" si="8"/>
        <v>1465</v>
      </c>
      <c r="W20" s="3273">
        <v>1467</v>
      </c>
      <c r="AJ20" s="3638">
        <f t="shared" ca="1" si="1"/>
        <v>1431.7</v>
      </c>
      <c r="AK20" s="3639">
        <f t="shared" ca="1" si="2"/>
        <v>7124.5494236519125</v>
      </c>
      <c r="AL20" s="3262">
        <f t="shared" ca="1" si="3"/>
        <v>755</v>
      </c>
      <c r="AM20" s="3262">
        <f t="shared" ca="1" si="4"/>
        <v>3758</v>
      </c>
      <c r="AN20" s="3262">
        <f t="shared" ca="1" si="6"/>
        <v>676.7</v>
      </c>
      <c r="AO20" s="3632">
        <f t="shared" ca="1" si="9"/>
        <v>3366.5494236519125</v>
      </c>
      <c r="AP20" s="3262">
        <f t="shared" ca="1" si="7"/>
        <v>676.7</v>
      </c>
    </row>
    <row r="21" spans="1:44" ht="15.6">
      <c r="A21" s="3263" t="s">
        <v>3565</v>
      </c>
      <c r="B21" s="3264" t="s">
        <v>3592</v>
      </c>
      <c r="C21" s="3254" t="s">
        <v>3196</v>
      </c>
      <c r="D21" s="3255">
        <v>1117.77</v>
      </c>
      <c r="E21" s="3255">
        <v>1117.77</v>
      </c>
      <c r="F21" s="3254" t="s">
        <v>3175</v>
      </c>
      <c r="G21" s="3255" t="s">
        <v>70</v>
      </c>
      <c r="H21" s="3255" t="s">
        <v>70</v>
      </c>
      <c r="J21" s="3262" t="s">
        <v>3249</v>
      </c>
      <c r="K21" s="3262">
        <f>T9+T28+SUM(T34:T52)+SUM(T55:T66)+T8</f>
        <v>29778.85</v>
      </c>
      <c r="N21" s="3263" t="s">
        <v>3565</v>
      </c>
      <c r="O21" s="3264" t="s">
        <v>3592</v>
      </c>
      <c r="P21" s="3254" t="s">
        <v>3196</v>
      </c>
      <c r="Q21" s="3255">
        <v>1117.77</v>
      </c>
      <c r="R21" s="3634">
        <v>1117.77</v>
      </c>
      <c r="S21" s="3254" t="s">
        <v>3175</v>
      </c>
      <c r="T21" s="3255" t="s">
        <v>70</v>
      </c>
      <c r="U21" s="3255" t="s">
        <v>70</v>
      </c>
      <c r="V21" s="3273">
        <f t="shared" ca="1" si="8"/>
        <v>815</v>
      </c>
      <c r="W21" s="3273">
        <v>816</v>
      </c>
      <c r="AJ21" s="3638">
        <f t="shared" ca="1" si="1"/>
        <v>796.3</v>
      </c>
      <c r="AK21" s="3639">
        <f t="shared" ca="1" si="2"/>
        <v>7124.5244191559977</v>
      </c>
      <c r="AL21" s="3262">
        <f t="shared" ca="1" si="3"/>
        <v>420</v>
      </c>
      <c r="AM21" s="3262">
        <f t="shared" ca="1" si="4"/>
        <v>3758</v>
      </c>
      <c r="AN21" s="3262">
        <f t="shared" ca="1" si="6"/>
        <v>376.3</v>
      </c>
      <c r="AO21" s="3632">
        <f t="shared" ca="1" si="9"/>
        <v>3366.5244191559982</v>
      </c>
      <c r="AP21" s="3262">
        <f t="shared" ca="1" si="7"/>
        <v>376.3</v>
      </c>
    </row>
    <row r="22" spans="1:44" ht="15.6">
      <c r="A22" s="3263" t="s">
        <v>3566</v>
      </c>
      <c r="B22" s="3264" t="s">
        <v>3593</v>
      </c>
      <c r="C22" s="3254" t="s">
        <v>3197</v>
      </c>
      <c r="D22" s="3255">
        <v>1928.9</v>
      </c>
      <c r="E22" s="3255">
        <v>1928.9</v>
      </c>
      <c r="F22" s="3254" t="s">
        <v>3175</v>
      </c>
      <c r="G22" s="3255" t="s">
        <v>70</v>
      </c>
      <c r="H22" s="3255" t="s">
        <v>70</v>
      </c>
      <c r="J22" s="3262" t="s">
        <v>3250</v>
      </c>
      <c r="K22" s="3262">
        <f>T7+T27+T53+T67</f>
        <v>30257.699999999997</v>
      </c>
      <c r="N22" s="3263" t="s">
        <v>3566</v>
      </c>
      <c r="O22" s="3264" t="s">
        <v>3593</v>
      </c>
      <c r="P22" s="3254" t="s">
        <v>3197</v>
      </c>
      <c r="Q22" s="3255">
        <v>1928.9</v>
      </c>
      <c r="R22" s="3634">
        <v>1928.9</v>
      </c>
      <c r="S22" s="3254" t="s">
        <v>3175</v>
      </c>
      <c r="T22" s="3255" t="s">
        <v>70</v>
      </c>
      <c r="U22" s="3255" t="s">
        <v>70</v>
      </c>
      <c r="V22" s="3273">
        <f t="shared" ca="1" si="8"/>
        <v>1406</v>
      </c>
      <c r="W22" s="3273">
        <v>1408</v>
      </c>
      <c r="AJ22" s="3638">
        <f t="shared" ca="1" si="1"/>
        <v>1374.4</v>
      </c>
      <c r="AK22" s="3639">
        <f t="shared" ca="1" si="2"/>
        <v>7124.6856757737569</v>
      </c>
      <c r="AL22" s="3262">
        <f t="shared" ca="1" si="3"/>
        <v>725</v>
      </c>
      <c r="AM22" s="3262">
        <f t="shared" ca="1" si="4"/>
        <v>3758</v>
      </c>
      <c r="AN22" s="3262">
        <f t="shared" ca="1" si="6"/>
        <v>649.4</v>
      </c>
      <c r="AO22" s="3632">
        <f t="shared" ca="1" si="9"/>
        <v>3366.6856757737569</v>
      </c>
      <c r="AP22" s="3262">
        <f t="shared" ca="1" si="7"/>
        <v>649.4</v>
      </c>
    </row>
    <row r="23" spans="1:44" ht="15.6">
      <c r="A23" s="3263" t="s">
        <v>3567</v>
      </c>
      <c r="B23" s="3264" t="s">
        <v>3594</v>
      </c>
      <c r="C23" s="3254" t="s">
        <v>3198</v>
      </c>
      <c r="D23" s="3255">
        <v>2056.79</v>
      </c>
      <c r="E23" s="3255">
        <v>2056.79</v>
      </c>
      <c r="F23" s="3254" t="s">
        <v>3175</v>
      </c>
      <c r="G23" s="3255" t="s">
        <v>70</v>
      </c>
      <c r="H23" s="3255" t="s">
        <v>70</v>
      </c>
      <c r="J23" s="3262" t="s">
        <v>3251</v>
      </c>
      <c r="K23" s="3262">
        <f>R31</f>
        <v>572.02</v>
      </c>
      <c r="N23" s="3263" t="s">
        <v>3567</v>
      </c>
      <c r="O23" s="3264" t="s">
        <v>3594</v>
      </c>
      <c r="P23" s="3254" t="s">
        <v>3198</v>
      </c>
      <c r="Q23" s="3255">
        <v>2056.79</v>
      </c>
      <c r="R23" s="3634">
        <v>2056.79</v>
      </c>
      <c r="S23" s="3254" t="s">
        <v>3175</v>
      </c>
      <c r="T23" s="3255" t="s">
        <v>70</v>
      </c>
      <c r="U23" s="3255" t="s">
        <v>70</v>
      </c>
      <c r="V23" s="3273">
        <f t="shared" ca="1" si="8"/>
        <v>1499</v>
      </c>
      <c r="W23" s="3273">
        <v>1501</v>
      </c>
      <c r="AJ23" s="3638">
        <f t="shared" ca="1" si="1"/>
        <v>1465.4</v>
      </c>
      <c r="AK23" s="3639">
        <f t="shared" ca="1" si="2"/>
        <v>7124.4107662911629</v>
      </c>
      <c r="AL23" s="3262">
        <f t="shared" ca="1" si="3"/>
        <v>773</v>
      </c>
      <c r="AM23" s="3262">
        <f t="shared" ca="1" si="4"/>
        <v>3758</v>
      </c>
      <c r="AN23" s="3262">
        <f t="shared" ca="1" si="6"/>
        <v>692.4</v>
      </c>
      <c r="AO23" s="3632">
        <f t="shared" ca="1" si="9"/>
        <v>3366.4107662911624</v>
      </c>
      <c r="AP23" s="3262">
        <f t="shared" ca="1" si="7"/>
        <v>692.4</v>
      </c>
    </row>
    <row r="24" spans="1:44" ht="15.6">
      <c r="A24" s="3263" t="s">
        <v>3568</v>
      </c>
      <c r="B24" s="3264" t="s">
        <v>3595</v>
      </c>
      <c r="C24" s="3254" t="s">
        <v>3199</v>
      </c>
      <c r="D24" s="3255">
        <v>2010.26</v>
      </c>
      <c r="E24" s="3255">
        <v>2010.26</v>
      </c>
      <c r="F24" s="3254" t="s">
        <v>3175</v>
      </c>
      <c r="G24" s="3255" t="s">
        <v>70</v>
      </c>
      <c r="H24" s="3255" t="s">
        <v>70</v>
      </c>
      <c r="J24" s="3262" t="s">
        <v>3252</v>
      </c>
      <c r="K24" s="3262">
        <f>T8+T10+T29+T30+T54</f>
        <v>7353.5999999999995</v>
      </c>
      <c r="N24" s="3263" t="s">
        <v>3568</v>
      </c>
      <c r="O24" s="3264" t="s">
        <v>3595</v>
      </c>
      <c r="P24" s="3254" t="s">
        <v>3199</v>
      </c>
      <c r="Q24" s="3255">
        <v>2010.26</v>
      </c>
      <c r="R24" s="3634">
        <v>2010.26</v>
      </c>
      <c r="S24" s="3254" t="s">
        <v>3175</v>
      </c>
      <c r="T24" s="3255" t="s">
        <v>70</v>
      </c>
      <c r="U24" s="3255" t="s">
        <v>70</v>
      </c>
      <c r="V24" s="3273">
        <f t="shared" ca="1" si="8"/>
        <v>1465</v>
      </c>
      <c r="W24" s="3273">
        <v>1467</v>
      </c>
      <c r="AJ24" s="3638">
        <f t="shared" ca="1" si="1"/>
        <v>1431.8</v>
      </c>
      <c r="AK24" s="3639">
        <f t="shared" ca="1" si="2"/>
        <v>7124.7286818620478</v>
      </c>
      <c r="AL24" s="3262">
        <f t="shared" ca="1" si="3"/>
        <v>755</v>
      </c>
      <c r="AM24" s="3262">
        <f t="shared" ca="1" si="4"/>
        <v>3758</v>
      </c>
      <c r="AN24" s="3262">
        <f t="shared" ca="1" si="6"/>
        <v>676.8</v>
      </c>
      <c r="AO24" s="3632">
        <f t="shared" ca="1" si="9"/>
        <v>3366.7286818620478</v>
      </c>
      <c r="AP24" s="3262">
        <f t="shared" ca="1" si="7"/>
        <v>676.8</v>
      </c>
    </row>
    <row r="25" spans="1:44" ht="15.6">
      <c r="A25" s="3263" t="s">
        <v>3569</v>
      </c>
      <c r="B25" s="3264" t="s">
        <v>3596</v>
      </c>
      <c r="C25" s="3254" t="s">
        <v>3200</v>
      </c>
      <c r="D25" s="3255">
        <v>2056.79</v>
      </c>
      <c r="E25" s="3255">
        <v>2056.79</v>
      </c>
      <c r="F25" s="3254" t="s">
        <v>3175</v>
      </c>
      <c r="G25" s="3255" t="s">
        <v>70</v>
      </c>
      <c r="H25" s="3255" t="s">
        <v>70</v>
      </c>
      <c r="J25" s="3262" t="s">
        <v>3256</v>
      </c>
      <c r="K25" s="3262">
        <f>SUM(K20:K24)</f>
        <v>243924.88</v>
      </c>
      <c r="N25" s="3263" t="s">
        <v>3569</v>
      </c>
      <c r="O25" s="3264" t="s">
        <v>3596</v>
      </c>
      <c r="P25" s="3254" t="s">
        <v>3200</v>
      </c>
      <c r="Q25" s="3255">
        <v>2056.79</v>
      </c>
      <c r="R25" s="3634">
        <v>2056.79</v>
      </c>
      <c r="S25" s="3254" t="s">
        <v>3175</v>
      </c>
      <c r="T25" s="3255" t="s">
        <v>70</v>
      </c>
      <c r="U25" s="3255" t="s">
        <v>70</v>
      </c>
      <c r="V25" s="3273">
        <f t="shared" ca="1" si="8"/>
        <v>1499</v>
      </c>
      <c r="W25" s="3273">
        <v>1501</v>
      </c>
      <c r="AJ25" s="3638">
        <f t="shared" ca="1" si="1"/>
        <v>1465.4</v>
      </c>
      <c r="AK25" s="3639">
        <f t="shared" ca="1" si="2"/>
        <v>7124.4107662911629</v>
      </c>
      <c r="AL25" s="3262">
        <f t="shared" ca="1" si="3"/>
        <v>773</v>
      </c>
      <c r="AM25" s="3262">
        <f t="shared" ca="1" si="4"/>
        <v>3758</v>
      </c>
      <c r="AN25" s="3262">
        <f t="shared" ca="1" si="6"/>
        <v>692.4</v>
      </c>
      <c r="AO25" s="3632">
        <f t="shared" ca="1" si="9"/>
        <v>3366.4107662911624</v>
      </c>
      <c r="AP25" s="3262">
        <f t="shared" ca="1" si="7"/>
        <v>692.4</v>
      </c>
    </row>
    <row r="26" spans="1:44" ht="15.6">
      <c r="A26" s="3263" t="s">
        <v>3570</v>
      </c>
      <c r="B26" s="3264" t="s">
        <v>3597</v>
      </c>
      <c r="C26" s="3254" t="s">
        <v>3201</v>
      </c>
      <c r="D26" s="3255">
        <v>1928.9</v>
      </c>
      <c r="E26" s="3255">
        <v>1928.9</v>
      </c>
      <c r="F26" s="3254" t="s">
        <v>3175</v>
      </c>
      <c r="G26" s="3255" t="s">
        <v>70</v>
      </c>
      <c r="H26" s="3255" t="s">
        <v>70</v>
      </c>
      <c r="N26" s="3263" t="s">
        <v>3570</v>
      </c>
      <c r="O26" s="3264" t="s">
        <v>3597</v>
      </c>
      <c r="P26" s="3254" t="s">
        <v>3201</v>
      </c>
      <c r="Q26" s="3255">
        <v>1928.9</v>
      </c>
      <c r="R26" s="3634">
        <v>1928.9</v>
      </c>
      <c r="S26" s="3254" t="s">
        <v>3175</v>
      </c>
      <c r="T26" s="3255" t="s">
        <v>70</v>
      </c>
      <c r="U26" s="3255" t="s">
        <v>70</v>
      </c>
      <c r="V26" s="3273">
        <f t="shared" ca="1" si="8"/>
        <v>1406</v>
      </c>
      <c r="W26" s="3273">
        <v>1408</v>
      </c>
      <c r="AJ26" s="3638">
        <f t="shared" ca="1" si="1"/>
        <v>1374.4</v>
      </c>
      <c r="AK26" s="3639">
        <f t="shared" ca="1" si="2"/>
        <v>7124.6856757737569</v>
      </c>
      <c r="AL26" s="3262">
        <f t="shared" ca="1" si="3"/>
        <v>725</v>
      </c>
      <c r="AM26" s="3262">
        <f t="shared" ca="1" si="4"/>
        <v>3758</v>
      </c>
      <c r="AN26" s="3262">
        <f ca="1">AP26+AQ26+AR26</f>
        <v>649.4</v>
      </c>
      <c r="AO26" s="3632">
        <f t="shared" ca="1" si="9"/>
        <v>3366.6856757737569</v>
      </c>
      <c r="AP26" s="3262">
        <f t="shared" ca="1" si="7"/>
        <v>649.4</v>
      </c>
    </row>
    <row r="27" spans="1:44" ht="15.6">
      <c r="A27" s="3373" t="s">
        <v>3571</v>
      </c>
      <c r="B27" s="3369" t="s">
        <v>3578</v>
      </c>
      <c r="C27" s="3369" t="s">
        <v>3202</v>
      </c>
      <c r="D27" s="3370">
        <v>15670.04</v>
      </c>
      <c r="E27" s="3255" t="s">
        <v>70</v>
      </c>
      <c r="F27" s="3255" t="s">
        <v>70</v>
      </c>
      <c r="G27" s="3255">
        <v>7224.48</v>
      </c>
      <c r="H27" s="3254" t="s">
        <v>3177</v>
      </c>
      <c r="N27" s="3373" t="s">
        <v>3571</v>
      </c>
      <c r="O27" s="3369" t="s">
        <v>3578</v>
      </c>
      <c r="P27" s="3369" t="s">
        <v>3202</v>
      </c>
      <c r="Q27" s="3370">
        <v>15670.04</v>
      </c>
      <c r="R27" s="3634" t="s">
        <v>70</v>
      </c>
      <c r="S27" s="3255" t="s">
        <v>70</v>
      </c>
      <c r="T27" s="3255">
        <v>7224.48</v>
      </c>
      <c r="U27" s="3254" t="s">
        <v>3177</v>
      </c>
      <c r="V27" s="3273">
        <f ca="1">ROUND(T27*$AB$7/10000+T27*$Z$9/10000,0)</f>
        <v>3316</v>
      </c>
      <c r="W27" s="3273">
        <v>3755</v>
      </c>
      <c r="AJ27" s="3638">
        <f t="shared" ca="1" si="1"/>
        <v>8183.9</v>
      </c>
      <c r="AK27" s="3639">
        <f t="shared" ca="1" si="2"/>
        <v>5222.5144492292293</v>
      </c>
      <c r="AL27" s="3262">
        <f t="shared" ca="1" si="3"/>
        <v>5889</v>
      </c>
      <c r="AM27" s="3262">
        <f t="shared" ca="1" si="4"/>
        <v>3758</v>
      </c>
      <c r="AN27" s="3262">
        <f ca="1">SUM(AP27:AR29)</f>
        <v>2294.8999999999996</v>
      </c>
      <c r="AO27" s="3632">
        <f t="shared" ca="1" si="9"/>
        <v>1464.5144492292295</v>
      </c>
      <c r="AR27" s="3262">
        <f ca="1">ROUND($AR$4*T27/$AR$2,1)</f>
        <v>806.8</v>
      </c>
    </row>
    <row r="28" spans="1:44" ht="15.6">
      <c r="A28" s="3373"/>
      <c r="B28" s="3369"/>
      <c r="C28" s="3369"/>
      <c r="D28" s="3370"/>
      <c r="E28" s="3255" t="s">
        <v>70</v>
      </c>
      <c r="F28" s="3255" t="s">
        <v>70</v>
      </c>
      <c r="G28" s="3255">
        <v>7611.54</v>
      </c>
      <c r="H28" s="3254" t="s">
        <v>3179</v>
      </c>
      <c r="N28" s="3373"/>
      <c r="O28" s="3369"/>
      <c r="P28" s="3369"/>
      <c r="Q28" s="3370"/>
      <c r="R28" s="3634" t="s">
        <v>70</v>
      </c>
      <c r="S28" s="3255" t="s">
        <v>70</v>
      </c>
      <c r="T28" s="3255">
        <v>7611.54</v>
      </c>
      <c r="U28" s="3254" t="s">
        <v>3179</v>
      </c>
      <c r="V28" s="3273">
        <f ca="1">ROUND(T28*$AA$7/10000+T28*$Z$9/10000,0)</f>
        <v>3546</v>
      </c>
      <c r="W28" s="3273">
        <v>3977</v>
      </c>
      <c r="AK28" s="3639"/>
      <c r="AM28" s="3262">
        <f t="shared" ca="1" si="4"/>
        <v>3758</v>
      </c>
      <c r="AO28" s="3632"/>
      <c r="AQ28" s="3262">
        <f ca="1">ROUND($AQ$4*T28/$AQ$2,1)</f>
        <v>1488.1</v>
      </c>
    </row>
    <row r="29" spans="1:44" ht="15.6">
      <c r="A29" s="3373"/>
      <c r="B29" s="3369"/>
      <c r="C29" s="3369"/>
      <c r="D29" s="3370"/>
      <c r="E29" s="3255" t="s">
        <v>70</v>
      </c>
      <c r="F29" s="3255" t="s">
        <v>70</v>
      </c>
      <c r="G29" s="3255">
        <v>834.02</v>
      </c>
      <c r="H29" s="3254" t="s">
        <v>3180</v>
      </c>
      <c r="N29" s="3373"/>
      <c r="O29" s="3369"/>
      <c r="P29" s="3369"/>
      <c r="Q29" s="3370"/>
      <c r="R29" s="3634" t="s">
        <v>70</v>
      </c>
      <c r="S29" s="3255" t="s">
        <v>70</v>
      </c>
      <c r="T29" s="3255">
        <v>834.02</v>
      </c>
      <c r="U29" s="3254" t="s">
        <v>3180</v>
      </c>
      <c r="V29" s="3273">
        <f ca="1">ROUND(T29*$Z$9/10000,0)</f>
        <v>377</v>
      </c>
      <c r="W29" s="3273">
        <v>427</v>
      </c>
      <c r="X29" s="3274">
        <f ca="1">V27+V28+V29</f>
        <v>7239</v>
      </c>
      <c r="Y29" s="3262">
        <f>W27+W28+W29</f>
        <v>8159</v>
      </c>
      <c r="Z29" s="3262">
        <f ca="1">Y29/X29-1</f>
        <v>0.1270893769857715</v>
      </c>
      <c r="AK29" s="3639"/>
      <c r="AM29" s="3262">
        <f t="shared" ca="1" si="4"/>
        <v>3758</v>
      </c>
      <c r="AO29" s="3632"/>
    </row>
    <row r="30" spans="1:44" ht="15.6">
      <c r="A30" s="3373" t="s">
        <v>3555</v>
      </c>
      <c r="B30" s="3369" t="s">
        <v>3598</v>
      </c>
      <c r="C30" s="3369" t="s">
        <v>3203</v>
      </c>
      <c r="D30" s="3370">
        <v>30777.32</v>
      </c>
      <c r="E30" s="3255">
        <v>29441.65</v>
      </c>
      <c r="F30" s="3254" t="s">
        <v>3175</v>
      </c>
      <c r="G30" s="3255">
        <v>763.65</v>
      </c>
      <c r="H30" s="3254" t="s">
        <v>3181</v>
      </c>
      <c r="N30" s="3373" t="s">
        <v>3555</v>
      </c>
      <c r="O30" s="3369" t="s">
        <v>3598</v>
      </c>
      <c r="P30" s="3369" t="s">
        <v>3203</v>
      </c>
      <c r="Q30" s="3370">
        <v>30777.32</v>
      </c>
      <c r="R30" s="3634">
        <v>29441.65</v>
      </c>
      <c r="S30" s="3254" t="s">
        <v>3175</v>
      </c>
      <c r="T30" s="3255">
        <v>763.65</v>
      </c>
      <c r="U30" s="3254" t="s">
        <v>3181</v>
      </c>
      <c r="V30" s="3273">
        <f ca="1">ROUND(R30*$Z$7/10000+R30*$Z$9/10000,0)</f>
        <v>21457</v>
      </c>
      <c r="W30" s="3273">
        <v>21489</v>
      </c>
      <c r="AJ30" s="3638">
        <f t="shared" ca="1" si="1"/>
        <v>21477.7</v>
      </c>
      <c r="AK30" s="3639">
        <f t="shared" ca="1" si="2"/>
        <v>6978.4558421590964</v>
      </c>
      <c r="AL30" s="3262">
        <f t="shared" ca="1" si="3"/>
        <v>11566</v>
      </c>
      <c r="AM30" s="3262">
        <f t="shared" ca="1" si="4"/>
        <v>3758</v>
      </c>
      <c r="AN30" s="3262">
        <f ca="1">SUM(AP30:AR31)</f>
        <v>9911.7000000000007</v>
      </c>
      <c r="AO30" s="3632">
        <f ca="1">AN30*10000/Q30</f>
        <v>3220.4558421590964</v>
      </c>
      <c r="AP30" s="3262">
        <f ca="1">ROUND($AP$4*R30/$AP$2,1)</f>
        <v>9911.7000000000007</v>
      </c>
    </row>
    <row r="31" spans="1:44" ht="15.6">
      <c r="A31" s="3373"/>
      <c r="B31" s="3369"/>
      <c r="C31" s="3369"/>
      <c r="D31" s="3370"/>
      <c r="E31" s="3255">
        <v>572.02</v>
      </c>
      <c r="F31" s="3254" t="s">
        <v>3181</v>
      </c>
      <c r="G31" s="3255" t="s">
        <v>70</v>
      </c>
      <c r="H31" s="3255" t="s">
        <v>70</v>
      </c>
      <c r="N31" s="3373"/>
      <c r="O31" s="3369"/>
      <c r="P31" s="3369"/>
      <c r="Q31" s="3370"/>
      <c r="R31" s="3634">
        <v>572.02</v>
      </c>
      <c r="S31" s="3254" t="s">
        <v>3181</v>
      </c>
      <c r="T31" s="3255" t="s">
        <v>70</v>
      </c>
      <c r="U31" s="3255" t="s">
        <v>70</v>
      </c>
      <c r="V31" s="3273">
        <f ca="1">ROUND((T30+R31)*$Z$9/10000,0)</f>
        <v>604</v>
      </c>
      <c r="W31" s="3273">
        <v>686</v>
      </c>
      <c r="X31" s="3262">
        <f ca="1">V30+V31</f>
        <v>22061</v>
      </c>
      <c r="AK31" s="3639"/>
      <c r="AM31" s="3262">
        <f t="shared" ca="1" si="4"/>
        <v>3758</v>
      </c>
      <c r="AO31" s="3632"/>
    </row>
    <row r="32" spans="1:44" ht="15.6">
      <c r="A32" s="3263" t="s">
        <v>3530</v>
      </c>
      <c r="B32" s="3256" t="s">
        <v>3205</v>
      </c>
      <c r="C32" s="3257" t="s">
        <v>3206</v>
      </c>
      <c r="D32" s="3256">
        <v>7993.56</v>
      </c>
      <c r="E32" s="3256">
        <v>7993.56</v>
      </c>
      <c r="F32" s="3257" t="s">
        <v>3204</v>
      </c>
      <c r="G32" s="3256">
        <v>0</v>
      </c>
      <c r="H32" s="3256" t="s">
        <v>70</v>
      </c>
      <c r="N32" s="3263" t="s">
        <v>3530</v>
      </c>
      <c r="O32" s="3256" t="s">
        <v>3205</v>
      </c>
      <c r="P32" s="3257" t="s">
        <v>3206</v>
      </c>
      <c r="Q32" s="3256">
        <v>7993.56</v>
      </c>
      <c r="R32" s="3636">
        <v>7993.56</v>
      </c>
      <c r="S32" s="3257" t="s">
        <v>3204</v>
      </c>
      <c r="T32" s="3256">
        <v>0</v>
      </c>
      <c r="U32" s="3256" t="s">
        <v>70</v>
      </c>
      <c r="V32" s="3273">
        <f ca="1">ROUND(R32*$Z$7/10000+R32*$Z$9/10000,0)</f>
        <v>5826</v>
      </c>
      <c r="W32" s="3273"/>
      <c r="AJ32" s="3638">
        <f t="shared" ca="1" si="1"/>
        <v>5695.1</v>
      </c>
      <c r="AK32" s="3639">
        <f t="shared" ca="1" si="2"/>
        <v>7124.5851010063097</v>
      </c>
      <c r="AL32" s="3262">
        <f t="shared" ca="1" si="3"/>
        <v>3004</v>
      </c>
      <c r="AM32" s="3262">
        <f t="shared" ca="1" si="4"/>
        <v>3758</v>
      </c>
      <c r="AN32" s="3262">
        <f t="shared" ref="AN32:AN52" ca="1" si="10">AP32+AQ32+AR32</f>
        <v>2691.1</v>
      </c>
      <c r="AO32" s="3632">
        <f ca="1">AN32*10000/Q32</f>
        <v>3366.5851010063097</v>
      </c>
      <c r="AP32" s="3262">
        <f t="shared" ref="AP32:AP52" ca="1" si="11">ROUND($AP$4*R32/$AP$2,1)</f>
        <v>2691.1</v>
      </c>
    </row>
    <row r="33" spans="1:43" ht="15.6">
      <c r="A33" s="3263" t="s">
        <v>3531</v>
      </c>
      <c r="B33" s="3256" t="s">
        <v>3207</v>
      </c>
      <c r="C33" s="3257" t="s">
        <v>3208</v>
      </c>
      <c r="D33" s="3256">
        <v>4717.6899999999996</v>
      </c>
      <c r="E33" s="3256">
        <v>4717.6899999999996</v>
      </c>
      <c r="F33" s="3257" t="s">
        <v>3179</v>
      </c>
      <c r="G33" s="3256">
        <v>0</v>
      </c>
      <c r="H33" s="3257" t="s">
        <v>3179</v>
      </c>
      <c r="N33" s="3263" t="s">
        <v>3531</v>
      </c>
      <c r="O33" s="3256" t="s">
        <v>3207</v>
      </c>
      <c r="P33" s="3257" t="s">
        <v>3208</v>
      </c>
      <c r="Q33" s="3256">
        <v>4717.6899999999996</v>
      </c>
      <c r="R33" s="3636">
        <v>4717.6899999999996</v>
      </c>
      <c r="S33" s="3257" t="s">
        <v>3179</v>
      </c>
      <c r="T33" s="3256">
        <v>0</v>
      </c>
      <c r="U33" s="3257" t="s">
        <v>3179</v>
      </c>
      <c r="V33" s="3273">
        <f ca="1">ROUND(R33*$Z$7/10000+R33*$Z$9/10000,0)</f>
        <v>3438</v>
      </c>
      <c r="W33" s="3273"/>
      <c r="AJ33" s="3638">
        <f t="shared" ca="1" si="1"/>
        <v>3361.2</v>
      </c>
      <c r="AK33" s="3639">
        <f t="shared" ca="1" si="2"/>
        <v>7124.478085673285</v>
      </c>
      <c r="AL33" s="3262">
        <f t="shared" ca="1" si="3"/>
        <v>1773</v>
      </c>
      <c r="AM33" s="3262">
        <f t="shared" ca="1" si="4"/>
        <v>3758</v>
      </c>
      <c r="AN33" s="3262">
        <f t="shared" ca="1" si="10"/>
        <v>1588.2</v>
      </c>
      <c r="AO33" s="3632">
        <f t="shared" ref="AO33:AO52" ca="1" si="12">AN33*10000/Q33</f>
        <v>3366.4780856732855</v>
      </c>
      <c r="AP33" s="3262">
        <f t="shared" ca="1" si="11"/>
        <v>1588.2</v>
      </c>
    </row>
    <row r="34" spans="1:43" ht="15.6">
      <c r="A34" s="3263" t="s">
        <v>3533</v>
      </c>
      <c r="B34" s="3256" t="s">
        <v>3209</v>
      </c>
      <c r="C34" s="3257" t="s">
        <v>3210</v>
      </c>
      <c r="D34" s="3256">
        <v>4840.3</v>
      </c>
      <c r="E34" s="3256">
        <v>4242.57</v>
      </c>
      <c r="F34" s="3257" t="s">
        <v>3179</v>
      </c>
      <c r="G34" s="3256">
        <v>597.73</v>
      </c>
      <c r="H34" s="3257" t="s">
        <v>3179</v>
      </c>
      <c r="N34" s="3263" t="s">
        <v>3533</v>
      </c>
      <c r="O34" s="3256" t="s">
        <v>3209</v>
      </c>
      <c r="P34" s="3257" t="s">
        <v>3210</v>
      </c>
      <c r="Q34" s="3256">
        <v>4840.3</v>
      </c>
      <c r="R34" s="3636">
        <v>4242.57</v>
      </c>
      <c r="S34" s="3257" t="s">
        <v>3179</v>
      </c>
      <c r="T34" s="3256">
        <v>597.73</v>
      </c>
      <c r="U34" s="3257" t="s">
        <v>3179</v>
      </c>
      <c r="V34" s="3273">
        <f ca="1">ROUND(R34*$Z$7/10000+T34*$AA$7/10000+(R34+T34)*$Z$9/10000,0)</f>
        <v>3370</v>
      </c>
      <c r="W34" s="3273"/>
      <c r="AJ34" s="3638">
        <f t="shared" ca="1" si="1"/>
        <v>3364.2</v>
      </c>
      <c r="AK34" s="3639">
        <f t="shared" ca="1" si="2"/>
        <v>6950.3641096626243</v>
      </c>
      <c r="AL34" s="3262">
        <f t="shared" ca="1" si="3"/>
        <v>1819</v>
      </c>
      <c r="AM34" s="3262">
        <f t="shared" ca="1" si="4"/>
        <v>3758</v>
      </c>
      <c r="AN34" s="3262">
        <f t="shared" ca="1" si="10"/>
        <v>1545.2</v>
      </c>
      <c r="AO34" s="3632">
        <f t="shared" ca="1" si="12"/>
        <v>3192.3641096626243</v>
      </c>
      <c r="AP34" s="3262">
        <f t="shared" ca="1" si="11"/>
        <v>1428.3</v>
      </c>
      <c r="AQ34" s="3262">
        <f t="shared" ref="AQ34:AQ52" ca="1" si="13">ROUND($AQ$4*T34/$AQ$2,1)</f>
        <v>116.9</v>
      </c>
    </row>
    <row r="35" spans="1:43" ht="15.6">
      <c r="A35" s="3263" t="s">
        <v>3534</v>
      </c>
      <c r="B35" s="3256" t="s">
        <v>3211</v>
      </c>
      <c r="C35" s="3257" t="s">
        <v>3212</v>
      </c>
      <c r="D35" s="3256">
        <v>5340.98</v>
      </c>
      <c r="E35" s="3256">
        <v>4733.1400000000003</v>
      </c>
      <c r="F35" s="3257" t="s">
        <v>3179</v>
      </c>
      <c r="G35" s="3256">
        <v>607.84</v>
      </c>
      <c r="H35" s="3257" t="s">
        <v>3179</v>
      </c>
      <c r="N35" s="3263" t="s">
        <v>3534</v>
      </c>
      <c r="O35" s="3256" t="s">
        <v>3211</v>
      </c>
      <c r="P35" s="3257" t="s">
        <v>3212</v>
      </c>
      <c r="Q35" s="3256">
        <v>5340.98</v>
      </c>
      <c r="R35" s="3636">
        <v>4733.1400000000003</v>
      </c>
      <c r="S35" s="3257" t="s">
        <v>3179</v>
      </c>
      <c r="T35" s="3256">
        <v>607.84</v>
      </c>
      <c r="U35" s="3257" t="s">
        <v>3179</v>
      </c>
      <c r="V35" s="3273">
        <f t="shared" ref="V35:V52" ca="1" si="14">ROUND(R35*$Z$7/10000+T35*$AA$7/10000+(R35+T35)*$Z$9/10000,0)</f>
        <v>3733</v>
      </c>
      <c r="W35" s="3273"/>
      <c r="AJ35" s="3638">
        <f t="shared" ca="1" si="1"/>
        <v>3719.2</v>
      </c>
      <c r="AK35" s="3639">
        <f t="shared" ca="1" si="2"/>
        <v>6963.7787147677027</v>
      </c>
      <c r="AL35" s="3262">
        <f t="shared" ca="1" si="3"/>
        <v>2007</v>
      </c>
      <c r="AM35" s="3262">
        <f t="shared" ca="1" si="4"/>
        <v>3758</v>
      </c>
      <c r="AN35" s="3262">
        <f t="shared" ca="1" si="10"/>
        <v>1712.2</v>
      </c>
      <c r="AO35" s="3632">
        <f t="shared" ca="1" si="12"/>
        <v>3205.7787147677022</v>
      </c>
      <c r="AP35" s="3262">
        <f t="shared" ca="1" si="11"/>
        <v>1593.4</v>
      </c>
      <c r="AQ35" s="3262">
        <f t="shared" ca="1" si="13"/>
        <v>118.8</v>
      </c>
    </row>
    <row r="36" spans="1:43" ht="15.6">
      <c r="A36" s="3265" t="s">
        <v>3535</v>
      </c>
      <c r="B36" s="3260" t="s">
        <v>3601</v>
      </c>
      <c r="C36" s="3261" t="s">
        <v>3602</v>
      </c>
      <c r="D36" s="3260">
        <v>4948.1099999999997</v>
      </c>
      <c r="E36" s="3260">
        <v>4248.6000000000004</v>
      </c>
      <c r="F36" s="3261" t="s">
        <v>3179</v>
      </c>
      <c r="G36" s="3260">
        <v>699.51</v>
      </c>
      <c r="H36" s="3261" t="s">
        <v>3179</v>
      </c>
      <c r="N36" s="3265" t="s">
        <v>3535</v>
      </c>
      <c r="O36" s="3260" t="s">
        <v>3601</v>
      </c>
      <c r="P36" s="3261" t="s">
        <v>3602</v>
      </c>
      <c r="Q36" s="3260">
        <v>4948.1099999999997</v>
      </c>
      <c r="R36" s="3637">
        <v>4248.6000000000004</v>
      </c>
      <c r="S36" s="3261" t="s">
        <v>3179</v>
      </c>
      <c r="T36" s="3260">
        <v>699.51</v>
      </c>
      <c r="U36" s="3261" t="s">
        <v>3179</v>
      </c>
      <c r="V36" s="3273">
        <f t="shared" ca="1" si="14"/>
        <v>3422</v>
      </c>
      <c r="W36" s="3273"/>
      <c r="AJ36" s="3638">
        <f t="shared" ca="1" si="1"/>
        <v>3426.1</v>
      </c>
      <c r="AK36" s="3639">
        <f t="shared" ca="1" si="2"/>
        <v>6925.0678299391084</v>
      </c>
      <c r="AL36" s="3262">
        <f t="shared" ca="1" si="3"/>
        <v>1859</v>
      </c>
      <c r="AM36" s="3262">
        <f t="shared" ca="1" si="4"/>
        <v>3758</v>
      </c>
      <c r="AN36" s="3262">
        <f t="shared" ca="1" si="10"/>
        <v>1567.1</v>
      </c>
      <c r="AO36" s="3632">
        <f t="shared" ca="1" si="12"/>
        <v>3167.0678299391084</v>
      </c>
      <c r="AP36" s="3262">
        <f t="shared" ca="1" si="11"/>
        <v>1430.3</v>
      </c>
      <c r="AQ36" s="3262">
        <f t="shared" ca="1" si="13"/>
        <v>136.80000000000001</v>
      </c>
    </row>
    <row r="37" spans="1:43" s="3266" customFormat="1" ht="15.6">
      <c r="A37" s="3265" t="s">
        <v>3536</v>
      </c>
      <c r="B37" s="3260" t="s">
        <v>3637</v>
      </c>
      <c r="C37" s="3261" t="s">
        <v>3603</v>
      </c>
      <c r="D37" s="3260">
        <v>3183.86</v>
      </c>
      <c r="E37" s="3260">
        <v>2478.65</v>
      </c>
      <c r="F37" s="3261" t="s">
        <v>3179</v>
      </c>
      <c r="G37" s="3260">
        <v>705.21</v>
      </c>
      <c r="H37" s="3261" t="s">
        <v>3179</v>
      </c>
      <c r="N37" s="3265" t="s">
        <v>3536</v>
      </c>
      <c r="O37" s="3260" t="s">
        <v>3637</v>
      </c>
      <c r="P37" s="3261" t="s">
        <v>3603</v>
      </c>
      <c r="Q37" s="3260">
        <v>3183.86</v>
      </c>
      <c r="R37" s="3637">
        <v>2478.65</v>
      </c>
      <c r="S37" s="3261" t="s">
        <v>3179</v>
      </c>
      <c r="T37" s="3260">
        <v>705.21</v>
      </c>
      <c r="U37" s="3261" t="s">
        <v>3179</v>
      </c>
      <c r="V37" s="3273">
        <f t="shared" ca="1" si="14"/>
        <v>2135</v>
      </c>
      <c r="W37" s="3273"/>
      <c r="AJ37" s="3638">
        <f t="shared" ca="1" si="1"/>
        <v>2168.4</v>
      </c>
      <c r="AK37" s="3639">
        <f t="shared" ca="1" si="2"/>
        <v>6812.1543912106681</v>
      </c>
      <c r="AL37" s="3262">
        <f t="shared" ca="1" si="3"/>
        <v>1196</v>
      </c>
      <c r="AM37" s="3262">
        <f t="shared" ca="1" si="4"/>
        <v>3758</v>
      </c>
      <c r="AN37" s="3262">
        <f t="shared" ca="1" si="10"/>
        <v>972.4</v>
      </c>
      <c r="AO37" s="3632">
        <f t="shared" ca="1" si="12"/>
        <v>3054.1543912106686</v>
      </c>
      <c r="AP37" s="3262">
        <f t="shared" ca="1" si="11"/>
        <v>834.5</v>
      </c>
      <c r="AQ37" s="3262">
        <f t="shared" ca="1" si="13"/>
        <v>137.9</v>
      </c>
    </row>
    <row r="38" spans="1:43" ht="15.6">
      <c r="A38" s="3265" t="s">
        <v>3537</v>
      </c>
      <c r="B38" s="3260" t="s">
        <v>3604</v>
      </c>
      <c r="C38" s="3261" t="s">
        <v>3605</v>
      </c>
      <c r="D38" s="3260">
        <v>3116.17</v>
      </c>
      <c r="E38" s="3260">
        <v>2448.34</v>
      </c>
      <c r="F38" s="3261" t="s">
        <v>3179</v>
      </c>
      <c r="G38" s="3260">
        <v>667.83</v>
      </c>
      <c r="H38" s="3261" t="s">
        <v>3179</v>
      </c>
      <c r="N38" s="3265" t="s">
        <v>3537</v>
      </c>
      <c r="O38" s="3260" t="s">
        <v>3604</v>
      </c>
      <c r="P38" s="3261" t="s">
        <v>3605</v>
      </c>
      <c r="Q38" s="3260">
        <v>3116.17</v>
      </c>
      <c r="R38" s="3637">
        <v>2448.34</v>
      </c>
      <c r="S38" s="3261" t="s">
        <v>3179</v>
      </c>
      <c r="T38" s="3260">
        <v>667.83</v>
      </c>
      <c r="U38" s="3261" t="s">
        <v>3179</v>
      </c>
      <c r="V38" s="3273">
        <f t="shared" ca="1" si="14"/>
        <v>2095</v>
      </c>
      <c r="W38" s="3273"/>
      <c r="AJ38" s="3638">
        <f t="shared" ca="1" si="1"/>
        <v>2125.8000000000002</v>
      </c>
      <c r="AK38" s="3639">
        <f t="shared" ca="1" si="2"/>
        <v>6822.0176883802869</v>
      </c>
      <c r="AL38" s="3262">
        <f t="shared" ca="1" si="3"/>
        <v>1171</v>
      </c>
      <c r="AM38" s="3262">
        <f t="shared" ca="1" si="4"/>
        <v>3758</v>
      </c>
      <c r="AN38" s="3262">
        <f t="shared" ca="1" si="10"/>
        <v>954.80000000000007</v>
      </c>
      <c r="AO38" s="3632">
        <f t="shared" ca="1" si="12"/>
        <v>3064.0176883802874</v>
      </c>
      <c r="AP38" s="3262">
        <f t="shared" ca="1" si="11"/>
        <v>824.2</v>
      </c>
      <c r="AQ38" s="3262">
        <f t="shared" ca="1" si="13"/>
        <v>130.6</v>
      </c>
    </row>
    <row r="39" spans="1:43" ht="15.6">
      <c r="A39" s="3265" t="s">
        <v>3538</v>
      </c>
      <c r="B39" s="3260" t="s">
        <v>3606</v>
      </c>
      <c r="C39" s="3261" t="s">
        <v>3607</v>
      </c>
      <c r="D39" s="3260">
        <v>3174.85</v>
      </c>
      <c r="E39" s="3260">
        <v>2478.65</v>
      </c>
      <c r="F39" s="3261" t="s">
        <v>3179</v>
      </c>
      <c r="G39" s="3260">
        <v>696.2</v>
      </c>
      <c r="H39" s="3261" t="s">
        <v>3179</v>
      </c>
      <c r="N39" s="3265" t="s">
        <v>3538</v>
      </c>
      <c r="O39" s="3260" t="s">
        <v>3606</v>
      </c>
      <c r="P39" s="3261" t="s">
        <v>3607</v>
      </c>
      <c r="Q39" s="3260">
        <v>3174.85</v>
      </c>
      <c r="R39" s="3637">
        <v>2478.65</v>
      </c>
      <c r="S39" s="3261" t="s">
        <v>3179</v>
      </c>
      <c r="T39" s="3260">
        <v>696.2</v>
      </c>
      <c r="U39" s="3261" t="s">
        <v>3179</v>
      </c>
      <c r="V39" s="3273">
        <f t="shared" ca="1" si="14"/>
        <v>2131</v>
      </c>
      <c r="W39" s="3273"/>
      <c r="AJ39" s="3638">
        <f t="shared" ca="1" si="1"/>
        <v>2163.6</v>
      </c>
      <c r="AK39" s="3639">
        <f t="shared" ca="1" si="2"/>
        <v>6815.1523064081766</v>
      </c>
      <c r="AL39" s="3262">
        <f t="shared" ca="1" si="3"/>
        <v>1193</v>
      </c>
      <c r="AM39" s="3262">
        <f t="shared" ca="1" si="4"/>
        <v>3758</v>
      </c>
      <c r="AN39" s="3262">
        <f t="shared" ca="1" si="10"/>
        <v>970.6</v>
      </c>
      <c r="AO39" s="3632">
        <f t="shared" ca="1" si="12"/>
        <v>3057.1523064081766</v>
      </c>
      <c r="AP39" s="3262">
        <f t="shared" ca="1" si="11"/>
        <v>834.5</v>
      </c>
      <c r="AQ39" s="3262">
        <f t="shared" ca="1" si="13"/>
        <v>136.1</v>
      </c>
    </row>
    <row r="40" spans="1:43" ht="15.6">
      <c r="A40" s="3265" t="s">
        <v>3539</v>
      </c>
      <c r="B40" s="3260" t="s">
        <v>3608</v>
      </c>
      <c r="C40" s="3261" t="s">
        <v>3609</v>
      </c>
      <c r="D40" s="3260">
        <v>3066.13</v>
      </c>
      <c r="E40" s="3260">
        <v>2448.34</v>
      </c>
      <c r="F40" s="3261" t="s">
        <v>3179</v>
      </c>
      <c r="G40" s="3260">
        <v>617.79</v>
      </c>
      <c r="H40" s="3261" t="s">
        <v>3179</v>
      </c>
      <c r="N40" s="3265" t="s">
        <v>3539</v>
      </c>
      <c r="O40" s="3260" t="s">
        <v>3608</v>
      </c>
      <c r="P40" s="3261" t="s">
        <v>3609</v>
      </c>
      <c r="Q40" s="3260">
        <v>3066.13</v>
      </c>
      <c r="R40" s="3637">
        <v>2448.34</v>
      </c>
      <c r="S40" s="3261" t="s">
        <v>3179</v>
      </c>
      <c r="T40" s="3260">
        <v>617.79</v>
      </c>
      <c r="U40" s="3261" t="s">
        <v>3179</v>
      </c>
      <c r="V40" s="3273">
        <f t="shared" ca="1" si="14"/>
        <v>2072</v>
      </c>
      <c r="W40" s="3273"/>
      <c r="AJ40" s="3638">
        <f t="shared" ca="1" si="1"/>
        <v>2097</v>
      </c>
      <c r="AK40" s="3639">
        <f t="shared" ca="1" si="2"/>
        <v>6840.061099822904</v>
      </c>
      <c r="AL40" s="3262">
        <f t="shared" ca="1" si="3"/>
        <v>1152</v>
      </c>
      <c r="AM40" s="3262">
        <f t="shared" ca="1" si="4"/>
        <v>3758</v>
      </c>
      <c r="AN40" s="3262">
        <f t="shared" ca="1" si="10"/>
        <v>945</v>
      </c>
      <c r="AO40" s="3632">
        <f t="shared" ca="1" si="12"/>
        <v>3082.0610998229035</v>
      </c>
      <c r="AP40" s="3262">
        <f t="shared" ca="1" si="11"/>
        <v>824.2</v>
      </c>
      <c r="AQ40" s="3262">
        <f t="shared" ca="1" si="13"/>
        <v>120.8</v>
      </c>
    </row>
    <row r="41" spans="1:43" ht="15.6">
      <c r="A41" s="3265" t="s">
        <v>3540</v>
      </c>
      <c r="B41" s="3260" t="s">
        <v>3610</v>
      </c>
      <c r="C41" s="3261" t="s">
        <v>3611</v>
      </c>
      <c r="D41" s="3260">
        <v>2961.87</v>
      </c>
      <c r="E41" s="3260">
        <v>2478.65</v>
      </c>
      <c r="F41" s="3261" t="s">
        <v>3179</v>
      </c>
      <c r="G41" s="3260">
        <v>483.22</v>
      </c>
      <c r="H41" s="3261" t="s">
        <v>3179</v>
      </c>
      <c r="N41" s="3265" t="s">
        <v>3540</v>
      </c>
      <c r="O41" s="3260" t="s">
        <v>3610</v>
      </c>
      <c r="P41" s="3261" t="s">
        <v>3611</v>
      </c>
      <c r="Q41" s="3260">
        <v>2961.87</v>
      </c>
      <c r="R41" s="3637">
        <v>2478.65</v>
      </c>
      <c r="S41" s="3261" t="s">
        <v>3179</v>
      </c>
      <c r="T41" s="3260">
        <v>483.22</v>
      </c>
      <c r="U41" s="3261" t="s">
        <v>3179</v>
      </c>
      <c r="V41" s="3273">
        <f t="shared" ca="1" si="14"/>
        <v>2032</v>
      </c>
      <c r="W41" s="3273"/>
      <c r="AJ41" s="3638">
        <f t="shared" ca="1" si="1"/>
        <v>2042</v>
      </c>
      <c r="AK41" s="3639">
        <f t="shared" ca="1" si="2"/>
        <v>6894.5319882371605</v>
      </c>
      <c r="AL41" s="3262">
        <f t="shared" ca="1" si="3"/>
        <v>1113</v>
      </c>
      <c r="AM41" s="3262">
        <f t="shared" ca="1" si="4"/>
        <v>3758</v>
      </c>
      <c r="AN41" s="3262">
        <f t="shared" ca="1" si="10"/>
        <v>929</v>
      </c>
      <c r="AO41" s="3632">
        <f t="shared" ca="1" si="12"/>
        <v>3136.5319882371609</v>
      </c>
      <c r="AP41" s="3262">
        <f t="shared" ca="1" si="11"/>
        <v>834.5</v>
      </c>
      <c r="AQ41" s="3262">
        <f t="shared" ca="1" si="13"/>
        <v>94.5</v>
      </c>
    </row>
    <row r="42" spans="1:43" ht="15.6">
      <c r="A42" s="3265" t="s">
        <v>3541</v>
      </c>
      <c r="B42" s="3260" t="s">
        <v>3612</v>
      </c>
      <c r="C42" s="3261" t="s">
        <v>3613</v>
      </c>
      <c r="D42" s="3260">
        <v>5232.26</v>
      </c>
      <c r="E42" s="3260">
        <v>4632.58</v>
      </c>
      <c r="F42" s="3261" t="s">
        <v>3179</v>
      </c>
      <c r="G42" s="3260">
        <v>599.67999999999995</v>
      </c>
      <c r="H42" s="3261" t="s">
        <v>3179</v>
      </c>
      <c r="N42" s="3265" t="s">
        <v>3541</v>
      </c>
      <c r="O42" s="3260" t="s">
        <v>3612</v>
      </c>
      <c r="P42" s="3261" t="s">
        <v>3613</v>
      </c>
      <c r="Q42" s="3260">
        <v>5232.26</v>
      </c>
      <c r="R42" s="3637">
        <v>4632.58</v>
      </c>
      <c r="S42" s="3261" t="s">
        <v>3179</v>
      </c>
      <c r="T42" s="3260">
        <v>599.67999999999995</v>
      </c>
      <c r="U42" s="3261" t="s">
        <v>3179</v>
      </c>
      <c r="V42" s="3273">
        <f t="shared" ca="1" si="14"/>
        <v>3656</v>
      </c>
      <c r="W42" s="3273"/>
      <c r="AJ42" s="3638">
        <f t="shared" ca="1" si="1"/>
        <v>3642.8</v>
      </c>
      <c r="AK42" s="3639">
        <f t="shared" ca="1" si="2"/>
        <v>6962.7337097162599</v>
      </c>
      <c r="AL42" s="3262">
        <f t="shared" ca="1" si="3"/>
        <v>1966</v>
      </c>
      <c r="AM42" s="3262">
        <f t="shared" ca="1" si="4"/>
        <v>3758</v>
      </c>
      <c r="AN42" s="3262">
        <f t="shared" ca="1" si="10"/>
        <v>1676.8</v>
      </c>
      <c r="AO42" s="3632">
        <f t="shared" ca="1" si="12"/>
        <v>3204.7337097162604</v>
      </c>
      <c r="AP42" s="3262">
        <f t="shared" ca="1" si="11"/>
        <v>1559.6</v>
      </c>
      <c r="AQ42" s="3262">
        <f t="shared" ca="1" si="13"/>
        <v>117.2</v>
      </c>
    </row>
    <row r="43" spans="1:43" ht="15.6">
      <c r="A43" s="3265" t="s">
        <v>3542</v>
      </c>
      <c r="B43" s="3260" t="s">
        <v>3614</v>
      </c>
      <c r="C43" s="3261" t="s">
        <v>3615</v>
      </c>
      <c r="D43" s="3260">
        <v>2973.32</v>
      </c>
      <c r="E43" s="3260">
        <v>2478.65</v>
      </c>
      <c r="F43" s="3261" t="s">
        <v>3179</v>
      </c>
      <c r="G43" s="3260">
        <v>494.67</v>
      </c>
      <c r="H43" s="3261" t="s">
        <v>3179</v>
      </c>
      <c r="N43" s="3265" t="s">
        <v>3542</v>
      </c>
      <c r="O43" s="3260" t="s">
        <v>3614</v>
      </c>
      <c r="P43" s="3261" t="s">
        <v>3615</v>
      </c>
      <c r="Q43" s="3260">
        <v>2973.32</v>
      </c>
      <c r="R43" s="3637">
        <v>2478.65</v>
      </c>
      <c r="S43" s="3261" t="s">
        <v>3179</v>
      </c>
      <c r="T43" s="3260">
        <v>494.67</v>
      </c>
      <c r="U43" s="3261" t="s">
        <v>3179</v>
      </c>
      <c r="V43" s="3273">
        <f t="shared" ca="1" si="14"/>
        <v>2037</v>
      </c>
      <c r="W43" s="3273"/>
      <c r="AJ43" s="3638">
        <f t="shared" ca="1" si="1"/>
        <v>2048.1999999999998</v>
      </c>
      <c r="AK43" s="3639">
        <f t="shared" ca="1" si="2"/>
        <v>6889.8526092045249</v>
      </c>
      <c r="AL43" s="3262">
        <f t="shared" ca="1" si="3"/>
        <v>1117</v>
      </c>
      <c r="AM43" s="3262">
        <f t="shared" ca="1" si="4"/>
        <v>3758</v>
      </c>
      <c r="AN43" s="3262">
        <f t="shared" ca="1" si="10"/>
        <v>931.2</v>
      </c>
      <c r="AO43" s="3632">
        <f t="shared" ca="1" si="12"/>
        <v>3131.8526092045254</v>
      </c>
      <c r="AP43" s="3262">
        <f t="shared" ca="1" si="11"/>
        <v>834.5</v>
      </c>
      <c r="AQ43" s="3262">
        <f t="shared" ca="1" si="13"/>
        <v>96.7</v>
      </c>
    </row>
    <row r="44" spans="1:43" ht="15.6">
      <c r="A44" s="3265" t="s">
        <v>3543</v>
      </c>
      <c r="B44" s="3260" t="s">
        <v>3616</v>
      </c>
      <c r="C44" s="3261" t="s">
        <v>3617</v>
      </c>
      <c r="D44" s="3260">
        <v>3090.4</v>
      </c>
      <c r="E44" s="3260">
        <v>2478.65</v>
      </c>
      <c r="F44" s="3261" t="s">
        <v>3179</v>
      </c>
      <c r="G44" s="3260">
        <v>611.75</v>
      </c>
      <c r="H44" s="3261" t="s">
        <v>3179</v>
      </c>
      <c r="N44" s="3265" t="s">
        <v>3543</v>
      </c>
      <c r="O44" s="3260" t="s">
        <v>3616</v>
      </c>
      <c r="P44" s="3261" t="s">
        <v>3617</v>
      </c>
      <c r="Q44" s="3260">
        <v>3090.4</v>
      </c>
      <c r="R44" s="3637">
        <v>2478.65</v>
      </c>
      <c r="S44" s="3261" t="s">
        <v>3179</v>
      </c>
      <c r="T44" s="3260">
        <v>611.75</v>
      </c>
      <c r="U44" s="3261" t="s">
        <v>3179</v>
      </c>
      <c r="V44" s="3273">
        <f t="shared" ca="1" si="14"/>
        <v>2091</v>
      </c>
      <c r="W44" s="3273"/>
      <c r="AJ44" s="3638">
        <f t="shared" ca="1" si="1"/>
        <v>2115.1</v>
      </c>
      <c r="AK44" s="3639">
        <f t="shared" ca="1" si="2"/>
        <v>6845.3026145482781</v>
      </c>
      <c r="AL44" s="3262">
        <f t="shared" ca="1" si="3"/>
        <v>1161</v>
      </c>
      <c r="AM44" s="3262">
        <f t="shared" ca="1" si="4"/>
        <v>3758</v>
      </c>
      <c r="AN44" s="3262">
        <f t="shared" ca="1" si="10"/>
        <v>954.1</v>
      </c>
      <c r="AO44" s="3632">
        <f t="shared" ca="1" si="12"/>
        <v>3087.3026145482786</v>
      </c>
      <c r="AP44" s="3262">
        <f t="shared" ca="1" si="11"/>
        <v>834.5</v>
      </c>
      <c r="AQ44" s="3262">
        <f t="shared" ca="1" si="13"/>
        <v>119.6</v>
      </c>
    </row>
    <row r="45" spans="1:43" ht="15.6">
      <c r="A45" s="3265" t="s">
        <v>3544</v>
      </c>
      <c r="B45" s="3260" t="s">
        <v>3618</v>
      </c>
      <c r="C45" s="3261" t="s">
        <v>3619</v>
      </c>
      <c r="D45" s="3260">
        <v>3054.31</v>
      </c>
      <c r="E45" s="3260">
        <v>2448.34</v>
      </c>
      <c r="F45" s="3261" t="s">
        <v>3179</v>
      </c>
      <c r="G45" s="3260">
        <v>605.97</v>
      </c>
      <c r="H45" s="3261" t="s">
        <v>3179</v>
      </c>
      <c r="N45" s="3265" t="s">
        <v>3544</v>
      </c>
      <c r="O45" s="3260" t="s">
        <v>3618</v>
      </c>
      <c r="P45" s="3261" t="s">
        <v>3619</v>
      </c>
      <c r="Q45" s="3260">
        <v>3054.31</v>
      </c>
      <c r="R45" s="3637">
        <v>2448.34</v>
      </c>
      <c r="S45" s="3261" t="s">
        <v>3179</v>
      </c>
      <c r="T45" s="3260">
        <v>605.97</v>
      </c>
      <c r="U45" s="3261" t="s">
        <v>3179</v>
      </c>
      <c r="V45" s="3273">
        <f t="shared" ca="1" si="14"/>
        <v>2067</v>
      </c>
      <c r="W45" s="3273"/>
      <c r="AJ45" s="3638">
        <f t="shared" ca="1" si="1"/>
        <v>2090.6999999999998</v>
      </c>
      <c r="AK45" s="3639">
        <f t="shared" ca="1" si="2"/>
        <v>6844.4581525778322</v>
      </c>
      <c r="AL45" s="3262">
        <f t="shared" ca="1" si="3"/>
        <v>1148</v>
      </c>
      <c r="AM45" s="3262">
        <f t="shared" ca="1" si="4"/>
        <v>3758</v>
      </c>
      <c r="AN45" s="3262">
        <f t="shared" ca="1" si="10"/>
        <v>942.7</v>
      </c>
      <c r="AO45" s="3632">
        <f t="shared" ca="1" si="12"/>
        <v>3086.4581525778326</v>
      </c>
      <c r="AP45" s="3262">
        <f t="shared" ca="1" si="11"/>
        <v>824.2</v>
      </c>
      <c r="AQ45" s="3262">
        <f t="shared" ca="1" si="13"/>
        <v>118.5</v>
      </c>
    </row>
    <row r="46" spans="1:43" ht="15.6">
      <c r="A46" s="3265" t="s">
        <v>3545</v>
      </c>
      <c r="B46" s="3260" t="s">
        <v>3620</v>
      </c>
      <c r="C46" s="3261" t="s">
        <v>3621</v>
      </c>
      <c r="D46" s="3260">
        <v>4939.6499999999996</v>
      </c>
      <c r="E46" s="3260">
        <v>4269.8100000000004</v>
      </c>
      <c r="F46" s="3261" t="s">
        <v>3179</v>
      </c>
      <c r="G46" s="3260">
        <v>669.84</v>
      </c>
      <c r="H46" s="3261" t="s">
        <v>3179</v>
      </c>
      <c r="N46" s="3265" t="s">
        <v>3545</v>
      </c>
      <c r="O46" s="3260" t="s">
        <v>3620</v>
      </c>
      <c r="P46" s="3261" t="s">
        <v>3621</v>
      </c>
      <c r="Q46" s="3260">
        <v>4939.6499999999996</v>
      </c>
      <c r="R46" s="3637">
        <v>4269.8100000000004</v>
      </c>
      <c r="S46" s="3261" t="s">
        <v>3179</v>
      </c>
      <c r="T46" s="3260">
        <v>669.84</v>
      </c>
      <c r="U46" s="3261" t="s">
        <v>3179</v>
      </c>
      <c r="V46" s="3273">
        <f t="shared" ca="1" si="14"/>
        <v>3424</v>
      </c>
      <c r="W46" s="3273"/>
      <c r="AJ46" s="3638">
        <f t="shared" ca="1" si="1"/>
        <v>3424.5</v>
      </c>
      <c r="AK46" s="3639">
        <f t="shared" ca="1" si="2"/>
        <v>6933.3261870780316</v>
      </c>
      <c r="AL46" s="3262">
        <f t="shared" ca="1" si="3"/>
        <v>1856</v>
      </c>
      <c r="AM46" s="3262">
        <f t="shared" ca="1" si="4"/>
        <v>3758</v>
      </c>
      <c r="AN46" s="3262">
        <f t="shared" ca="1" si="10"/>
        <v>1568.5</v>
      </c>
      <c r="AO46" s="3632">
        <f t="shared" ca="1" si="12"/>
        <v>3175.326187078032</v>
      </c>
      <c r="AP46" s="3262">
        <f t="shared" ca="1" si="11"/>
        <v>1437.5</v>
      </c>
      <c r="AQ46" s="3262">
        <f t="shared" ca="1" si="13"/>
        <v>131</v>
      </c>
    </row>
    <row r="47" spans="1:43" s="3266" customFormat="1" ht="15.6">
      <c r="A47" s="3265" t="s">
        <v>3546</v>
      </c>
      <c r="B47" s="3260" t="s">
        <v>3638</v>
      </c>
      <c r="C47" s="3261" t="s">
        <v>3639</v>
      </c>
      <c r="D47" s="3260">
        <v>3035.85</v>
      </c>
      <c r="E47" s="3260">
        <v>2478.65</v>
      </c>
      <c r="F47" s="3261" t="s">
        <v>3179</v>
      </c>
      <c r="G47" s="3260">
        <v>557.20000000000005</v>
      </c>
      <c r="H47" s="3261" t="s">
        <v>3179</v>
      </c>
      <c r="N47" s="3265" t="s">
        <v>3546</v>
      </c>
      <c r="O47" s="3260" t="s">
        <v>3638</v>
      </c>
      <c r="P47" s="3261" t="s">
        <v>3639</v>
      </c>
      <c r="Q47" s="3260">
        <v>3035.85</v>
      </c>
      <c r="R47" s="3637">
        <v>2478.65</v>
      </c>
      <c r="S47" s="3261" t="s">
        <v>3179</v>
      </c>
      <c r="T47" s="3260">
        <v>557.20000000000005</v>
      </c>
      <c r="U47" s="3261" t="s">
        <v>3179</v>
      </c>
      <c r="V47" s="3273">
        <f t="shared" ca="1" si="14"/>
        <v>2066</v>
      </c>
      <c r="W47" s="3273"/>
      <c r="AJ47" s="3638">
        <f t="shared" ca="1" si="1"/>
        <v>2084.4</v>
      </c>
      <c r="AK47" s="3639">
        <f t="shared" ca="1" si="2"/>
        <v>6865.5316632903468</v>
      </c>
      <c r="AL47" s="3262">
        <f t="shared" ca="1" si="3"/>
        <v>1141</v>
      </c>
      <c r="AM47" s="3262">
        <f t="shared" ca="1" si="4"/>
        <v>3758</v>
      </c>
      <c r="AN47" s="3262">
        <f t="shared" ca="1" si="10"/>
        <v>943.4</v>
      </c>
      <c r="AO47" s="3632">
        <f t="shared" ca="1" si="12"/>
        <v>3107.5316632903473</v>
      </c>
      <c r="AP47" s="3262">
        <f t="shared" ca="1" si="11"/>
        <v>834.5</v>
      </c>
      <c r="AQ47" s="3262">
        <f t="shared" ca="1" si="13"/>
        <v>108.9</v>
      </c>
    </row>
    <row r="48" spans="1:43" ht="15.6">
      <c r="A48" s="3265" t="s">
        <v>3547</v>
      </c>
      <c r="B48" s="3260" t="s">
        <v>3622</v>
      </c>
      <c r="C48" s="3261" t="s">
        <v>3623</v>
      </c>
      <c r="D48" s="3260">
        <v>2920.62</v>
      </c>
      <c r="E48" s="3260">
        <v>2448.34</v>
      </c>
      <c r="F48" s="3261" t="s">
        <v>3179</v>
      </c>
      <c r="G48" s="3260">
        <v>472.28</v>
      </c>
      <c r="H48" s="3261" t="s">
        <v>3179</v>
      </c>
      <c r="N48" s="3265" t="s">
        <v>3547</v>
      </c>
      <c r="O48" s="3260" t="s">
        <v>3622</v>
      </c>
      <c r="P48" s="3261" t="s">
        <v>3623</v>
      </c>
      <c r="Q48" s="3260">
        <v>2920.62</v>
      </c>
      <c r="R48" s="3637">
        <v>2448.34</v>
      </c>
      <c r="S48" s="3261" t="s">
        <v>3179</v>
      </c>
      <c r="T48" s="3260">
        <v>472.28</v>
      </c>
      <c r="U48" s="3261" t="s">
        <v>3179</v>
      </c>
      <c r="V48" s="3273">
        <f t="shared" ca="1" si="14"/>
        <v>2004</v>
      </c>
      <c r="W48" s="3273"/>
      <c r="AJ48" s="3638">
        <f t="shared" ca="1" si="1"/>
        <v>2014.5</v>
      </c>
      <c r="AK48" s="3639">
        <f t="shared" ca="1" si="2"/>
        <v>6896.0323355999753</v>
      </c>
      <c r="AL48" s="3262">
        <f t="shared" ca="1" si="3"/>
        <v>1098</v>
      </c>
      <c r="AM48" s="3262">
        <f t="shared" ca="1" si="4"/>
        <v>3758</v>
      </c>
      <c r="AN48" s="3262">
        <f t="shared" ca="1" si="10"/>
        <v>916.5</v>
      </c>
      <c r="AO48" s="3632">
        <f t="shared" ca="1" si="12"/>
        <v>3138.0323355999753</v>
      </c>
      <c r="AP48" s="3262">
        <f t="shared" ca="1" si="11"/>
        <v>824.2</v>
      </c>
      <c r="AQ48" s="3262">
        <f t="shared" ca="1" si="13"/>
        <v>92.3</v>
      </c>
    </row>
    <row r="49" spans="1:44" s="3266" customFormat="1" ht="15.6">
      <c r="A49" s="3265" t="s">
        <v>3548</v>
      </c>
      <c r="B49" s="3260" t="s">
        <v>3549</v>
      </c>
      <c r="C49" s="3261" t="s">
        <v>3624</v>
      </c>
      <c r="D49" s="3260">
        <v>3255.41</v>
      </c>
      <c r="E49" s="3260">
        <v>2478.65</v>
      </c>
      <c r="F49" s="3261" t="s">
        <v>3179</v>
      </c>
      <c r="G49" s="3260">
        <v>776.76</v>
      </c>
      <c r="H49" s="3261" t="s">
        <v>3179</v>
      </c>
      <c r="N49" s="3265" t="s">
        <v>3548</v>
      </c>
      <c r="O49" s="3260" t="s">
        <v>3549</v>
      </c>
      <c r="P49" s="3261" t="s">
        <v>3624</v>
      </c>
      <c r="Q49" s="3260">
        <v>3255.41</v>
      </c>
      <c r="R49" s="3637">
        <v>2478.65</v>
      </c>
      <c r="S49" s="3261" t="s">
        <v>3179</v>
      </c>
      <c r="T49" s="3260">
        <v>776.76</v>
      </c>
      <c r="U49" s="3261" t="s">
        <v>3179</v>
      </c>
      <c r="V49" s="3273">
        <f t="shared" ca="1" si="14"/>
        <v>2168</v>
      </c>
      <c r="W49" s="3273"/>
      <c r="AJ49" s="3638">
        <f t="shared" ca="1" si="1"/>
        <v>2209.4</v>
      </c>
      <c r="AK49" s="3639">
        <f t="shared" ca="1" si="2"/>
        <v>6788.0330833904181</v>
      </c>
      <c r="AL49" s="3262">
        <f t="shared" ca="1" si="3"/>
        <v>1223</v>
      </c>
      <c r="AM49" s="3262">
        <f t="shared" ca="1" si="4"/>
        <v>3758</v>
      </c>
      <c r="AN49" s="3262">
        <f t="shared" ca="1" si="10"/>
        <v>986.4</v>
      </c>
      <c r="AO49" s="3632">
        <f t="shared" ca="1" si="12"/>
        <v>3030.0330833904181</v>
      </c>
      <c r="AP49" s="3262">
        <f t="shared" ca="1" si="11"/>
        <v>834.5</v>
      </c>
      <c r="AQ49" s="3262">
        <f t="shared" ca="1" si="13"/>
        <v>151.9</v>
      </c>
    </row>
    <row r="50" spans="1:44" s="3266" customFormat="1" ht="15.6">
      <c r="A50" s="3265" t="s">
        <v>3550</v>
      </c>
      <c r="B50" s="3260" t="s">
        <v>3625</v>
      </c>
      <c r="C50" s="3261" t="s">
        <v>3626</v>
      </c>
      <c r="D50" s="3260">
        <v>2995.3</v>
      </c>
      <c r="E50" s="3260">
        <v>2478.65</v>
      </c>
      <c r="F50" s="3261" t="s">
        <v>3179</v>
      </c>
      <c r="G50" s="3260">
        <v>516.65</v>
      </c>
      <c r="H50" s="3261" t="s">
        <v>3179</v>
      </c>
      <c r="N50" s="3265" t="s">
        <v>3550</v>
      </c>
      <c r="O50" s="3260" t="s">
        <v>3625</v>
      </c>
      <c r="P50" s="3261" t="s">
        <v>3626</v>
      </c>
      <c r="Q50" s="3260">
        <v>2995.3</v>
      </c>
      <c r="R50" s="3637">
        <v>2478.65</v>
      </c>
      <c r="S50" s="3261" t="s">
        <v>3179</v>
      </c>
      <c r="T50" s="3260">
        <v>516.65</v>
      </c>
      <c r="U50" s="3261" t="s">
        <v>3179</v>
      </c>
      <c r="V50" s="3273">
        <f t="shared" ca="1" si="14"/>
        <v>2047</v>
      </c>
      <c r="W50" s="3273"/>
      <c r="AJ50" s="3638">
        <f t="shared" ca="1" si="1"/>
        <v>2061.5</v>
      </c>
      <c r="AK50" s="3639">
        <f t="shared" ca="1" si="2"/>
        <v>6881.226388007879</v>
      </c>
      <c r="AL50" s="3262">
        <f t="shared" ca="1" si="3"/>
        <v>1126</v>
      </c>
      <c r="AM50" s="3262">
        <f t="shared" ca="1" si="4"/>
        <v>3758</v>
      </c>
      <c r="AN50" s="3262">
        <f t="shared" ca="1" si="10"/>
        <v>935.5</v>
      </c>
      <c r="AO50" s="3632">
        <f t="shared" ca="1" si="12"/>
        <v>3123.226388007879</v>
      </c>
      <c r="AP50" s="3262">
        <f t="shared" ca="1" si="11"/>
        <v>834.5</v>
      </c>
      <c r="AQ50" s="3262">
        <f t="shared" ca="1" si="13"/>
        <v>101</v>
      </c>
    </row>
    <row r="51" spans="1:44" ht="15.6">
      <c r="A51" s="3265" t="s">
        <v>3551</v>
      </c>
      <c r="B51" s="3260" t="s">
        <v>3627</v>
      </c>
      <c r="C51" s="3261" t="s">
        <v>3628</v>
      </c>
      <c r="D51" s="3260">
        <v>3222.57</v>
      </c>
      <c r="E51" s="3260">
        <v>2478.65</v>
      </c>
      <c r="F51" s="3261" t="s">
        <v>3179</v>
      </c>
      <c r="G51" s="3260">
        <v>743.92</v>
      </c>
      <c r="H51" s="3261" t="s">
        <v>3179</v>
      </c>
      <c r="N51" s="3265" t="s">
        <v>3551</v>
      </c>
      <c r="O51" s="3260" t="s">
        <v>3627</v>
      </c>
      <c r="P51" s="3261" t="s">
        <v>3628</v>
      </c>
      <c r="Q51" s="3260">
        <v>3222.57</v>
      </c>
      <c r="R51" s="3637">
        <v>2478.65</v>
      </c>
      <c r="S51" s="3261" t="s">
        <v>3179</v>
      </c>
      <c r="T51" s="3260">
        <v>743.92</v>
      </c>
      <c r="U51" s="3261" t="s">
        <v>3179</v>
      </c>
      <c r="V51" s="3273">
        <f t="shared" ca="1" si="14"/>
        <v>2153</v>
      </c>
      <c r="W51" s="3273"/>
      <c r="AJ51" s="3638">
        <f t="shared" ca="1" si="1"/>
        <v>2190.9</v>
      </c>
      <c r="AK51" s="3639">
        <f t="shared" ca="1" si="2"/>
        <v>6798.7407752197778</v>
      </c>
      <c r="AL51" s="3262">
        <f t="shared" ca="1" si="3"/>
        <v>1211</v>
      </c>
      <c r="AM51" s="3262">
        <f t="shared" ca="1" si="4"/>
        <v>3758</v>
      </c>
      <c r="AN51" s="3262">
        <f t="shared" ca="1" si="10"/>
        <v>979.9</v>
      </c>
      <c r="AO51" s="3632">
        <f t="shared" ca="1" si="12"/>
        <v>3040.7407752197778</v>
      </c>
      <c r="AP51" s="3262">
        <f t="shared" ca="1" si="11"/>
        <v>834.5</v>
      </c>
      <c r="AQ51" s="3262">
        <f t="shared" ca="1" si="13"/>
        <v>145.4</v>
      </c>
    </row>
    <row r="52" spans="1:44" ht="15.6">
      <c r="A52" s="3265" t="s">
        <v>3552</v>
      </c>
      <c r="B52" s="3260" t="s">
        <v>3629</v>
      </c>
      <c r="C52" s="3261" t="s">
        <v>3630</v>
      </c>
      <c r="D52" s="3260">
        <v>5273.65</v>
      </c>
      <c r="E52" s="3260">
        <v>4294.3999999999996</v>
      </c>
      <c r="F52" s="3261" t="s">
        <v>3179</v>
      </c>
      <c r="G52" s="3260">
        <v>979.25</v>
      </c>
      <c r="H52" s="3261" t="s">
        <v>3179</v>
      </c>
      <c r="N52" s="3265" t="s">
        <v>3552</v>
      </c>
      <c r="O52" s="3260" t="s">
        <v>3629</v>
      </c>
      <c r="P52" s="3261" t="s">
        <v>3630</v>
      </c>
      <c r="Q52" s="3260">
        <v>5273.65</v>
      </c>
      <c r="R52" s="3637">
        <v>4294.3999999999996</v>
      </c>
      <c r="S52" s="3261" t="s">
        <v>3179</v>
      </c>
      <c r="T52" s="3260">
        <v>979.25</v>
      </c>
      <c r="U52" s="3261" t="s">
        <v>3179</v>
      </c>
      <c r="V52" s="3273">
        <f t="shared" ca="1" si="14"/>
        <v>3586</v>
      </c>
      <c r="W52" s="3273"/>
      <c r="AJ52" s="3638">
        <f t="shared" ca="1" si="1"/>
        <v>3619.2</v>
      </c>
      <c r="AK52" s="3639">
        <f t="shared" ca="1" si="2"/>
        <v>6862.4911967991811</v>
      </c>
      <c r="AL52" s="3262">
        <f t="shared" ca="1" si="3"/>
        <v>1982</v>
      </c>
      <c r="AM52" s="3262">
        <f t="shared" ca="1" si="4"/>
        <v>3758</v>
      </c>
      <c r="AN52" s="3262">
        <f t="shared" ca="1" si="10"/>
        <v>1637.2</v>
      </c>
      <c r="AO52" s="3632">
        <f t="shared" ca="1" si="12"/>
        <v>3104.4911967991811</v>
      </c>
      <c r="AP52" s="3262">
        <f t="shared" ca="1" si="11"/>
        <v>1445.7</v>
      </c>
      <c r="AQ52" s="3262">
        <f t="shared" ca="1" si="13"/>
        <v>191.5</v>
      </c>
    </row>
    <row r="53" spans="1:44" ht="15.6">
      <c r="A53" s="3265" t="s">
        <v>3553</v>
      </c>
      <c r="B53" s="3260" t="s">
        <v>3640</v>
      </c>
      <c r="C53" s="3261" t="s">
        <v>3631</v>
      </c>
      <c r="D53" s="3260">
        <v>302.77</v>
      </c>
      <c r="E53" s="3260">
        <v>302.77</v>
      </c>
      <c r="F53" s="3261" t="s">
        <v>3527</v>
      </c>
      <c r="G53" s="3260" t="s">
        <v>3528</v>
      </c>
      <c r="H53" s="3261" t="s">
        <v>3528</v>
      </c>
      <c r="N53" s="3372" t="s">
        <v>3554</v>
      </c>
      <c r="O53" s="3374" t="s">
        <v>3213</v>
      </c>
      <c r="P53" s="3374" t="s">
        <v>3632</v>
      </c>
      <c r="Q53" s="3368">
        <v>11456.18</v>
      </c>
      <c r="R53" s="3637">
        <v>0</v>
      </c>
      <c r="S53" s="3260" t="s">
        <v>70</v>
      </c>
      <c r="T53" s="3260">
        <v>10296.879999999999</v>
      </c>
      <c r="U53" s="3261" t="s">
        <v>48</v>
      </c>
      <c r="V53" s="3273">
        <f ca="1">ROUND(T53*$AB$7/10000+T53*$Z$9/10000,0)</f>
        <v>4726</v>
      </c>
      <c r="W53" s="3273"/>
      <c r="AJ53" s="3638">
        <f t="shared" ca="1" si="1"/>
        <v>5454.9</v>
      </c>
      <c r="AK53" s="3639">
        <f t="shared" ca="1" si="2"/>
        <v>4761.7377206014571</v>
      </c>
      <c r="AL53" s="3262">
        <f t="shared" ca="1" si="3"/>
        <v>4305</v>
      </c>
      <c r="AM53" s="3262">
        <f t="shared" ca="1" si="4"/>
        <v>3758</v>
      </c>
      <c r="AN53" s="3262">
        <f ca="1">SUM(AP53:AR54)</f>
        <v>1149.9000000000001</v>
      </c>
      <c r="AO53" s="3632">
        <f ca="1">AN53*10000/Q53</f>
        <v>1003.737720601457</v>
      </c>
      <c r="AR53" s="3262">
        <f ca="1">ROUND($AR$4*T53/$AR$2,1)</f>
        <v>1149.9000000000001</v>
      </c>
    </row>
    <row r="54" spans="1:44" ht="15.6">
      <c r="A54" s="3372" t="s">
        <v>3554</v>
      </c>
      <c r="B54" s="3374" t="s">
        <v>3213</v>
      </c>
      <c r="C54" s="3374" t="s">
        <v>3632</v>
      </c>
      <c r="D54" s="3368">
        <v>11456.18</v>
      </c>
      <c r="E54" s="3260">
        <v>0</v>
      </c>
      <c r="F54" s="3260" t="s">
        <v>70</v>
      </c>
      <c r="G54" s="3260">
        <v>10296.879999999999</v>
      </c>
      <c r="H54" s="3261" t="s">
        <v>48</v>
      </c>
      <c r="N54" s="3372"/>
      <c r="O54" s="3374"/>
      <c r="P54" s="3374"/>
      <c r="Q54" s="3368"/>
      <c r="R54" s="3637">
        <v>0</v>
      </c>
      <c r="S54" s="3260" t="s">
        <v>70</v>
      </c>
      <c r="T54" s="3260">
        <v>1159.3</v>
      </c>
      <c r="U54" s="3261" t="s">
        <v>3214</v>
      </c>
      <c r="V54" s="3273">
        <f ca="1">ROUND(T54*$Z$9/10000,0)</f>
        <v>524</v>
      </c>
      <c r="W54" s="3273"/>
      <c r="X54" s="3262">
        <f ca="1">V54+V53</f>
        <v>5250</v>
      </c>
      <c r="AK54" s="3639"/>
      <c r="AM54" s="3262">
        <f t="shared" ca="1" si="4"/>
        <v>3758</v>
      </c>
      <c r="AO54" s="3632"/>
    </row>
    <row r="55" spans="1:44" ht="15.6">
      <c r="A55" s="3372"/>
      <c r="B55" s="3374"/>
      <c r="C55" s="3374"/>
      <c r="D55" s="3368"/>
      <c r="E55" s="3260">
        <v>0</v>
      </c>
      <c r="F55" s="3260" t="s">
        <v>70</v>
      </c>
      <c r="G55" s="3260">
        <v>1159.3</v>
      </c>
      <c r="H55" s="3261" t="s">
        <v>3214</v>
      </c>
      <c r="N55" s="3265" t="s">
        <v>3519</v>
      </c>
      <c r="O55" s="3260" t="s">
        <v>3633</v>
      </c>
      <c r="P55" s="3261" t="s">
        <v>3634</v>
      </c>
      <c r="Q55" s="3260">
        <v>3259.07</v>
      </c>
      <c r="R55" s="3637">
        <v>2478.65</v>
      </c>
      <c r="S55" s="3261" t="s">
        <v>3179</v>
      </c>
      <c r="T55" s="3260">
        <v>780.42</v>
      </c>
      <c r="U55" s="3261" t="s">
        <v>3179</v>
      </c>
      <c r="V55" s="3273">
        <f t="shared" ref="V55:V66" ca="1" si="15">ROUND(R55*$Z$7/10000+T55*$AA$7/10000+(R55+T55)*$Z$9/10000,0)</f>
        <v>2170</v>
      </c>
      <c r="W55" s="3273"/>
      <c r="AJ55" s="3638">
        <f t="shared" ca="1" si="1"/>
        <v>2212.1</v>
      </c>
      <c r="AK55" s="3639">
        <f t="shared" ca="1" si="2"/>
        <v>6786.7781483674789</v>
      </c>
      <c r="AL55" s="3262">
        <f t="shared" ca="1" si="3"/>
        <v>1225</v>
      </c>
      <c r="AM55" s="3262">
        <f t="shared" ca="1" si="4"/>
        <v>3758</v>
      </c>
      <c r="AN55" s="3262">
        <f ca="1">AP55+AQ55+AR55</f>
        <v>987.1</v>
      </c>
      <c r="AO55" s="3632">
        <f ca="1">AN55*10000/Q55</f>
        <v>3028.7781483674789</v>
      </c>
      <c r="AP55" s="3262">
        <f t="shared" ref="AP55:AP66" ca="1" si="16">ROUND($AP$4*R55/$AP$2,1)</f>
        <v>834.5</v>
      </c>
      <c r="AQ55" s="3262">
        <f t="shared" ref="AQ55:AQ66" ca="1" si="17">ROUND($AQ$4*T55/$AQ$2,1)</f>
        <v>152.6</v>
      </c>
    </row>
    <row r="56" spans="1:44" ht="15.6">
      <c r="A56" s="3265" t="s">
        <v>3519</v>
      </c>
      <c r="B56" s="3260" t="s">
        <v>3633</v>
      </c>
      <c r="C56" s="3261" t="s">
        <v>3634</v>
      </c>
      <c r="D56" s="3260">
        <v>3259.07</v>
      </c>
      <c r="E56" s="3260">
        <v>2478.65</v>
      </c>
      <c r="F56" s="3261" t="s">
        <v>3179</v>
      </c>
      <c r="G56" s="3260">
        <v>780.42</v>
      </c>
      <c r="H56" s="3261" t="s">
        <v>3179</v>
      </c>
      <c r="I56" s="3267"/>
      <c r="N56" s="3265" t="s">
        <v>3518</v>
      </c>
      <c r="O56" s="3260" t="s">
        <v>3635</v>
      </c>
      <c r="P56" s="3261" t="s">
        <v>3636</v>
      </c>
      <c r="Q56" s="3260">
        <v>3043.91</v>
      </c>
      <c r="R56" s="3637">
        <v>2448.34</v>
      </c>
      <c r="S56" s="3261" t="s">
        <v>3179</v>
      </c>
      <c r="T56" s="3260">
        <v>595.57000000000005</v>
      </c>
      <c r="U56" s="3261" t="s">
        <v>3179</v>
      </c>
      <c r="V56" s="3273">
        <f t="shared" ca="1" si="15"/>
        <v>2062</v>
      </c>
      <c r="W56" s="3273"/>
      <c r="AJ56" s="3638">
        <f t="shared" ca="1" si="1"/>
        <v>2084.6</v>
      </c>
      <c r="AK56" s="3639">
        <f t="shared" ca="1" si="2"/>
        <v>6848.1045037468257</v>
      </c>
      <c r="AL56" s="3262">
        <f t="shared" ca="1" si="3"/>
        <v>1144</v>
      </c>
      <c r="AM56" s="3262">
        <f t="shared" ca="1" si="4"/>
        <v>3758</v>
      </c>
      <c r="AN56" s="3262">
        <f t="shared" ref="AN56:AN67" ca="1" si="18">AP56+AQ56+AR56</f>
        <v>940.6</v>
      </c>
      <c r="AO56" s="3632">
        <f t="shared" ref="AO56:AO67" ca="1" si="19">AN56*10000/Q56</f>
        <v>3090.1045037468257</v>
      </c>
      <c r="AP56" s="3262">
        <f t="shared" ca="1" si="16"/>
        <v>824.2</v>
      </c>
      <c r="AQ56" s="3262">
        <f t="shared" ca="1" si="17"/>
        <v>116.4</v>
      </c>
    </row>
    <row r="57" spans="1:44" ht="15.6">
      <c r="A57" s="3265" t="s">
        <v>3518</v>
      </c>
      <c r="B57" s="3260" t="s">
        <v>3635</v>
      </c>
      <c r="C57" s="3261" t="s">
        <v>3636</v>
      </c>
      <c r="D57" s="3260">
        <v>3043.91</v>
      </c>
      <c r="E57" s="3260">
        <v>2448.34</v>
      </c>
      <c r="F57" s="3261" t="s">
        <v>3179</v>
      </c>
      <c r="G57" s="3260">
        <v>595.57000000000005</v>
      </c>
      <c r="H57" s="3261" t="s">
        <v>3179</v>
      </c>
      <c r="N57" s="3263" t="s">
        <v>3517</v>
      </c>
      <c r="O57" s="3256" t="s">
        <v>3215</v>
      </c>
      <c r="P57" s="3257" t="s">
        <v>3216</v>
      </c>
      <c r="Q57" s="3256">
        <v>3357.42</v>
      </c>
      <c r="R57" s="3636">
        <v>2448.34</v>
      </c>
      <c r="S57" s="3257" t="s">
        <v>3179</v>
      </c>
      <c r="T57" s="3256">
        <v>909.08</v>
      </c>
      <c r="U57" s="3257" t="s">
        <v>3179</v>
      </c>
      <c r="V57" s="3273">
        <f t="shared" ca="1" si="15"/>
        <v>2208</v>
      </c>
      <c r="W57" s="3273"/>
      <c r="AJ57" s="3638">
        <f t="shared" ca="1" si="1"/>
        <v>2263.9</v>
      </c>
      <c r="AK57" s="3639">
        <f t="shared" ca="1" si="2"/>
        <v>6742.136628720863</v>
      </c>
      <c r="AL57" s="3262">
        <f t="shared" ca="1" si="3"/>
        <v>1262</v>
      </c>
      <c r="AM57" s="3262">
        <f t="shared" ca="1" si="4"/>
        <v>3758</v>
      </c>
      <c r="AN57" s="3262">
        <f t="shared" ca="1" si="18"/>
        <v>1001.9000000000001</v>
      </c>
      <c r="AO57" s="3632">
        <f t="shared" ca="1" si="19"/>
        <v>2984.136628720863</v>
      </c>
      <c r="AP57" s="3262">
        <f t="shared" ca="1" si="16"/>
        <v>824.2</v>
      </c>
      <c r="AQ57" s="3262">
        <f t="shared" ca="1" si="17"/>
        <v>177.7</v>
      </c>
    </row>
    <row r="58" spans="1:44" ht="15.6">
      <c r="A58" s="3263" t="s">
        <v>3517</v>
      </c>
      <c r="B58" s="3256" t="s">
        <v>3215</v>
      </c>
      <c r="C58" s="3257" t="s">
        <v>3216</v>
      </c>
      <c r="D58" s="3256">
        <v>3357.42</v>
      </c>
      <c r="E58" s="3256">
        <v>2448.34</v>
      </c>
      <c r="F58" s="3257" t="s">
        <v>3179</v>
      </c>
      <c r="G58" s="3256">
        <v>909.08</v>
      </c>
      <c r="H58" s="3257" t="s">
        <v>3179</v>
      </c>
      <c r="N58" s="3263" t="s">
        <v>3516</v>
      </c>
      <c r="O58" s="3256" t="s">
        <v>3217</v>
      </c>
      <c r="P58" s="3257" t="s">
        <v>3218</v>
      </c>
      <c r="Q58" s="3256">
        <v>3296.98</v>
      </c>
      <c r="R58" s="3636">
        <v>2478.65</v>
      </c>
      <c r="S58" s="3257" t="s">
        <v>3179</v>
      </c>
      <c r="T58" s="3256">
        <v>818.33</v>
      </c>
      <c r="U58" s="3257" t="s">
        <v>3179</v>
      </c>
      <c r="V58" s="3273">
        <f t="shared" ca="1" si="15"/>
        <v>2188</v>
      </c>
      <c r="W58" s="3273"/>
      <c r="AJ58" s="3638">
        <f t="shared" ca="1" si="1"/>
        <v>2233.5</v>
      </c>
      <c r="AK58" s="3639">
        <f t="shared" ca="1" si="2"/>
        <v>6774.3968237599256</v>
      </c>
      <c r="AL58" s="3262">
        <f t="shared" ca="1" si="3"/>
        <v>1239</v>
      </c>
      <c r="AM58" s="3262">
        <f t="shared" ca="1" si="4"/>
        <v>3758</v>
      </c>
      <c r="AN58" s="3262">
        <f t="shared" ca="1" si="18"/>
        <v>994.5</v>
      </c>
      <c r="AO58" s="3632">
        <f t="shared" ca="1" si="19"/>
        <v>3016.3968237599256</v>
      </c>
      <c r="AP58" s="3262">
        <f t="shared" ca="1" si="16"/>
        <v>834.5</v>
      </c>
      <c r="AQ58" s="3262">
        <f t="shared" ca="1" si="17"/>
        <v>160</v>
      </c>
    </row>
    <row r="59" spans="1:44" ht="15.6">
      <c r="A59" s="3263" t="s">
        <v>3516</v>
      </c>
      <c r="B59" s="3256" t="s">
        <v>3217</v>
      </c>
      <c r="C59" s="3257" t="s">
        <v>3218</v>
      </c>
      <c r="D59" s="3256">
        <v>3296.98</v>
      </c>
      <c r="E59" s="3256">
        <v>2478.65</v>
      </c>
      <c r="F59" s="3257" t="s">
        <v>3179</v>
      </c>
      <c r="G59" s="3256">
        <v>818.33</v>
      </c>
      <c r="H59" s="3257" t="s">
        <v>3179</v>
      </c>
      <c r="N59" s="3263" t="s">
        <v>3515</v>
      </c>
      <c r="O59" s="3256" t="s">
        <v>3219</v>
      </c>
      <c r="P59" s="3257" t="s">
        <v>3220</v>
      </c>
      <c r="Q59" s="3256">
        <v>3195.49</v>
      </c>
      <c r="R59" s="3636">
        <v>2478.65</v>
      </c>
      <c r="S59" s="3257" t="s">
        <v>3179</v>
      </c>
      <c r="T59" s="3256">
        <v>716.84</v>
      </c>
      <c r="U59" s="3257" t="s">
        <v>3179</v>
      </c>
      <c r="V59" s="3273">
        <f t="shared" ca="1" si="15"/>
        <v>2140</v>
      </c>
      <c r="W59" s="3273"/>
      <c r="AJ59" s="3638">
        <f t="shared" ca="1" si="1"/>
        <v>2175.6</v>
      </c>
      <c r="AK59" s="3639">
        <f t="shared" ca="1" si="2"/>
        <v>6807.9234859129592</v>
      </c>
      <c r="AL59" s="3262">
        <f t="shared" ca="1" si="3"/>
        <v>1201</v>
      </c>
      <c r="AM59" s="3262">
        <f t="shared" ca="1" si="4"/>
        <v>3758</v>
      </c>
      <c r="AN59" s="3262">
        <f t="shared" ca="1" si="18"/>
        <v>974.6</v>
      </c>
      <c r="AO59" s="3632">
        <f t="shared" ca="1" si="19"/>
        <v>3049.9234859129588</v>
      </c>
      <c r="AP59" s="3262">
        <f t="shared" ca="1" si="16"/>
        <v>834.5</v>
      </c>
      <c r="AQ59" s="3262">
        <f t="shared" ca="1" si="17"/>
        <v>140.1</v>
      </c>
    </row>
    <row r="60" spans="1:44" ht="15.6">
      <c r="A60" s="3263" t="s">
        <v>3515</v>
      </c>
      <c r="B60" s="3256" t="s">
        <v>3219</v>
      </c>
      <c r="C60" s="3257" t="s">
        <v>3220</v>
      </c>
      <c r="D60" s="3256">
        <v>3195.49</v>
      </c>
      <c r="E60" s="3256">
        <v>2478.65</v>
      </c>
      <c r="F60" s="3257" t="s">
        <v>3179</v>
      </c>
      <c r="G60" s="3256">
        <v>716.84</v>
      </c>
      <c r="H60" s="3257" t="s">
        <v>3179</v>
      </c>
      <c r="N60" s="3263" t="s">
        <v>3514</v>
      </c>
      <c r="O60" s="3256" t="s">
        <v>3221</v>
      </c>
      <c r="P60" s="3257" t="s">
        <v>3222</v>
      </c>
      <c r="Q60" s="3256">
        <v>3034.61</v>
      </c>
      <c r="R60" s="3636">
        <v>2478.65</v>
      </c>
      <c r="S60" s="3257" t="s">
        <v>3179</v>
      </c>
      <c r="T60" s="3256">
        <v>555.96</v>
      </c>
      <c r="U60" s="3257" t="s">
        <v>3179</v>
      </c>
      <c r="V60" s="3273">
        <f t="shared" ca="1" si="15"/>
        <v>2065</v>
      </c>
      <c r="W60" s="3273"/>
      <c r="AJ60" s="3638">
        <f t="shared" ca="1" si="1"/>
        <v>2083.1999999999998</v>
      </c>
      <c r="AK60" s="3639">
        <f t="shared" ca="1" si="2"/>
        <v>6866.1423972108441</v>
      </c>
      <c r="AL60" s="3262">
        <f t="shared" ca="1" si="3"/>
        <v>1140</v>
      </c>
      <c r="AM60" s="3262">
        <f t="shared" ca="1" si="4"/>
        <v>3758</v>
      </c>
      <c r="AN60" s="3262">
        <f t="shared" ca="1" si="18"/>
        <v>943.2</v>
      </c>
      <c r="AO60" s="3632">
        <f t="shared" ca="1" si="19"/>
        <v>3108.1423972108441</v>
      </c>
      <c r="AP60" s="3262">
        <f t="shared" ca="1" si="16"/>
        <v>834.5</v>
      </c>
      <c r="AQ60" s="3262">
        <f t="shared" ca="1" si="17"/>
        <v>108.7</v>
      </c>
    </row>
    <row r="61" spans="1:44" ht="15.6">
      <c r="A61" s="3263" t="s">
        <v>3514</v>
      </c>
      <c r="B61" s="3256" t="s">
        <v>3221</v>
      </c>
      <c r="C61" s="3257" t="s">
        <v>3222</v>
      </c>
      <c r="D61" s="3256">
        <v>3034.61</v>
      </c>
      <c r="E61" s="3256">
        <v>2478.65</v>
      </c>
      <c r="F61" s="3257" t="s">
        <v>3179</v>
      </c>
      <c r="G61" s="3256">
        <v>555.96</v>
      </c>
      <c r="H61" s="3257" t="s">
        <v>3179</v>
      </c>
      <c r="N61" s="3263" t="s">
        <v>3513</v>
      </c>
      <c r="O61" s="3256" t="s">
        <v>3223</v>
      </c>
      <c r="P61" s="3257" t="s">
        <v>3224</v>
      </c>
      <c r="Q61" s="3256">
        <v>3091.86</v>
      </c>
      <c r="R61" s="3636">
        <v>2448.34</v>
      </c>
      <c r="S61" s="3257" t="s">
        <v>3179</v>
      </c>
      <c r="T61" s="3256">
        <v>643.52</v>
      </c>
      <c r="U61" s="3257" t="s">
        <v>3179</v>
      </c>
      <c r="V61" s="3273">
        <f t="shared" ca="1" si="15"/>
        <v>2084</v>
      </c>
      <c r="W61" s="3273"/>
      <c r="AJ61" s="3638">
        <f t="shared" ca="1" si="1"/>
        <v>2112</v>
      </c>
      <c r="AK61" s="3639">
        <f t="shared" ca="1" si="2"/>
        <v>6830.5841402909573</v>
      </c>
      <c r="AL61" s="3262">
        <f t="shared" ca="1" si="3"/>
        <v>1162</v>
      </c>
      <c r="AM61" s="3262">
        <f t="shared" ca="1" si="4"/>
        <v>3758</v>
      </c>
      <c r="AN61" s="3262">
        <f t="shared" ca="1" si="18"/>
        <v>950</v>
      </c>
      <c r="AO61" s="3632">
        <f t="shared" ca="1" si="19"/>
        <v>3072.5841402909573</v>
      </c>
      <c r="AP61" s="3262">
        <f t="shared" ca="1" si="16"/>
        <v>824.2</v>
      </c>
      <c r="AQ61" s="3262">
        <f t="shared" ca="1" si="17"/>
        <v>125.8</v>
      </c>
    </row>
    <row r="62" spans="1:44" ht="15.6">
      <c r="A62" s="3263" t="s">
        <v>3513</v>
      </c>
      <c r="B62" s="3256" t="s">
        <v>3223</v>
      </c>
      <c r="C62" s="3257" t="s">
        <v>3224</v>
      </c>
      <c r="D62" s="3256">
        <v>3091.86</v>
      </c>
      <c r="E62" s="3256">
        <v>2448.34</v>
      </c>
      <c r="F62" s="3257" t="s">
        <v>3179</v>
      </c>
      <c r="G62" s="3256">
        <v>643.52</v>
      </c>
      <c r="H62" s="3257" t="s">
        <v>3179</v>
      </c>
      <c r="N62" s="3263" t="s">
        <v>3512</v>
      </c>
      <c r="O62" s="3256" t="s">
        <v>3225</v>
      </c>
      <c r="P62" s="3257" t="s">
        <v>3226</v>
      </c>
      <c r="Q62" s="3256">
        <v>3094.72</v>
      </c>
      <c r="R62" s="3636">
        <v>2448.34</v>
      </c>
      <c r="S62" s="3257" t="s">
        <v>3179</v>
      </c>
      <c r="T62" s="3256">
        <v>646.38</v>
      </c>
      <c r="U62" s="3257" t="s">
        <v>3179</v>
      </c>
      <c r="V62" s="3273">
        <f t="shared" ca="1" si="15"/>
        <v>2085</v>
      </c>
      <c r="W62" s="3273"/>
      <c r="AJ62" s="3638">
        <f t="shared" ca="1" si="1"/>
        <v>2113.6</v>
      </c>
      <c r="AK62" s="3639">
        <f t="shared" ca="1" si="2"/>
        <v>6829.6833833109304</v>
      </c>
      <c r="AL62" s="3262">
        <f t="shared" ca="1" si="3"/>
        <v>1163</v>
      </c>
      <c r="AM62" s="3262">
        <f t="shared" ca="1" si="4"/>
        <v>3758</v>
      </c>
      <c r="AN62" s="3262">
        <f t="shared" ca="1" si="18"/>
        <v>950.6</v>
      </c>
      <c r="AO62" s="3632">
        <f t="shared" ca="1" si="19"/>
        <v>3071.6833833109299</v>
      </c>
      <c r="AP62" s="3262">
        <f t="shared" ca="1" si="16"/>
        <v>824.2</v>
      </c>
      <c r="AQ62" s="3262">
        <f t="shared" ca="1" si="17"/>
        <v>126.4</v>
      </c>
    </row>
    <row r="63" spans="1:44" ht="15.6">
      <c r="A63" s="3263" t="s">
        <v>3512</v>
      </c>
      <c r="B63" s="3256" t="s">
        <v>3225</v>
      </c>
      <c r="C63" s="3257" t="s">
        <v>3226</v>
      </c>
      <c r="D63" s="3256">
        <v>3094.72</v>
      </c>
      <c r="E63" s="3256">
        <v>2448.34</v>
      </c>
      <c r="F63" s="3257" t="s">
        <v>3179</v>
      </c>
      <c r="G63" s="3256">
        <v>646.38</v>
      </c>
      <c r="H63" s="3257" t="s">
        <v>3179</v>
      </c>
      <c r="N63" s="3263" t="s">
        <v>3520</v>
      </c>
      <c r="O63" s="3256" t="s">
        <v>3227</v>
      </c>
      <c r="P63" s="3257" t="s">
        <v>3228</v>
      </c>
      <c r="Q63" s="3256">
        <v>3038.41</v>
      </c>
      <c r="R63" s="3636">
        <v>2448.34</v>
      </c>
      <c r="S63" s="3257" t="s">
        <v>3179</v>
      </c>
      <c r="T63" s="3256">
        <v>590.07000000000005</v>
      </c>
      <c r="U63" s="3257" t="s">
        <v>3179</v>
      </c>
      <c r="V63" s="3273">
        <f t="shared" ca="1" si="15"/>
        <v>2059</v>
      </c>
      <c r="W63" s="3273"/>
      <c r="AJ63" s="3638">
        <f t="shared" ca="1" si="1"/>
        <v>2081.6</v>
      </c>
      <c r="AK63" s="3639">
        <f t="shared" ca="1" si="2"/>
        <v>6850.4068838635994</v>
      </c>
      <c r="AL63" s="3262">
        <f t="shared" ca="1" si="3"/>
        <v>1142</v>
      </c>
      <c r="AM63" s="3262">
        <f t="shared" ca="1" si="4"/>
        <v>3758</v>
      </c>
      <c r="AN63" s="3262">
        <f t="shared" ca="1" si="18"/>
        <v>939.6</v>
      </c>
      <c r="AO63" s="3632">
        <f t="shared" ca="1" si="19"/>
        <v>3092.4068838635999</v>
      </c>
      <c r="AP63" s="3262">
        <f t="shared" ca="1" si="16"/>
        <v>824.2</v>
      </c>
      <c r="AQ63" s="3262">
        <f t="shared" ca="1" si="17"/>
        <v>115.4</v>
      </c>
    </row>
    <row r="64" spans="1:44" ht="15.6">
      <c r="A64" s="3263" t="s">
        <v>3520</v>
      </c>
      <c r="B64" s="3256" t="s">
        <v>3227</v>
      </c>
      <c r="C64" s="3257" t="s">
        <v>3228</v>
      </c>
      <c r="D64" s="3256">
        <v>3038.41</v>
      </c>
      <c r="E64" s="3256">
        <v>2448.34</v>
      </c>
      <c r="F64" s="3257" t="s">
        <v>3179</v>
      </c>
      <c r="G64" s="3256">
        <v>590.07000000000005</v>
      </c>
      <c r="H64" s="3257" t="s">
        <v>3179</v>
      </c>
      <c r="N64" s="3263" t="s">
        <v>3521</v>
      </c>
      <c r="O64" s="3256" t="s">
        <v>3229</v>
      </c>
      <c r="P64" s="3257" t="s">
        <v>3230</v>
      </c>
      <c r="Q64" s="3256">
        <v>2982.1</v>
      </c>
      <c r="R64" s="3636">
        <v>2478.65</v>
      </c>
      <c r="S64" s="3257" t="s">
        <v>3179</v>
      </c>
      <c r="T64" s="3256">
        <v>503.45</v>
      </c>
      <c r="U64" s="3257" t="s">
        <v>3179</v>
      </c>
      <c r="V64" s="3273">
        <f t="shared" ca="1" si="15"/>
        <v>2041</v>
      </c>
      <c r="W64" s="3273"/>
      <c r="AJ64" s="3638">
        <f t="shared" ca="1" si="1"/>
        <v>2053.9</v>
      </c>
      <c r="AK64" s="3639">
        <f t="shared" ca="1" si="2"/>
        <v>6886.3323832198785</v>
      </c>
      <c r="AL64" s="3262">
        <f t="shared" ca="1" si="3"/>
        <v>1121</v>
      </c>
      <c r="AM64" s="3262">
        <f t="shared" ca="1" si="4"/>
        <v>3758</v>
      </c>
      <c r="AN64" s="3262">
        <f t="shared" ca="1" si="18"/>
        <v>932.9</v>
      </c>
      <c r="AO64" s="3632">
        <f t="shared" ca="1" si="19"/>
        <v>3128.3323832198789</v>
      </c>
      <c r="AP64" s="3262">
        <f t="shared" ca="1" si="16"/>
        <v>834.5</v>
      </c>
      <c r="AQ64" s="3262">
        <f t="shared" ca="1" si="17"/>
        <v>98.4</v>
      </c>
    </row>
    <row r="65" spans="1:44" ht="15.6">
      <c r="A65" s="3263" t="s">
        <v>3521</v>
      </c>
      <c r="B65" s="3256" t="s">
        <v>3229</v>
      </c>
      <c r="C65" s="3257" t="s">
        <v>3230</v>
      </c>
      <c r="D65" s="3256">
        <v>2982.1</v>
      </c>
      <c r="E65" s="3256">
        <v>2478.65</v>
      </c>
      <c r="F65" s="3257" t="s">
        <v>3179</v>
      </c>
      <c r="G65" s="3256">
        <v>503.45</v>
      </c>
      <c r="H65" s="3257" t="s">
        <v>3179</v>
      </c>
      <c r="N65" s="3263" t="s">
        <v>3522</v>
      </c>
      <c r="O65" s="3256" t="s">
        <v>3231</v>
      </c>
      <c r="P65" s="3257" t="s">
        <v>3232</v>
      </c>
      <c r="Q65" s="3256">
        <v>3110.37</v>
      </c>
      <c r="R65" s="3636">
        <v>2478.65</v>
      </c>
      <c r="S65" s="3257" t="s">
        <v>3179</v>
      </c>
      <c r="T65" s="3256">
        <v>631.72</v>
      </c>
      <c r="U65" s="3257" t="s">
        <v>3179</v>
      </c>
      <c r="V65" s="3273">
        <f t="shared" ca="1" si="15"/>
        <v>2101</v>
      </c>
      <c r="W65" s="3273"/>
      <c r="AJ65" s="3638">
        <f t="shared" ca="1" si="1"/>
        <v>2127</v>
      </c>
      <c r="AK65" s="3639">
        <f t="shared" ca="1" si="2"/>
        <v>6838.0194189115764</v>
      </c>
      <c r="AL65" s="3262">
        <f t="shared" ca="1" si="3"/>
        <v>1169</v>
      </c>
      <c r="AM65" s="3262">
        <f t="shared" ca="1" si="4"/>
        <v>3758</v>
      </c>
      <c r="AN65" s="3262">
        <f t="shared" ca="1" si="18"/>
        <v>958</v>
      </c>
      <c r="AO65" s="3632">
        <f t="shared" ca="1" si="19"/>
        <v>3080.0194189115764</v>
      </c>
      <c r="AP65" s="3262">
        <f t="shared" ca="1" si="16"/>
        <v>834.5</v>
      </c>
      <c r="AQ65" s="3262">
        <f t="shared" ca="1" si="17"/>
        <v>123.5</v>
      </c>
    </row>
    <row r="66" spans="1:44" ht="15.6">
      <c r="A66" s="3263" t="s">
        <v>3522</v>
      </c>
      <c r="B66" s="3256" t="s">
        <v>3231</v>
      </c>
      <c r="C66" s="3257" t="s">
        <v>3232</v>
      </c>
      <c r="D66" s="3256">
        <v>3110.37</v>
      </c>
      <c r="E66" s="3256">
        <v>2478.65</v>
      </c>
      <c r="F66" s="3257" t="s">
        <v>3179</v>
      </c>
      <c r="G66" s="3256">
        <v>631.72</v>
      </c>
      <c r="H66" s="3257" t="s">
        <v>3179</v>
      </c>
      <c r="N66" s="3263" t="s">
        <v>3523</v>
      </c>
      <c r="O66" s="3256" t="s">
        <v>3233</v>
      </c>
      <c r="P66" s="3257" t="s">
        <v>3234</v>
      </c>
      <c r="Q66" s="3256">
        <v>3053.5</v>
      </c>
      <c r="R66" s="3636">
        <v>2448.34</v>
      </c>
      <c r="S66" s="3257" t="s">
        <v>3179</v>
      </c>
      <c r="T66" s="3256">
        <v>605.16</v>
      </c>
      <c r="U66" s="3257" t="s">
        <v>3179</v>
      </c>
      <c r="V66" s="3273">
        <f t="shared" ca="1" si="15"/>
        <v>2066</v>
      </c>
      <c r="W66" s="3273"/>
      <c r="AJ66" s="3638">
        <f t="shared" ca="1" si="1"/>
        <v>2090.5</v>
      </c>
      <c r="AK66" s="3639">
        <f t="shared" ca="1" si="2"/>
        <v>6844.6219092844276</v>
      </c>
      <c r="AL66" s="3262">
        <f t="shared" ca="1" si="3"/>
        <v>1148</v>
      </c>
      <c r="AM66" s="3262">
        <f t="shared" ca="1" si="4"/>
        <v>3758</v>
      </c>
      <c r="AN66" s="3262">
        <f t="shared" ca="1" si="18"/>
        <v>942.5</v>
      </c>
      <c r="AO66" s="3632">
        <f t="shared" ca="1" si="19"/>
        <v>3086.6219092844276</v>
      </c>
      <c r="AP66" s="3262">
        <f t="shared" ca="1" si="16"/>
        <v>824.2</v>
      </c>
      <c r="AQ66" s="3262">
        <f t="shared" ca="1" si="17"/>
        <v>118.3</v>
      </c>
    </row>
    <row r="67" spans="1:44" ht="15.6">
      <c r="A67" s="3263" t="s">
        <v>3523</v>
      </c>
      <c r="B67" s="3256" t="s">
        <v>3233</v>
      </c>
      <c r="C67" s="3257" t="s">
        <v>3234</v>
      </c>
      <c r="D67" s="3256">
        <v>3053.5</v>
      </c>
      <c r="E67" s="3256">
        <v>2448.34</v>
      </c>
      <c r="F67" s="3257" t="s">
        <v>3179</v>
      </c>
      <c r="G67" s="3256">
        <v>605.16</v>
      </c>
      <c r="H67" s="3257" t="s">
        <v>3179</v>
      </c>
      <c r="N67" s="3263" t="s">
        <v>3529</v>
      </c>
      <c r="O67" s="3257" t="s">
        <v>3235</v>
      </c>
      <c r="P67" s="3257" t="s">
        <v>3236</v>
      </c>
      <c r="Q67" s="3256">
        <v>7411.07</v>
      </c>
      <c r="R67" s="3636">
        <v>0</v>
      </c>
      <c r="S67" s="3256" t="s">
        <v>70</v>
      </c>
      <c r="T67" s="3256">
        <v>7411.07</v>
      </c>
      <c r="U67" s="3257" t="s">
        <v>48</v>
      </c>
      <c r="V67" s="3273">
        <f ca="1">ROUND(T67*$AB$7/10000+T67*$Z$9/10000,0)</f>
        <v>3402</v>
      </c>
      <c r="W67" s="3273"/>
      <c r="AJ67" s="3638">
        <f t="shared" ca="1" si="1"/>
        <v>3612.6</v>
      </c>
      <c r="AK67" s="3639">
        <f t="shared" ca="1" si="2"/>
        <v>4874.7078438066301</v>
      </c>
      <c r="AL67" s="3262">
        <f t="shared" ca="1" si="3"/>
        <v>2785</v>
      </c>
      <c r="AM67" s="3262">
        <f t="shared" ca="1" si="4"/>
        <v>3758</v>
      </c>
      <c r="AN67" s="3262">
        <f t="shared" ca="1" si="18"/>
        <v>827.6</v>
      </c>
      <c r="AO67" s="3632">
        <f t="shared" ca="1" si="19"/>
        <v>1116.7078438066299</v>
      </c>
      <c r="AR67" s="3262">
        <f ca="1">ROUND($AR$4*T67/$AR$2,1)</f>
        <v>827.6</v>
      </c>
    </row>
    <row r="68" spans="1:44" ht="15.6">
      <c r="A68" s="3268" t="s">
        <v>3525</v>
      </c>
      <c r="B68" s="3258" t="s">
        <v>3599</v>
      </c>
      <c r="C68" s="3259" t="s">
        <v>3600</v>
      </c>
      <c r="D68" s="3258">
        <v>3012.8</v>
      </c>
      <c r="E68" s="3258">
        <v>2448.34</v>
      </c>
      <c r="F68" s="3259" t="s">
        <v>3179</v>
      </c>
      <c r="G68" s="3258">
        <v>564.46</v>
      </c>
      <c r="H68" s="3259" t="s">
        <v>3179</v>
      </c>
      <c r="N68" s="3371" t="s">
        <v>3182</v>
      </c>
      <c r="O68" s="3371"/>
      <c r="P68" s="3256" t="s">
        <v>70</v>
      </c>
      <c r="Q68" s="3256">
        <f>SUM(Q5:Q67)</f>
        <v>242531.24000000002</v>
      </c>
      <c r="R68" s="3636">
        <f>SUM(R5:R67)</f>
        <v>176534.72999999989</v>
      </c>
      <c r="S68" s="3256" t="s">
        <v>70</v>
      </c>
      <c r="T68" s="3256">
        <f>SUM(T5:T67)</f>
        <v>65996.509999999995</v>
      </c>
      <c r="U68" s="3256" t="s">
        <v>70</v>
      </c>
      <c r="V68" s="3256">
        <f ca="1">SUM(V5:V67)</f>
        <v>158936</v>
      </c>
      <c r="W68" s="3276">
        <f ca="1">结果表!G19</f>
        <v>159583</v>
      </c>
      <c r="AK68" s="3639"/>
    </row>
    <row r="69" spans="1:44" ht="15.6">
      <c r="A69" s="3263" t="s">
        <v>3524</v>
      </c>
      <c r="B69" s="3256" t="s">
        <v>3641</v>
      </c>
      <c r="C69" s="3257" t="s">
        <v>3526</v>
      </c>
      <c r="D69" s="3256">
        <v>285.61</v>
      </c>
      <c r="E69" s="3256">
        <v>285.61</v>
      </c>
      <c r="F69" s="3257" t="s">
        <v>3527</v>
      </c>
      <c r="G69" s="3256" t="s">
        <v>3528</v>
      </c>
      <c r="H69" s="3257" t="s">
        <v>3528</v>
      </c>
    </row>
    <row r="70" spans="1:44" ht="15.6">
      <c r="A70" s="3263" t="s">
        <v>3529</v>
      </c>
      <c r="B70" s="3257" t="s">
        <v>3235</v>
      </c>
      <c r="C70" s="3257" t="s">
        <v>3236</v>
      </c>
      <c r="D70" s="3256">
        <v>7411.07</v>
      </c>
      <c r="E70" s="3256">
        <v>0</v>
      </c>
      <c r="F70" s="3256" t="s">
        <v>70</v>
      </c>
      <c r="G70" s="3256">
        <v>7411.07</v>
      </c>
      <c r="H70" s="3257" t="s">
        <v>48</v>
      </c>
    </row>
    <row r="71" spans="1:44" ht="14.25" customHeight="1">
      <c r="A71" s="3371" t="s">
        <v>3182</v>
      </c>
      <c r="B71" s="3371"/>
      <c r="C71" s="3256" t="s">
        <v>70</v>
      </c>
      <c r="D71" s="3256">
        <f>SUM(D5:D70)</f>
        <v>246132.41999999998</v>
      </c>
      <c r="E71" s="3256">
        <f>SUM(E5:E70)</f>
        <v>179571.44999999987</v>
      </c>
      <c r="F71" s="3256" t="s">
        <v>70</v>
      </c>
      <c r="G71" s="3256">
        <f>SUM(G5:G70)</f>
        <v>66560.97</v>
      </c>
      <c r="H71" s="3256" t="s">
        <v>70</v>
      </c>
    </row>
  </sheetData>
  <mergeCells count="48">
    <mergeCell ref="Q53:Q54"/>
    <mergeCell ref="N68:O68"/>
    <mergeCell ref="R3:U3"/>
    <mergeCell ref="N7:N10"/>
    <mergeCell ref="O7:O10"/>
    <mergeCell ref="P7:P10"/>
    <mergeCell ref="Q7:Q10"/>
    <mergeCell ref="R7:R10"/>
    <mergeCell ref="S7:S10"/>
    <mergeCell ref="A71:B71"/>
    <mergeCell ref="N3:N4"/>
    <mergeCell ref="O3:O4"/>
    <mergeCell ref="P3:P4"/>
    <mergeCell ref="Q3:Q4"/>
    <mergeCell ref="N27:N29"/>
    <mergeCell ref="O27:O29"/>
    <mergeCell ref="P27:P29"/>
    <mergeCell ref="Q27:Q29"/>
    <mergeCell ref="N30:N31"/>
    <mergeCell ref="O30:O31"/>
    <mergeCell ref="P30:P31"/>
    <mergeCell ref="Q30:Q31"/>
    <mergeCell ref="N53:N54"/>
    <mergeCell ref="O53:O54"/>
    <mergeCell ref="P53:P54"/>
    <mergeCell ref="A3:A4"/>
    <mergeCell ref="A54:A55"/>
    <mergeCell ref="A30:A31"/>
    <mergeCell ref="D30:D31"/>
    <mergeCell ref="B3:B4"/>
    <mergeCell ref="A27:A29"/>
    <mergeCell ref="A7:A10"/>
    <mergeCell ref="B7:B10"/>
    <mergeCell ref="B27:B29"/>
    <mergeCell ref="B30:B31"/>
    <mergeCell ref="C27:C29"/>
    <mergeCell ref="C30:C31"/>
    <mergeCell ref="C3:C4"/>
    <mergeCell ref="C7:C10"/>
    <mergeCell ref="B54:B55"/>
    <mergeCell ref="C54:C55"/>
    <mergeCell ref="D54:D55"/>
    <mergeCell ref="D3:D4"/>
    <mergeCell ref="D7:D10"/>
    <mergeCell ref="E7:E10"/>
    <mergeCell ref="F7:F10"/>
    <mergeCell ref="D27:D29"/>
    <mergeCell ref="E3:H3"/>
  </mergeCells>
  <phoneticPr fontId="140" type="noConversion"/>
  <pageMargins left="0.25" right="0.25"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5" sqref="E35"/>
    </sheetView>
  </sheetViews>
  <sheetFormatPr defaultColWidth="9" defaultRowHeight="13.8"/>
  <cols>
    <col min="1" max="1" width="9.44140625" style="1821" customWidth="1"/>
    <col min="2" max="2" width="24.44140625" style="1707" customWidth="1"/>
    <col min="3" max="3" width="24.44140625" style="2684" customWidth="1"/>
    <col min="4" max="4" width="2.6640625" style="2684" customWidth="1"/>
    <col min="5" max="5" width="5.88671875" style="2684" customWidth="1"/>
    <col min="6" max="6" width="27" style="1707" customWidth="1"/>
    <col min="7" max="7" width="27" style="2685" customWidth="1"/>
    <col min="8" max="8" width="11.88671875" style="2665" customWidth="1"/>
    <col min="9" max="9" width="16.77734375" style="2666" customWidth="1"/>
    <col min="10" max="10" width="2.6640625" style="2665" customWidth="1"/>
    <col min="11" max="11" width="11.88671875" style="2665" customWidth="1"/>
    <col min="12" max="12" width="16.77734375" style="2666" customWidth="1"/>
    <col min="13" max="13" width="2.6640625" style="2665" customWidth="1"/>
    <col min="14" max="14" width="11.88671875" style="2665" customWidth="1"/>
    <col min="15" max="15" width="16.77734375" style="2666" customWidth="1"/>
    <col min="16" max="16" width="2.6640625" style="2665" customWidth="1"/>
    <col min="17" max="17" width="11.88671875" style="2665" customWidth="1"/>
    <col min="18" max="18" width="16.77734375" style="2667" customWidth="1"/>
    <col min="19" max="29" width="9" style="888"/>
    <col min="30" max="16384" width="9" style="1821"/>
  </cols>
  <sheetData>
    <row r="1" spans="1:29" s="2631" customFormat="1" ht="18" thickBot="1">
      <c r="A1" s="3375" t="s">
        <v>2784</v>
      </c>
      <c r="B1" s="3376"/>
      <c r="C1" s="3376"/>
      <c r="D1" s="3376"/>
      <c r="E1" s="3376"/>
      <c r="F1" s="3376"/>
      <c r="G1" s="3376"/>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4.4"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7.200000000000003">
      <c r="A4" s="2616"/>
      <c r="B4" s="329" t="s">
        <v>2752</v>
      </c>
      <c r="C4" s="2642" t="s">
        <v>2753</v>
      </c>
      <c r="D4" s="2639"/>
      <c r="E4" s="2643"/>
      <c r="F4" s="1507" t="s">
        <v>2754</v>
      </c>
      <c r="G4" s="2644" t="s">
        <v>2755</v>
      </c>
      <c r="H4" s="888"/>
      <c r="I4" s="888"/>
      <c r="J4" s="888"/>
      <c r="K4" s="888"/>
      <c r="L4" s="888"/>
      <c r="M4" s="888"/>
      <c r="N4" s="888"/>
      <c r="O4" s="888"/>
      <c r="P4" s="888"/>
      <c r="Q4" s="888"/>
      <c r="R4" s="888"/>
    </row>
    <row r="5" spans="1:29" ht="37.200000000000003">
      <c r="A5" s="2616"/>
      <c r="B5" s="329" t="s">
        <v>2756</v>
      </c>
      <c r="C5" s="2642" t="s">
        <v>2757</v>
      </c>
      <c r="D5" s="2639"/>
      <c r="E5" s="2643"/>
      <c r="F5" s="329" t="s">
        <v>2758</v>
      </c>
      <c r="G5" s="2644" t="s">
        <v>2759</v>
      </c>
      <c r="H5" s="888"/>
      <c r="I5" s="888"/>
      <c r="J5" s="888"/>
      <c r="K5" s="888"/>
      <c r="L5" s="888"/>
      <c r="M5" s="888"/>
      <c r="N5" s="888"/>
      <c r="O5" s="888"/>
      <c r="P5" s="888"/>
      <c r="Q5" s="888"/>
      <c r="R5" s="888"/>
    </row>
    <row r="6" spans="1:29" ht="48">
      <c r="A6" s="2616"/>
      <c r="B6" s="329" t="s">
        <v>2760</v>
      </c>
      <c r="C6" s="2644" t="s">
        <v>2755</v>
      </c>
      <c r="D6" s="2639"/>
      <c r="E6" s="2643"/>
      <c r="F6" s="329" t="s">
        <v>2761</v>
      </c>
      <c r="G6" s="2644" t="s">
        <v>2762</v>
      </c>
      <c r="H6" s="888"/>
      <c r="I6" s="888"/>
      <c r="J6" s="888"/>
      <c r="K6" s="888"/>
      <c r="L6" s="888"/>
      <c r="M6" s="888"/>
      <c r="N6" s="888"/>
      <c r="O6" s="888"/>
      <c r="P6" s="888"/>
      <c r="Q6" s="888"/>
      <c r="R6" s="888"/>
    </row>
    <row r="7" spans="1:29" ht="36.6"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ht="24">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4.4"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7.399999999999999">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 thickBot="1">
      <c r="A13" s="2664" t="s">
        <v>2785</v>
      </c>
      <c r="B13" s="2658"/>
      <c r="C13" s="2658"/>
      <c r="D13" s="2656"/>
      <c r="E13" s="2658"/>
      <c r="F13" s="2658"/>
      <c r="G13" s="2658"/>
    </row>
    <row r="14" spans="1:29" ht="14.4" thickBot="1">
      <c r="A14" s="2668"/>
      <c r="B14" s="2668"/>
      <c r="C14" s="2669" t="s">
        <v>2768</v>
      </c>
      <c r="D14" s="2639"/>
      <c r="E14" s="2670"/>
      <c r="F14" s="2670"/>
      <c r="G14" s="2634" t="s">
        <v>2769</v>
      </c>
    </row>
    <row r="15" spans="1:29" ht="52.8">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9.6">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9.6">
      <c r="A17" s="2620"/>
      <c r="B17" s="2674" t="s">
        <v>2756</v>
      </c>
      <c r="C17" s="2675" t="str">
        <f>C5</f>
        <v>估价对象位于XX商圈，周边办公楼项目较多，入驻率高，办公集聚程度较好</v>
      </c>
      <c r="D17" s="2645"/>
      <c r="E17" s="2621"/>
      <c r="F17" s="2676" t="s">
        <v>2773</v>
      </c>
      <c r="G17" s="2678"/>
    </row>
    <row r="18" spans="1:18" ht="52.8">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6.4">
      <c r="A19" s="2620"/>
      <c r="B19" s="2676" t="s">
        <v>2774</v>
      </c>
      <c r="C19" s="2678"/>
      <c r="D19" s="2639"/>
      <c r="E19" s="2621"/>
      <c r="F19" s="329" t="s">
        <v>2758</v>
      </c>
      <c r="G19" s="2677" t="str">
        <f>G5</f>
        <v>估价对象所在区域公共配套设施齐备情况</v>
      </c>
    </row>
    <row r="20" spans="1:18" ht="26.4">
      <c r="A20" s="2620"/>
      <c r="B20" s="2676" t="s">
        <v>2775</v>
      </c>
      <c r="C20" s="2675" t="str">
        <f>C9</f>
        <v>区域自然环境：；人文环境；综合评价环境状况一般</v>
      </c>
      <c r="D20" s="2645"/>
      <c r="E20" s="2621"/>
      <c r="F20" s="329" t="s">
        <v>2761</v>
      </c>
      <c r="G20" s="2677" t="str">
        <f>G6</f>
        <v>估价对象所在区域基础设施水平</v>
      </c>
    </row>
    <row r="21" spans="1:18" ht="26.4">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4.4"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4.4"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4.4"/>
  <cols>
    <col min="1" max="1" width="25" style="2687" customWidth="1"/>
    <col min="2" max="9" width="15.77734375" style="2687" customWidth="1"/>
    <col min="10" max="16384" width="9" style="2687"/>
  </cols>
  <sheetData>
    <row r="1" spans="1:11" ht="16.2">
      <c r="A1" s="2686" t="s">
        <v>1090</v>
      </c>
      <c r="B1" s="2686">
        <f>SUM(B14:B23)</f>
        <v>243924.88</v>
      </c>
      <c r="C1" s="2863"/>
      <c r="D1" s="2863"/>
      <c r="E1" s="2863"/>
      <c r="F1" s="2863"/>
      <c r="G1" s="2864"/>
      <c r="H1" s="2865"/>
      <c r="I1" s="2865"/>
      <c r="J1" s="2865"/>
      <c r="K1" s="2865"/>
    </row>
    <row r="2" spans="1:11" ht="16.2">
      <c r="A2" s="2686" t="s">
        <v>1078</v>
      </c>
      <c r="B2" s="2686">
        <f>SUM(C14:C23)</f>
        <v>118122.57</v>
      </c>
      <c r="C2" s="2863"/>
      <c r="D2" s="2863"/>
      <c r="E2" s="2863"/>
      <c r="F2" s="2863"/>
      <c r="G2" s="2864"/>
      <c r="H2" s="2865"/>
      <c r="I2" s="2865"/>
      <c r="J2" s="2865"/>
      <c r="K2" s="2865"/>
    </row>
    <row r="3" spans="1:11" ht="15.6">
      <c r="A3" s="2686" t="s">
        <v>1087</v>
      </c>
      <c r="B3" s="2688">
        <f>项目基本情况!D3</f>
        <v>44769</v>
      </c>
      <c r="C3" s="2863"/>
      <c r="D3" s="2863"/>
      <c r="E3" s="2863"/>
      <c r="F3" s="2863"/>
      <c r="G3" s="2864"/>
      <c r="H3" s="2865"/>
      <c r="I3" s="2865"/>
      <c r="J3" s="2865"/>
      <c r="K3" s="2865"/>
    </row>
    <row r="4" spans="1:11" ht="31.2">
      <c r="A4" s="2686" t="s">
        <v>1086</v>
      </c>
      <c r="B4" s="2686" t="s">
        <v>1085</v>
      </c>
      <c r="C4" s="2686" t="s">
        <v>1084</v>
      </c>
      <c r="D4" s="2686" t="s">
        <v>1083</v>
      </c>
      <c r="E4" s="2863"/>
      <c r="F4" s="2864"/>
      <c r="G4" s="2864"/>
      <c r="H4" s="2865"/>
      <c r="I4" s="2865"/>
      <c r="J4" s="2865"/>
      <c r="K4" s="2865"/>
    </row>
    <row r="5" spans="1:11" ht="15.6">
      <c r="A5" s="2686" t="s">
        <v>1082</v>
      </c>
      <c r="B5" s="2686">
        <f ca="1">SUM(D14:D23)</f>
        <v>159583</v>
      </c>
      <c r="C5" s="2686">
        <f ca="1">ROUND(B5*10000/$B$1,0)</f>
        <v>6542</v>
      </c>
      <c r="D5" s="2686">
        <f ca="1">ROUND(B5*10000/$B$2,0)</f>
        <v>13510</v>
      </c>
      <c r="E5" s="2863"/>
      <c r="F5" s="2864"/>
      <c r="G5" s="2864"/>
      <c r="H5" s="2865"/>
      <c r="I5" s="2865"/>
      <c r="J5" s="2865"/>
      <c r="K5" s="2865"/>
    </row>
    <row r="6" spans="1:11" ht="15.6">
      <c r="A6" s="2686" t="s">
        <v>1081</v>
      </c>
      <c r="B6" s="2686">
        <f ca="1">SUM(G14:G23)</f>
        <v>159583</v>
      </c>
      <c r="C6" s="2686">
        <f ca="1">ROUND(B6*10000/$B$1,0)</f>
        <v>6542</v>
      </c>
      <c r="D6" s="2686">
        <f ca="1">ROUND(B6*10000/$B$2,0)</f>
        <v>13510</v>
      </c>
      <c r="E6" s="2863"/>
      <c r="F6" s="2864"/>
      <c r="G6" s="2864"/>
      <c r="H6" s="2865"/>
      <c r="I6" s="2865"/>
      <c r="J6" s="2865"/>
      <c r="K6" s="2865"/>
    </row>
    <row r="7" spans="1:11" ht="15.6">
      <c r="A7" s="2686" t="s">
        <v>1089</v>
      </c>
      <c r="B7" s="2686">
        <f>SUM(H14:H23)</f>
        <v>0</v>
      </c>
      <c r="C7" s="2686">
        <f>ROUND(B7*10000/$B$1,0)</f>
        <v>0</v>
      </c>
      <c r="D7" s="2686">
        <f>ROUND(B7*10000/$B$2,0)</f>
        <v>0</v>
      </c>
      <c r="E7" s="2863"/>
      <c r="F7" s="2864"/>
      <c r="G7" s="2864"/>
      <c r="H7" s="2865"/>
      <c r="I7" s="2865"/>
      <c r="J7" s="2865"/>
      <c r="K7" s="2865"/>
    </row>
    <row r="8" spans="1:11" ht="15.6">
      <c r="A8" s="2686" t="s">
        <v>1012</v>
      </c>
      <c r="B8" s="2686">
        <f>SUM(I14:I23)</f>
        <v>0</v>
      </c>
      <c r="C8" s="2686">
        <f>ROUND(B8*10000/$B$1,0)</f>
        <v>0</v>
      </c>
      <c r="D8" s="2686">
        <f>ROUND(B8*10000/$B$2,0)</f>
        <v>0</v>
      </c>
      <c r="E8" s="2863"/>
      <c r="F8" s="2864"/>
      <c r="G8" s="2864"/>
      <c r="H8" s="2865"/>
      <c r="I8" s="2865"/>
      <c r="J8" s="2865"/>
      <c r="K8" s="2865"/>
    </row>
    <row r="9" spans="1:11" ht="15.6">
      <c r="A9" s="2686" t="s">
        <v>1080</v>
      </c>
      <c r="B9" s="2694"/>
      <c r="C9" s="2863"/>
      <c r="D9" s="2863"/>
      <c r="E9" s="2863"/>
      <c r="F9" s="2864"/>
      <c r="G9" s="2864"/>
      <c r="H9" s="2865"/>
      <c r="I9" s="2865"/>
      <c r="J9" s="2865"/>
      <c r="K9" s="2865"/>
    </row>
    <row r="10" spans="1:11" ht="15.6">
      <c r="A10" s="2686" t="s">
        <v>1079</v>
      </c>
      <c r="B10" s="2694"/>
      <c r="C10" s="2863"/>
      <c r="D10" s="2863"/>
      <c r="E10" s="2863"/>
      <c r="F10" s="2864"/>
      <c r="G10" s="2864"/>
      <c r="H10" s="2865"/>
      <c r="I10" s="2865"/>
      <c r="J10" s="2865"/>
      <c r="K10" s="2865"/>
    </row>
    <row r="11" spans="1:11" ht="15.6">
      <c r="A11" s="2686" t="s">
        <v>1095</v>
      </c>
      <c r="B11" s="2694"/>
      <c r="C11" s="2863"/>
      <c r="D11" s="2863"/>
      <c r="E11" s="2863"/>
      <c r="F11" s="2864"/>
      <c r="G11" s="2864"/>
      <c r="H11" s="2865"/>
      <c r="I11" s="2865"/>
      <c r="J11" s="2865"/>
      <c r="K11" s="2865"/>
    </row>
    <row r="12" spans="1:11" ht="15.6">
      <c r="A12" s="2863"/>
      <c r="B12" s="2863"/>
      <c r="C12" s="2863"/>
      <c r="D12" s="2863"/>
      <c r="E12" s="2863"/>
      <c r="F12" s="2864"/>
      <c r="G12" s="2864"/>
      <c r="H12" s="2865"/>
      <c r="I12" s="2865"/>
      <c r="J12" s="2865"/>
      <c r="K12" s="2865"/>
    </row>
    <row r="13" spans="1:11" ht="31.8">
      <c r="A13" s="2689" t="s">
        <v>1094</v>
      </c>
      <c r="B13" s="2690" t="s">
        <v>1091</v>
      </c>
      <c r="C13" s="2690" t="s">
        <v>1093</v>
      </c>
      <c r="D13" s="2690" t="s">
        <v>1092</v>
      </c>
      <c r="E13" s="2686" t="s">
        <v>1084</v>
      </c>
      <c r="F13" s="2686" t="s">
        <v>1083</v>
      </c>
      <c r="G13" s="2690" t="s">
        <v>1077</v>
      </c>
      <c r="H13" s="2690" t="s">
        <v>1088</v>
      </c>
      <c r="I13" s="2690" t="s">
        <v>1076</v>
      </c>
      <c r="J13" s="2864"/>
      <c r="K13" s="2865"/>
    </row>
    <row r="14" spans="1:11" ht="15.6">
      <c r="A14" s="2691" t="s">
        <v>1075</v>
      </c>
      <c r="B14" s="2692">
        <f>结果表!B118</f>
        <v>243924.88</v>
      </c>
      <c r="C14" s="2692">
        <f>结果表!C118</f>
        <v>118122.57</v>
      </c>
      <c r="D14" s="2692">
        <f ca="1">结果表!H118</f>
        <v>159583</v>
      </c>
      <c r="E14" s="2692">
        <f ca="1">ROUND(D14*10000/B14,0)</f>
        <v>6542</v>
      </c>
      <c r="F14" s="2692">
        <f ca="1">ROUND(D14*10000/C14,0)</f>
        <v>13510</v>
      </c>
      <c r="G14" s="2692">
        <f ca="1">结果表!D122</f>
        <v>159583</v>
      </c>
      <c r="H14" s="2692" t="str">
        <f>结果表!D124</f>
        <v>——</v>
      </c>
      <c r="I14" s="2692" t="str">
        <f>结果表!D126</f>
        <v>——</v>
      </c>
      <c r="J14" s="2864"/>
      <c r="K14" s="2865"/>
    </row>
    <row r="15" spans="1:11" ht="15.6">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5.6">
      <c r="A16" s="2691" t="s">
        <v>1073</v>
      </c>
      <c r="B16" s="2693"/>
      <c r="C16" s="2693"/>
      <c r="D16" s="2693"/>
      <c r="E16" s="2692" t="e">
        <f t="shared" si="0"/>
        <v>#DIV/0!</v>
      </c>
      <c r="F16" s="2692" t="e">
        <f t="shared" si="1"/>
        <v>#DIV/0!</v>
      </c>
      <c r="G16" s="1451"/>
      <c r="H16" s="1451"/>
      <c r="I16" s="2693"/>
      <c r="J16" s="2865"/>
      <c r="K16" s="2865"/>
    </row>
    <row r="17" spans="1:11" ht="15.6">
      <c r="A17" s="2691" t="s">
        <v>1072</v>
      </c>
      <c r="B17" s="2693"/>
      <c r="C17" s="2693"/>
      <c r="D17" s="2693"/>
      <c r="E17" s="2692" t="e">
        <f t="shared" si="0"/>
        <v>#DIV/0!</v>
      </c>
      <c r="F17" s="2692" t="e">
        <f t="shared" si="1"/>
        <v>#DIV/0!</v>
      </c>
      <c r="G17" s="1451"/>
      <c r="H17" s="1451"/>
      <c r="I17" s="2693"/>
      <c r="J17" s="2865"/>
      <c r="K17" s="2865"/>
    </row>
    <row r="18" spans="1:11" ht="15.6">
      <c r="A18" s="2691" t="s">
        <v>1071</v>
      </c>
      <c r="B18" s="2693"/>
      <c r="C18" s="2693"/>
      <c r="D18" s="2693"/>
      <c r="E18" s="2692" t="e">
        <f t="shared" si="0"/>
        <v>#DIV/0!</v>
      </c>
      <c r="F18" s="2692" t="e">
        <f t="shared" si="1"/>
        <v>#DIV/0!</v>
      </c>
      <c r="G18" s="2693"/>
      <c r="H18" s="2693"/>
      <c r="I18" s="2693"/>
      <c r="J18" s="2865"/>
      <c r="K18" s="2865"/>
    </row>
    <row r="19" spans="1:11" ht="15.6">
      <c r="A19" s="2691" t="s">
        <v>1070</v>
      </c>
      <c r="B19" s="2693"/>
      <c r="C19" s="2693"/>
      <c r="D19" s="2693"/>
      <c r="E19" s="2692" t="e">
        <f t="shared" si="0"/>
        <v>#DIV/0!</v>
      </c>
      <c r="F19" s="2692" t="e">
        <f t="shared" si="1"/>
        <v>#DIV/0!</v>
      </c>
      <c r="G19" s="2693"/>
      <c r="H19" s="2693"/>
      <c r="I19" s="2693"/>
      <c r="J19" s="2865"/>
      <c r="K19" s="2865"/>
    </row>
    <row r="20" spans="1:11" ht="15.6">
      <c r="A20" s="2691" t="s">
        <v>1069</v>
      </c>
      <c r="B20" s="2693"/>
      <c r="C20" s="2693"/>
      <c r="D20" s="2693"/>
      <c r="E20" s="2692" t="e">
        <f t="shared" si="0"/>
        <v>#DIV/0!</v>
      </c>
      <c r="F20" s="2692" t="e">
        <f t="shared" si="1"/>
        <v>#DIV/0!</v>
      </c>
      <c r="G20" s="2693"/>
      <c r="H20" s="2693"/>
      <c r="I20" s="2693"/>
      <c r="J20" s="2865"/>
      <c r="K20" s="2865"/>
    </row>
    <row r="21" spans="1:11" ht="15.6">
      <c r="A21" s="2691" t="s">
        <v>1068</v>
      </c>
      <c r="B21" s="2693"/>
      <c r="C21" s="2693"/>
      <c r="D21" s="2693"/>
      <c r="E21" s="2692" t="e">
        <f t="shared" si="0"/>
        <v>#DIV/0!</v>
      </c>
      <c r="F21" s="2692" t="e">
        <f t="shared" si="1"/>
        <v>#DIV/0!</v>
      </c>
      <c r="G21" s="2693"/>
      <c r="H21" s="2693"/>
      <c r="I21" s="2693"/>
      <c r="J21" s="2865"/>
      <c r="K21" s="2865"/>
    </row>
    <row r="22" spans="1:11" ht="15.6">
      <c r="A22" s="2691" t="s">
        <v>1067</v>
      </c>
      <c r="B22" s="2693"/>
      <c r="C22" s="2693"/>
      <c r="D22" s="2693"/>
      <c r="E22" s="2692" t="e">
        <f t="shared" si="0"/>
        <v>#DIV/0!</v>
      </c>
      <c r="F22" s="2692" t="e">
        <f t="shared" si="1"/>
        <v>#DIV/0!</v>
      </c>
      <c r="G22" s="2693"/>
      <c r="H22" s="2693"/>
      <c r="I22" s="2693"/>
      <c r="J22" s="2865"/>
      <c r="K22" s="2865"/>
    </row>
    <row r="23" spans="1:11" ht="15.6">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38" sqref="I38"/>
    </sheetView>
  </sheetViews>
  <sheetFormatPr defaultColWidth="12.6640625" defaultRowHeight="21.75" customHeight="1"/>
  <cols>
    <col min="1" max="2" width="12.6640625" style="1888"/>
    <col min="3" max="4" width="12.6640625" style="1888" customWidth="1"/>
    <col min="5" max="9" width="12.6640625" style="1888"/>
    <col min="10" max="11" width="12.6640625" style="734" customWidth="1"/>
    <col min="12" max="12" width="12.6640625" style="734"/>
    <col min="13" max="13" width="14.109375" style="734" bestFit="1" customWidth="1"/>
    <col min="14" max="26" width="12.6640625" style="734"/>
    <col min="27" max="35" width="12.6640625" style="1887"/>
    <col min="36" max="16384" width="12.6640625" style="1888"/>
  </cols>
  <sheetData>
    <row r="1" spans="1:12" ht="21.75" customHeight="1" thickBot="1">
      <c r="A1" s="1772" t="s">
        <v>1705</v>
      </c>
      <c r="B1" s="1882"/>
      <c r="C1" s="1883"/>
      <c r="D1" s="1882"/>
      <c r="E1" s="1882"/>
      <c r="F1" s="1884" t="s">
        <v>1706</v>
      </c>
      <c r="G1" s="1696" t="s">
        <v>3242</v>
      </c>
      <c r="H1" s="1885" t="str">
        <f>IF(G1="现房","——","估价对象范围")</f>
        <v>——</v>
      </c>
      <c r="I1" s="1886"/>
    </row>
    <row r="2" spans="1:12" ht="21.75" customHeight="1" thickBot="1">
      <c r="A2" s="3411" t="str">
        <f>项目基本情况!S2</f>
        <v>北京市房地产</v>
      </c>
      <c r="B2" s="3412"/>
      <c r="C2" s="3412"/>
      <c r="D2" s="3412"/>
      <c r="E2" s="3412"/>
      <c r="F2" s="3412"/>
      <c r="G2" s="3412"/>
      <c r="H2" s="3412"/>
      <c r="I2" s="3413"/>
    </row>
    <row r="3" spans="1:12" ht="13.2">
      <c r="A3" s="3415" t="s">
        <v>1707</v>
      </c>
      <c r="B3" s="3416"/>
      <c r="C3" s="3416"/>
      <c r="D3" s="3416"/>
      <c r="E3" s="3416"/>
      <c r="F3" s="3416"/>
      <c r="G3" s="3416"/>
      <c r="H3" s="3416"/>
      <c r="I3" s="3416"/>
    </row>
    <row r="4" spans="1:12" ht="14.4">
      <c r="A4" s="1889" t="s">
        <v>1708</v>
      </c>
      <c r="B4" s="1890" t="s">
        <v>1709</v>
      </c>
      <c r="C4" s="1891" t="s">
        <v>3257</v>
      </c>
      <c r="D4" s="1891" t="s">
        <v>3258</v>
      </c>
      <c r="E4" s="3417" t="s">
        <v>1710</v>
      </c>
      <c r="F4" s="3418"/>
      <c r="G4" s="3418"/>
      <c r="H4" s="3418"/>
      <c r="I4" s="341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91" t="s">
        <v>1711</v>
      </c>
      <c r="B5" s="3378">
        <v>25</v>
      </c>
      <c r="C5" s="3394"/>
      <c r="D5" s="3414"/>
      <c r="E5" s="136" t="s">
        <v>1712</v>
      </c>
      <c r="F5" s="1892"/>
      <c r="G5" s="1892"/>
      <c r="H5" s="1892"/>
      <c r="I5" s="1507"/>
    </row>
    <row r="6" spans="1:12" ht="13.2">
      <c r="A6" s="3391"/>
      <c r="B6" s="3378"/>
      <c r="C6" s="3395"/>
      <c r="D6" s="3414"/>
      <c r="E6" s="136" t="s">
        <v>1713</v>
      </c>
      <c r="F6" s="1892"/>
      <c r="G6" s="1892"/>
      <c r="H6" s="1892"/>
      <c r="I6" s="1507"/>
    </row>
    <row r="7" spans="1:12" ht="13.2">
      <c r="A7" s="3391"/>
      <c r="B7" s="3378"/>
      <c r="C7" s="3396"/>
      <c r="D7" s="3414"/>
      <c r="E7" s="136" t="s">
        <v>1714</v>
      </c>
      <c r="F7" s="1892"/>
      <c r="G7" s="1892"/>
      <c r="H7" s="1892"/>
      <c r="I7" s="1507"/>
    </row>
    <row r="8" spans="1:12" ht="13.2">
      <c r="A8" s="3391" t="s">
        <v>1715</v>
      </c>
      <c r="B8" s="3378">
        <v>15</v>
      </c>
      <c r="C8" s="3394"/>
      <c r="D8" s="3414"/>
      <c r="E8" s="136" t="s">
        <v>1716</v>
      </c>
      <c r="F8" s="1892"/>
      <c r="G8" s="1892"/>
      <c r="H8" s="1892"/>
      <c r="I8" s="1507"/>
    </row>
    <row r="9" spans="1:12" ht="13.2">
      <c r="A9" s="3391"/>
      <c r="B9" s="3378"/>
      <c r="C9" s="3396"/>
      <c r="D9" s="3414"/>
      <c r="E9" s="136" t="s">
        <v>1717</v>
      </c>
      <c r="F9" s="1892"/>
      <c r="G9" s="1892"/>
      <c r="H9" s="1892"/>
      <c r="I9" s="1507"/>
    </row>
    <row r="10" spans="1:12" ht="13.2">
      <c r="A10" s="3391" t="s">
        <v>1718</v>
      </c>
      <c r="B10" s="3378">
        <v>15</v>
      </c>
      <c r="C10" s="3394"/>
      <c r="D10" s="3414"/>
      <c r="E10" s="136" t="s">
        <v>1719</v>
      </c>
      <c r="F10" s="1892"/>
      <c r="G10" s="1892"/>
      <c r="H10" s="1892"/>
      <c r="I10" s="1507"/>
    </row>
    <row r="11" spans="1:12" ht="13.2">
      <c r="A11" s="3391"/>
      <c r="B11" s="3378"/>
      <c r="C11" s="3396"/>
      <c r="D11" s="3414"/>
      <c r="E11" s="136" t="s">
        <v>1720</v>
      </c>
      <c r="F11" s="1892"/>
      <c r="G11" s="1892"/>
      <c r="H11" s="1892"/>
      <c r="I11" s="1507"/>
    </row>
    <row r="12" spans="1:12" ht="13.2">
      <c r="A12" s="3391" t="s">
        <v>1721</v>
      </c>
      <c r="B12" s="3378">
        <v>15</v>
      </c>
      <c r="C12" s="3394"/>
      <c r="D12" s="3414"/>
      <c r="E12" s="136" t="s">
        <v>1722</v>
      </c>
      <c r="F12" s="1892"/>
      <c r="G12" s="1892"/>
      <c r="H12" s="1892"/>
      <c r="I12" s="1507"/>
    </row>
    <row r="13" spans="1:12" ht="13.2">
      <c r="A13" s="3391"/>
      <c r="B13" s="3378"/>
      <c r="C13" s="3396"/>
      <c r="D13" s="3414"/>
      <c r="E13" s="136" t="s">
        <v>1723</v>
      </c>
      <c r="F13" s="1892"/>
      <c r="G13" s="1892"/>
      <c r="H13" s="1892"/>
      <c r="I13" s="1507"/>
    </row>
    <row r="14" spans="1:12" ht="13.2">
      <c r="A14" s="3391" t="s">
        <v>1724</v>
      </c>
      <c r="B14" s="3378">
        <v>30</v>
      </c>
      <c r="C14" s="3394">
        <v>5</v>
      </c>
      <c r="D14" s="3414">
        <v>5</v>
      </c>
      <c r="E14" s="136" t="s">
        <v>1725</v>
      </c>
      <c r="F14" s="1892"/>
      <c r="G14" s="1892"/>
      <c r="H14" s="1892"/>
      <c r="I14" s="1507"/>
    </row>
    <row r="15" spans="1:12" ht="13.2">
      <c r="A15" s="3391"/>
      <c r="B15" s="3378"/>
      <c r="C15" s="3395"/>
      <c r="D15" s="3414"/>
      <c r="E15" s="136" t="s">
        <v>1726</v>
      </c>
      <c r="F15" s="1892"/>
      <c r="G15" s="1892"/>
      <c r="H15" s="1892"/>
      <c r="I15" s="1507"/>
    </row>
    <row r="16" spans="1:12" ht="13.2">
      <c r="A16" s="3391"/>
      <c r="B16" s="3378"/>
      <c r="C16" s="3396"/>
      <c r="D16" s="3414"/>
      <c r="E16" s="136" t="s">
        <v>1727</v>
      </c>
      <c r="F16" s="1892"/>
      <c r="G16" s="1892"/>
      <c r="H16" s="1892"/>
      <c r="I16" s="1507"/>
    </row>
    <row r="17" spans="1:36" ht="14.4">
      <c r="A17" s="1893" t="s">
        <v>1728</v>
      </c>
      <c r="B17" s="60"/>
      <c r="C17" s="137">
        <f>SUM(C5:C16)</f>
        <v>5</v>
      </c>
      <c r="D17" s="137">
        <f>SUM(D5:D16)</f>
        <v>5</v>
      </c>
      <c r="E17" s="134"/>
      <c r="F17" s="134"/>
      <c r="G17" s="134"/>
      <c r="H17" s="134"/>
      <c r="I17" s="134"/>
      <c r="K17" s="308"/>
      <c r="L17" s="308" t="s">
        <v>1729</v>
      </c>
      <c r="M17" s="308" t="s">
        <v>1730</v>
      </c>
    </row>
    <row r="18" spans="1:36" ht="31.95" customHeight="1" thickBot="1">
      <c r="A18" s="1894" t="s">
        <v>1731</v>
      </c>
      <c r="B18" s="1895"/>
      <c r="C18" s="138">
        <f>ROUND(C17/SUM(C17:D17),2)</f>
        <v>0.5</v>
      </c>
      <c r="D18" s="138">
        <f>1-C18</f>
        <v>0.5</v>
      </c>
      <c r="E18" s="3401" t="s">
        <v>2629</v>
      </c>
      <c r="F18" s="3402"/>
      <c r="G18" s="3402"/>
      <c r="H18" s="3402"/>
      <c r="I18" s="3402"/>
      <c r="K18" s="308" t="s">
        <v>1732</v>
      </c>
      <c r="L18" s="308">
        <f>IF(C1="",'数据-汇总表'!E3,SUMIF(项目类型,C1,'数据-汇总表'!E17:E26)+SUMIF(项目类型,C1,'数据-汇总表'!I17:I26))</f>
        <v>243924.88</v>
      </c>
      <c r="M18" s="308">
        <f>IF(C1="",'数据-汇总表'!E3,SUMIF(项目类型,C1,'数据-汇总表'!E17:E26))</f>
        <v>243924.88</v>
      </c>
    </row>
    <row r="19" spans="1:36" ht="14.4">
      <c r="A19" s="1896" t="s">
        <v>1733</v>
      </c>
      <c r="B19" s="1897" t="s">
        <v>1734</v>
      </c>
      <c r="C19" s="139">
        <f ca="1">SUMIF(INDIRECT("'"&amp;C4&amp;"'"&amp;"!A:A"),结果表!B19,INDIRECT("'"&amp;C4&amp;"'"&amp;"!B:B"))</f>
        <v>167502</v>
      </c>
      <c r="D19" s="140">
        <f ca="1">SUMIF(INDIRECT("'"&amp;D4&amp;"'"&amp;"!A:A"),结果表!B19,INDIRECT("'"&amp;D4&amp;"'"&amp;"!B:B"))</f>
        <v>151664</v>
      </c>
      <c r="E19" s="1896" t="s">
        <v>1735</v>
      </c>
      <c r="F19" s="1897" t="s">
        <v>1734</v>
      </c>
      <c r="G19" s="141">
        <f ca="1">ROUND(C19*$C$18+D19*$D$18,0)</f>
        <v>159583</v>
      </c>
      <c r="H19" s="1898" t="s">
        <v>1736</v>
      </c>
      <c r="I19" s="134"/>
      <c r="K19" s="308" t="s">
        <v>1737</v>
      </c>
      <c r="L19" s="308">
        <f>IF(C1="",'数据-汇总表'!D3,SUMIF(项目类型,C1,'数据-汇总表'!D17:D26)+SUMIF(项目类型,C1,'数据-汇总表'!H17:H27))</f>
        <v>118122.57</v>
      </c>
      <c r="M19" s="308">
        <f>IF(C1="",'数据-汇总表'!D3,SUMIF(项目类型,C1,'数据-汇总表'!D17:D26))</f>
        <v>118122.57</v>
      </c>
    </row>
    <row r="20" spans="1:36" ht="14.4">
      <c r="A20" s="1899"/>
      <c r="B20" s="1138" t="s">
        <v>1738</v>
      </c>
      <c r="C20" s="142">
        <f ca="1">SUMIF(INDIRECT("'"&amp;C4&amp;"'"&amp;"!A:A"),结果表!B20,INDIRECT("'"&amp;C4&amp;"'"&amp;"!B:B"))</f>
        <v>6867</v>
      </c>
      <c r="D20" s="143">
        <f ca="1">SUMIF(INDIRECT("'"&amp;D4&amp;"'"&amp;"!A:A"),结果表!B20,INDIRECT("'"&amp;D4&amp;"'"&amp;"!B:B"))</f>
        <v>6218</v>
      </c>
      <c r="E20" s="1899"/>
      <c r="F20" s="1138" t="s">
        <v>1738</v>
      </c>
      <c r="G20" s="144">
        <f ca="1">ROUND(C20*$C$18+D20*$D$18,0)</f>
        <v>6543</v>
      </c>
      <c r="H20" s="898" t="s">
        <v>1739</v>
      </c>
      <c r="I20" s="134"/>
    </row>
    <row r="21" spans="1:36" ht="15" customHeight="1" thickBot="1">
      <c r="A21" s="918"/>
      <c r="B21" s="1900" t="s">
        <v>1740</v>
      </c>
      <c r="C21" s="728">
        <f ca="1">ROUND(C19*10000/L19,0)</f>
        <v>14180</v>
      </c>
      <c r="D21" s="729">
        <f ca="1">ROUND(D19*10000/L19,0)</f>
        <v>12840</v>
      </c>
      <c r="E21" s="918"/>
      <c r="F21" s="1900" t="s">
        <v>1740</v>
      </c>
      <c r="G21" s="145">
        <f ca="1">ROUND(G19*10000/L19,0)</f>
        <v>13510</v>
      </c>
      <c r="H21" s="1901" t="s">
        <v>1739</v>
      </c>
      <c r="I21" s="134"/>
    </row>
    <row r="22" spans="1:36" ht="15" thickBot="1">
      <c r="A22" s="1823" t="s">
        <v>1741</v>
      </c>
      <c r="B22" s="1902"/>
      <c r="C22" s="1903"/>
      <c r="D22" s="730">
        <f ca="1">IF(C19&lt;D19,D19/C19-1,C19/D19-1)</f>
        <v>0.10442820972676436</v>
      </c>
      <c r="E22" s="134"/>
      <c r="F22" s="134"/>
      <c r="G22" s="134"/>
      <c r="H22" s="134"/>
      <c r="I22" s="134"/>
    </row>
    <row r="23" spans="1:36" ht="13.8" thickBot="1">
      <c r="A23" s="1882"/>
      <c r="B23" s="1882"/>
      <c r="C23" s="1882"/>
      <c r="D23" s="1882"/>
      <c r="E23" s="134"/>
      <c r="F23" s="134"/>
      <c r="G23" s="134"/>
      <c r="H23" s="134"/>
      <c r="I23" s="134"/>
    </row>
    <row r="24" spans="1:36" ht="14.4">
      <c r="A24" s="3385" t="s">
        <v>1742</v>
      </c>
      <c r="B24" s="1897" t="s">
        <v>1734</v>
      </c>
      <c r="C24" s="141">
        <f>IF(B30=0,0,D30)</f>
        <v>0</v>
      </c>
      <c r="D24" s="1904"/>
      <c r="E24" s="134"/>
      <c r="F24" s="134"/>
      <c r="G24" s="134"/>
      <c r="H24" s="134"/>
      <c r="I24" s="134"/>
    </row>
    <row r="25" spans="1:36" ht="14.4">
      <c r="A25" s="3386"/>
      <c r="B25" s="1138" t="s">
        <v>1738</v>
      </c>
      <c r="C25" s="146">
        <f>IF(B30=0,0,C30)</f>
        <v>0</v>
      </c>
      <c r="D25" s="1905"/>
      <c r="E25" s="134"/>
      <c r="F25" s="134"/>
      <c r="G25" s="134"/>
      <c r="H25" s="134"/>
      <c r="I25" s="134"/>
    </row>
    <row r="26" spans="1:36" ht="13.5" customHeight="1">
      <c r="A26" s="1906" t="s">
        <v>1743</v>
      </c>
      <c r="B26" s="147" t="s">
        <v>1744</v>
      </c>
      <c r="C26" s="147" t="s">
        <v>1745</v>
      </c>
      <c r="D26" s="148" t="s">
        <v>1746</v>
      </c>
      <c r="E26" s="134"/>
      <c r="F26" s="134"/>
      <c r="G26" s="134"/>
      <c r="H26" s="134"/>
      <c r="I26" s="134"/>
    </row>
    <row r="27" spans="1:36" ht="13.8">
      <c r="A27" s="1906"/>
      <c r="B27" s="147">
        <v>0</v>
      </c>
      <c r="C27" s="147">
        <v>0</v>
      </c>
      <c r="D27" s="148">
        <f>ROUND(C27*B27/10000,0)</f>
        <v>0</v>
      </c>
      <c r="E27" s="134"/>
      <c r="F27" s="134"/>
      <c r="G27" s="134"/>
      <c r="H27" s="134"/>
      <c r="I27" s="134"/>
    </row>
    <row r="28" spans="1:36" ht="13.8">
      <c r="A28" s="1906"/>
      <c r="B28" s="147"/>
      <c r="C28" s="147"/>
      <c r="D28" s="148"/>
      <c r="E28" s="134"/>
      <c r="F28" s="134"/>
      <c r="G28" s="134"/>
      <c r="H28" s="134"/>
      <c r="I28" s="134"/>
    </row>
    <row r="29" spans="1:36" ht="13.8">
      <c r="A29" s="1906"/>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6" thickTop="1" thickBot="1">
      <c r="A32" s="1908" t="s">
        <v>1748</v>
      </c>
      <c r="B32" s="1909"/>
      <c r="C32" s="149">
        <f ca="1">IF(D32="总价",G19-C24,G20-C25)</f>
        <v>159583</v>
      </c>
      <c r="D32" s="1910" t="s">
        <v>3259</v>
      </c>
      <c r="E32" s="134"/>
      <c r="F32" s="134"/>
      <c r="G32" s="134"/>
      <c r="H32" s="134"/>
      <c r="I32" s="134"/>
    </row>
    <row r="33" spans="1:15" ht="14.4">
      <c r="A33" s="875" t="s">
        <v>1749</v>
      </c>
      <c r="B33" s="1911"/>
      <c r="C33" s="1912" t="s">
        <v>3666</v>
      </c>
      <c r="D33" s="1913" t="s">
        <v>3257</v>
      </c>
      <c r="E33" s="1914" t="s">
        <v>1750</v>
      </c>
      <c r="F33" s="1915" t="str">
        <f>IF(D32="楼面单价","取值（单价）","取值（总价）")</f>
        <v>取值（总价）</v>
      </c>
      <c r="G33" s="134"/>
      <c r="H33" s="134"/>
      <c r="I33" s="134"/>
    </row>
    <row r="34" spans="1:15" ht="14.4">
      <c r="A34" s="1916"/>
      <c r="B34" s="1917" t="s">
        <v>1751</v>
      </c>
      <c r="C34" s="153">
        <f ca="1">IF(C33="自定义",F34,C32-C35)</f>
        <v>49311</v>
      </c>
      <c r="D34" s="951">
        <f ca="1">IF(C33="自定义",ROUND(C34/C32,3),IF(C33="收益比率",SUMIF(INDIRECT("'"&amp;D33&amp;"'"&amp;"!b:b"),"土地收益比率",INDIRECT("'"&amp;D33&amp;"'"&amp;"!c:c")),SUMIF(INDIRECT("'"&amp;D33&amp;"'"&amp;"!b:b"),"土地成本比率",INDIRECT("'"&amp;D33&amp;"'"&amp;"!c:c"))))</f>
        <v>0.30900000000000005</v>
      </c>
      <c r="E34" s="1918" t="s">
        <v>1752</v>
      </c>
      <c r="F34" s="1450">
        <f ca="1">G19-F35</f>
        <v>43901</v>
      </c>
      <c r="G34" s="134"/>
      <c r="H34" s="134"/>
      <c r="I34" s="134"/>
    </row>
    <row r="35" spans="1:15" ht="15" thickBot="1">
      <c r="A35" s="1919"/>
      <c r="B35" s="1920" t="s">
        <v>1753</v>
      </c>
      <c r="C35" s="1285">
        <f ca="1">IF(C33="自定义",F35,ROUND(C32*D35,0))</f>
        <v>110272</v>
      </c>
      <c r="D35" s="1286">
        <f ca="1">IF(C33="自定义",ROUND(C35/C32,3),IF(C33="收益比率",SUMIF(INDIRECT("'"&amp;D33&amp;"'"&amp;"!b:b"),"建筑物收益比率",INDIRECT("'"&amp;D33&amp;"'"&amp;"!c:c")),SUMIF(INDIRECT("'"&amp;D33&amp;"'"&amp;"!b:b"),"建筑物成本比率",INDIRECT("'"&amp;D33&amp;"'"&amp;"!c:c"))))</f>
        <v>0.69099999999999995</v>
      </c>
      <c r="E35" s="1921" t="s">
        <v>1754</v>
      </c>
      <c r="F35" s="159">
        <f ca="1">成本法!C51</f>
        <v>115682</v>
      </c>
      <c r="G35" s="134"/>
      <c r="H35" s="134"/>
      <c r="I35" s="134"/>
    </row>
    <row r="36" spans="1:15" ht="15" thickBot="1">
      <c r="A36" s="3405" t="s">
        <v>1755</v>
      </c>
      <c r="B36" s="1922" t="s">
        <v>1756</v>
      </c>
      <c r="C36" s="150"/>
      <c r="D36" s="1923"/>
      <c r="E36" s="1924"/>
      <c r="F36" s="1925"/>
      <c r="G36" s="134"/>
      <c r="H36" s="134"/>
      <c r="I36" s="134"/>
    </row>
    <row r="37" spans="1:15" ht="15" thickBot="1">
      <c r="A37" s="3406"/>
      <c r="B37" s="1809" t="s">
        <v>1757</v>
      </c>
      <c r="C37" s="152"/>
      <c r="D37" s="1254"/>
      <c r="E37" s="1254"/>
      <c r="F37" s="1925"/>
      <c r="G37" s="134"/>
      <c r="H37" s="134"/>
      <c r="I37" s="134"/>
    </row>
    <row r="38" spans="1:15" ht="15" thickBot="1">
      <c r="A38" s="3407"/>
      <c r="B38" s="1926" t="s">
        <v>1758</v>
      </c>
      <c r="C38" s="683"/>
      <c r="D38" s="1927" t="s">
        <v>1759</v>
      </c>
      <c r="E38" s="1254"/>
      <c r="F38" s="1925"/>
      <c r="G38" s="134"/>
      <c r="H38" s="134"/>
      <c r="I38" s="134"/>
    </row>
    <row r="39" spans="1:15" ht="14.4">
      <c r="A39" s="1899" t="s">
        <v>1760</v>
      </c>
      <c r="B39" s="1928" t="s">
        <v>1761</v>
      </c>
      <c r="C39" s="1929" t="s">
        <v>1762</v>
      </c>
      <c r="D39" s="1929" t="s">
        <v>1763</v>
      </c>
      <c r="E39" s="1930" t="s">
        <v>1764</v>
      </c>
      <c r="F39" s="1925"/>
      <c r="G39" s="134"/>
      <c r="H39" s="134"/>
      <c r="I39" s="134"/>
    </row>
    <row r="40" spans="1:15" ht="13.8">
      <c r="A40" s="1931" t="s">
        <v>1765</v>
      </c>
      <c r="B40" s="154"/>
      <c r="C40" s="155"/>
      <c r="D40" s="155"/>
      <c r="E40" s="156"/>
      <c r="F40" s="1925"/>
      <c r="G40" s="134"/>
      <c r="H40" s="134"/>
      <c r="I40" s="134"/>
    </row>
    <row r="41" spans="1:15" ht="13.8">
      <c r="A41" s="1931" t="s">
        <v>1766</v>
      </c>
      <c r="B41" s="154"/>
      <c r="C41" s="155"/>
      <c r="D41" s="155"/>
      <c r="E41" s="156"/>
      <c r="F41" s="1925"/>
      <c r="G41" s="134"/>
      <c r="H41" s="134"/>
      <c r="I41" s="134"/>
    </row>
    <row r="42" spans="1:15" ht="14.4" thickBot="1">
      <c r="A42" s="1932"/>
      <c r="B42" s="157"/>
      <c r="C42" s="158"/>
      <c r="D42" s="158"/>
      <c r="E42" s="159"/>
      <c r="F42" s="1925"/>
      <c r="G42" s="134"/>
      <c r="H42" s="134"/>
      <c r="I42" s="134"/>
    </row>
    <row r="43" spans="1:15" ht="13.2">
      <c r="A43" s="1712"/>
      <c r="B43" s="1712"/>
      <c r="C43" s="1712"/>
      <c r="D43" s="1712"/>
      <c r="E43" s="1712"/>
      <c r="F43" s="1933"/>
      <c r="G43" s="1933"/>
      <c r="H43" s="1933"/>
      <c r="I43" s="1934"/>
    </row>
    <row r="44" spans="1:15" ht="17.399999999999999">
      <c r="A44" s="1935" t="s">
        <v>1767</v>
      </c>
      <c r="B44" s="1936"/>
      <c r="C44" s="1936"/>
      <c r="D44" s="1937"/>
      <c r="E44" s="1937"/>
      <c r="F44" s="1938"/>
      <c r="G44" s="1938"/>
      <c r="H44" s="1938"/>
      <c r="I44" s="1938"/>
      <c r="J44" s="1939" t="s">
        <v>1768</v>
      </c>
      <c r="K44" s="1940"/>
      <c r="L44" s="1940"/>
      <c r="M44" s="1940"/>
      <c r="N44" s="1940"/>
      <c r="O44" s="1940"/>
    </row>
    <row r="45" spans="1:15" ht="14.25" customHeight="1" thickBot="1">
      <c r="A45" s="3382" t="s">
        <v>1769</v>
      </c>
      <c r="B45" s="3383"/>
      <c r="C45" s="3384"/>
      <c r="D45" s="160">
        <f ca="1">ROUND(H101*F45,0)</f>
        <v>159583</v>
      </c>
      <c r="E45" s="161" t="s">
        <v>1770</v>
      </c>
      <c r="F45" s="162">
        <v>1</v>
      </c>
      <c r="G45" s="163" t="s">
        <v>1771</v>
      </c>
      <c r="H45" s="134"/>
      <c r="I45" s="134"/>
      <c r="J45" s="3463" t="s">
        <v>1772</v>
      </c>
      <c r="K45" s="3463"/>
      <c r="L45" s="3463"/>
      <c r="M45" s="3463"/>
      <c r="N45" s="3463"/>
      <c r="O45" s="3463"/>
    </row>
    <row r="46" spans="1:15" ht="14.25" customHeight="1">
      <c r="A46" s="3379" t="s">
        <v>1773</v>
      </c>
      <c r="B46" s="3380"/>
      <c r="C46" s="3380"/>
      <c r="D46" s="3380"/>
      <c r="E46" s="3380"/>
      <c r="F46" s="3380"/>
      <c r="G46" s="3381"/>
      <c r="H46" s="1941"/>
      <c r="I46" s="164"/>
      <c r="J46" s="2697">
        <v>1</v>
      </c>
      <c r="K46" s="3444" t="s">
        <v>1774</v>
      </c>
      <c r="L46" s="3444"/>
      <c r="M46" s="3464"/>
      <c r="N46" s="3464"/>
      <c r="O46" s="3464"/>
    </row>
    <row r="47" spans="1:15" ht="12" customHeight="1">
      <c r="A47" s="165" t="s">
        <v>1775</v>
      </c>
      <c r="B47" s="166"/>
      <c r="C47" s="167"/>
      <c r="D47" s="1200" t="s">
        <v>1776</v>
      </c>
      <c r="E47" s="308" t="s">
        <v>1777</v>
      </c>
      <c r="F47" s="168" t="s">
        <v>1778</v>
      </c>
      <c r="G47" s="2720" t="s">
        <v>1779</v>
      </c>
      <c r="H47" s="2721"/>
      <c r="I47" s="164"/>
      <c r="J47" s="2697">
        <v>2</v>
      </c>
      <c r="K47" s="3444" t="s">
        <v>1780</v>
      </c>
      <c r="L47" s="3444"/>
      <c r="M47" s="3465">
        <f>'数据-取费表'!B2</f>
        <v>44769</v>
      </c>
      <c r="N47" s="3465"/>
      <c r="O47" s="3465"/>
    </row>
    <row r="48" spans="1:15" ht="26.4">
      <c r="A48" s="3410" t="s">
        <v>1781</v>
      </c>
      <c r="B48" s="3393"/>
      <c r="C48" s="3393"/>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1782</v>
      </c>
      <c r="H48" s="2724"/>
      <c r="I48" s="1941"/>
      <c r="J48" s="2697">
        <v>3</v>
      </c>
      <c r="K48" s="3444" t="s">
        <v>1783</v>
      </c>
      <c r="L48" s="3444"/>
      <c r="M48" s="3466">
        <f ca="1">H101</f>
        <v>159583</v>
      </c>
      <c r="N48" s="3466"/>
      <c r="O48" s="3466"/>
    </row>
    <row r="49" spans="1:35" ht="25.5" customHeight="1">
      <c r="A49" s="2505" t="s">
        <v>1784</v>
      </c>
      <c r="B49" s="3377" t="s">
        <v>1785</v>
      </c>
      <c r="C49" s="3377"/>
      <c r="D49" s="1725">
        <v>0</v>
      </c>
      <c r="E49" s="330" t="s">
        <v>1786</v>
      </c>
      <c r="F49" s="2598" t="s">
        <v>34</v>
      </c>
      <c r="G49" s="3450"/>
      <c r="H49" s="2477" t="s">
        <v>2632</v>
      </c>
      <c r="I49" s="2478"/>
      <c r="J49" s="2697">
        <v>4</v>
      </c>
      <c r="K49" s="3444" t="str">
        <f>IF(项目基本情况!E8="房地产抵押价值","房地产抵押价值","抵押担保权已注销时的房地产抵押价值")</f>
        <v>房地产抵押价值</v>
      </c>
      <c r="L49" s="3444"/>
      <c r="M49" s="3466">
        <f ca="1">IF(项目基本情况!E8="房地产抵押价值",H107,H109)</f>
        <v>159583</v>
      </c>
      <c r="N49" s="3466"/>
      <c r="O49" s="3466"/>
    </row>
    <row r="50" spans="1:35" ht="25.5" customHeight="1">
      <c r="A50" s="2725"/>
      <c r="B50" s="3377" t="s">
        <v>1787</v>
      </c>
      <c r="C50" s="3377"/>
      <c r="D50" s="2726"/>
      <c r="E50" s="338"/>
      <c r="F50" s="2598"/>
      <c r="G50" s="3451"/>
      <c r="H50" s="2479" t="s">
        <v>2633</v>
      </c>
      <c r="I50" s="2478"/>
      <c r="J50" s="3463" t="s">
        <v>1788</v>
      </c>
      <c r="K50" s="3463"/>
      <c r="L50" s="3463"/>
      <c r="M50" s="3463"/>
      <c r="N50" s="3463"/>
      <c r="O50" s="3463"/>
    </row>
    <row r="51" spans="1:35" ht="20.399999999999999" customHeight="1">
      <c r="A51" s="2727"/>
      <c r="B51" s="3377" t="s">
        <v>1789</v>
      </c>
      <c r="C51" s="3377"/>
      <c r="D51" s="1200"/>
      <c r="E51" s="333"/>
      <c r="F51" s="2598"/>
      <c r="G51" s="3452"/>
      <c r="H51" s="2479" t="s">
        <v>2634</v>
      </c>
      <c r="I51" s="2478"/>
      <c r="J51" s="2698" t="s">
        <v>1790</v>
      </c>
      <c r="K51" s="3444" t="s">
        <v>1791</v>
      </c>
      <c r="L51" s="3444"/>
      <c r="M51" s="2698" t="s">
        <v>1792</v>
      </c>
      <c r="N51" s="2698" t="s">
        <v>1793</v>
      </c>
      <c r="O51" s="2698" t="s">
        <v>1794</v>
      </c>
    </row>
    <row r="52" spans="1:35" ht="24" customHeight="1">
      <c r="A52" s="2507" t="s">
        <v>1795</v>
      </c>
      <c r="B52" s="3377" t="s">
        <v>1796</v>
      </c>
      <c r="C52" s="3377"/>
      <c r="D52" s="1200">
        <f ca="1">ROUND(D45*'数据-取费表'!B41/(1+'数据-取费表'!C42),0)</f>
        <v>8359</v>
      </c>
      <c r="E52" s="2506" t="s">
        <v>1797</v>
      </c>
      <c r="F52" s="2728">
        <f>'数据-取费表'!B41</f>
        <v>5.5000000000000007E-2</v>
      </c>
      <c r="G52" s="2729"/>
      <c r="H52" s="2718"/>
      <c r="I52" s="1942"/>
      <c r="J52" s="2697">
        <v>1</v>
      </c>
      <c r="K52" s="3445" t="s">
        <v>1798</v>
      </c>
      <c r="L52" s="3445"/>
      <c r="M52" s="2699" t="b">
        <f>D48</f>
        <v>0</v>
      </c>
      <c r="N52" s="2697" t="str">
        <f>E48</f>
        <v>销售额×税（费）率</v>
      </c>
      <c r="O52" s="2700">
        <f>F48</f>
        <v>5.5000000000000007E-2</v>
      </c>
    </row>
    <row r="53" spans="1:35" ht="12" customHeight="1">
      <c r="A53" s="2507" t="s">
        <v>1799</v>
      </c>
      <c r="B53" s="3403" t="s">
        <v>2789</v>
      </c>
      <c r="C53" s="3404"/>
      <c r="D53" s="1200">
        <f ca="1">ROUND(D45*'数据-取费表'!B41/(1+'数据-取费表'!C42),0)</f>
        <v>8359</v>
      </c>
      <c r="E53" s="2506" t="s">
        <v>1797</v>
      </c>
      <c r="F53" s="2728">
        <f>'数据-取费表'!B41</f>
        <v>5.5000000000000007E-2</v>
      </c>
      <c r="G53" s="2729"/>
      <c r="H53" s="2718"/>
      <c r="I53" s="1942"/>
      <c r="J53" s="2697">
        <v>2</v>
      </c>
      <c r="K53" s="3445" t="s">
        <v>1800</v>
      </c>
      <c r="L53" s="3445"/>
      <c r="M53" s="2699">
        <f t="shared" ref="M53:O54" ca="1" si="0">D55</f>
        <v>80</v>
      </c>
      <c r="N53" s="2697" t="str">
        <f t="shared" si="0"/>
        <v>销售额×税（费）率</v>
      </c>
      <c r="O53" s="2700" t="str">
        <f t="shared" si="0"/>
        <v>免征</v>
      </c>
    </row>
    <row r="54" spans="1:35" ht="12" customHeight="1">
      <c r="A54" s="2507" t="s">
        <v>1801</v>
      </c>
      <c r="B54" s="3403" t="s">
        <v>2790</v>
      </c>
      <c r="C54" s="3404"/>
      <c r="D54" s="1200">
        <f ca="1">C68</f>
        <v>8359</v>
      </c>
      <c r="E54" s="333" t="s">
        <v>1802</v>
      </c>
      <c r="F54" s="2728">
        <f>'数据-取费表'!B41</f>
        <v>5.5000000000000007E-2</v>
      </c>
      <c r="G54" s="2729"/>
      <c r="H54" s="2730"/>
      <c r="I54" s="1942"/>
      <c r="J54" s="2697">
        <v>3</v>
      </c>
      <c r="K54" s="3445" t="s">
        <v>1803</v>
      </c>
      <c r="L54" s="3445"/>
      <c r="M54" s="2699">
        <f t="shared" ca="1" si="0"/>
        <v>90468</v>
      </c>
      <c r="N54" s="2697" t="str">
        <f t="shared" si="0"/>
        <v>增值额×税（费）率</v>
      </c>
      <c r="O54" s="2701" t="str">
        <f t="shared" si="0"/>
        <v>免征</v>
      </c>
    </row>
    <row r="55" spans="1:35" ht="24" customHeight="1">
      <c r="A55" s="3392" t="s">
        <v>1804</v>
      </c>
      <c r="B55" s="3393"/>
      <c r="C55" s="3393"/>
      <c r="D55" s="2496">
        <f ca="1">IF(H55="个人住宅",0,ROUND(D45*I55,0))</f>
        <v>80</v>
      </c>
      <c r="E55" s="2506" t="s">
        <v>1805</v>
      </c>
      <c r="F55" s="2728" t="str">
        <f>IF(H55="正常",I55,"免征")</f>
        <v>免征</v>
      </c>
      <c r="G55" s="2729"/>
      <c r="H55" s="2724"/>
      <c r="I55" s="170">
        <f>'数据-取费表'!B49</f>
        <v>5.0000000000000001E-4</v>
      </c>
      <c r="J55" s="2697">
        <f>IF(H59="非个人房产","",4)</f>
        <v>4</v>
      </c>
      <c r="K55" s="3445" t="str">
        <f>IF(H59="非个人房产","——","个人所得税")</f>
        <v>个人所得税</v>
      </c>
      <c r="L55" s="3445"/>
      <c r="M55" s="2702">
        <f ca="1">D59</f>
        <v>1520</v>
      </c>
      <c r="N55" s="2177" t="str">
        <f>E59</f>
        <v>差额计税</v>
      </c>
      <c r="O55" s="2703">
        <f>F59</f>
        <v>0.01</v>
      </c>
    </row>
    <row r="56" spans="1:35" ht="25.2">
      <c r="A56" s="3392" t="s">
        <v>1806</v>
      </c>
      <c r="B56" s="3393"/>
      <c r="C56" s="3393"/>
      <c r="D56" s="2496">
        <f ca="1">IF(H56="个人住宅",D57,D58)</f>
        <v>90468</v>
      </c>
      <c r="E56" s="2506" t="s">
        <v>1807</v>
      </c>
      <c r="F56" s="2728" t="str">
        <f>IF(H56="正常",F58,"免征")</f>
        <v>免征</v>
      </c>
      <c r="G56" s="2731" t="s">
        <v>1808</v>
      </c>
      <c r="H56" s="2732"/>
      <c r="I56" s="1943"/>
      <c r="J56" s="2697" t="str">
        <f>IF(项目基本情况!K6="上海银行",IF(J55="",4,J55+1),"")</f>
        <v/>
      </c>
      <c r="K56" s="3468" t="str">
        <f>IF(项目基本情况!K6="上海银行","其他处置费用","")</f>
        <v/>
      </c>
      <c r="L56" s="3469"/>
      <c r="M56" s="2699" t="str">
        <f>IF(项目基本情况!K6="上海银行",M69,"")</f>
        <v/>
      </c>
      <c r="N56" s="3468" t="str">
        <f>IF(项目基本情况!K6="上海银行","包含处置中涉及的律师、诉讼、拍卖、评估等费用","")</f>
        <v/>
      </c>
      <c r="O56" s="3471"/>
    </row>
    <row r="57" spans="1:35" ht="13.2">
      <c r="A57" s="2507" t="s">
        <v>1784</v>
      </c>
      <c r="B57" s="3403" t="s">
        <v>1809</v>
      </c>
      <c r="C57" s="3404"/>
      <c r="D57" s="1725">
        <v>0</v>
      </c>
      <c r="E57" s="330" t="s">
        <v>1786</v>
      </c>
      <c r="F57" s="308"/>
      <c r="G57" s="2729"/>
      <c r="H57" s="2733"/>
      <c r="I57" s="1943"/>
      <c r="J57" s="3445">
        <f>IF(AND(J55="",J56=""),4,IF(项目基本情况!K6="上海银行",结果表!J56+1,结果表!J55+1))</f>
        <v>5</v>
      </c>
      <c r="K57" s="3445" t="s">
        <v>1810</v>
      </c>
      <c r="L57" s="2704" t="s">
        <v>1811</v>
      </c>
      <c r="M57" s="2705"/>
      <c r="N57" s="2706">
        <f ca="1">SUMIF(M52:M56,"&lt;9e307")</f>
        <v>92068</v>
      </c>
      <c r="O57" s="2707"/>
      <c r="P57" s="2867">
        <f ca="1">N57/M49</f>
        <v>0.57692862021643909</v>
      </c>
    </row>
    <row r="58" spans="1:35" ht="25.2">
      <c r="A58" s="2507" t="s">
        <v>1795</v>
      </c>
      <c r="B58" s="3403" t="s">
        <v>1812</v>
      </c>
      <c r="C58" s="3377"/>
      <c r="D58" s="2496">
        <f ca="1">IF(H58="转让取得",C81,C97)</f>
        <v>90468</v>
      </c>
      <c r="E58" s="2506" t="s">
        <v>1807</v>
      </c>
      <c r="F58" s="308" t="s">
        <v>34</v>
      </c>
      <c r="G58" s="2729"/>
      <c r="H58" s="2732"/>
      <c r="I58" s="1943"/>
      <c r="J58" s="3445"/>
      <c r="K58" s="3445"/>
      <c r="L58" s="2704" t="s">
        <v>1813</v>
      </c>
      <c r="M58" s="2708"/>
      <c r="N58" s="2709" t="str">
        <f ca="1">NUMBERSTRING(INT(N57*10000),2)&amp;"元整"</f>
        <v>玖亿贰仟零陆拾捌万元整</v>
      </c>
      <c r="O58" s="2710"/>
    </row>
    <row r="59" spans="1:35" ht="24.6" thickBot="1">
      <c r="A59" s="3448" t="s">
        <v>1814</v>
      </c>
      <c r="B59" s="3449"/>
      <c r="C59" s="3449"/>
      <c r="D59" s="2734">
        <f ca="1">IF(H59="非个人房产","——",IF(H59="个人住宅（满五唯一有凭证）",0,IF(H59="个人其他（无凭证）",ROUND(D45*F59,0),ROUND(C67*F59,0))))</f>
        <v>1520</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1808</v>
      </c>
      <c r="H59" s="2481"/>
      <c r="I59" s="2480" t="s">
        <v>2635</v>
      </c>
      <c r="J59" s="3446">
        <f>J57+1</f>
        <v>6</v>
      </c>
      <c r="K59" s="3445" t="s">
        <v>1815</v>
      </c>
      <c r="L59" s="2697" t="s">
        <v>1811</v>
      </c>
      <c r="M59" s="2711"/>
      <c r="N59" s="2712">
        <f ca="1">M49-N57</f>
        <v>67515</v>
      </c>
      <c r="O59" s="2713"/>
    </row>
    <row r="60" spans="1:35" ht="12" customHeight="1">
      <c r="A60" s="1944"/>
      <c r="B60" s="1882"/>
      <c r="C60" s="1882"/>
      <c r="D60" s="1882"/>
      <c r="E60" s="1713"/>
      <c r="F60" s="1943"/>
      <c r="G60" s="1943"/>
      <c r="H60" s="1945"/>
      <c r="I60" s="134"/>
      <c r="J60" s="3447"/>
      <c r="K60" s="3445"/>
      <c r="L60" s="2704" t="s">
        <v>1813</v>
      </c>
      <c r="M60" s="2708"/>
      <c r="N60" s="2709" t="str">
        <f ca="1">NUMBERSTRING(INT(N59*10000),2)&amp;"元整"</f>
        <v>陆亿柒仟伍佰壹拾伍万元整</v>
      </c>
      <c r="O60" s="2710"/>
    </row>
    <row r="61" spans="1:35" ht="13.8" thickBot="1">
      <c r="A61" s="3390" t="s">
        <v>1816</v>
      </c>
      <c r="B61" s="3390"/>
      <c r="C61" s="3390"/>
      <c r="D61" s="3390"/>
      <c r="E61" s="3390"/>
      <c r="F61" s="1943"/>
      <c r="G61" s="1943"/>
      <c r="H61" s="1945"/>
      <c r="I61" s="134"/>
      <c r="J61" s="2697">
        <f>J59+1</f>
        <v>7</v>
      </c>
      <c r="K61" s="3445" t="s">
        <v>1817</v>
      </c>
      <c r="L61" s="3445"/>
      <c r="M61" s="2714"/>
      <c r="N61" s="2715">
        <f ca="1">ROUND(N59*10000/'数据-汇总表'!E3,0)</f>
        <v>2768</v>
      </c>
      <c r="O61" s="2716"/>
    </row>
    <row r="62" spans="1:35" ht="13.2">
      <c r="A62" s="3408" t="s">
        <v>1818</v>
      </c>
      <c r="B62" s="3409"/>
      <c r="C62" s="2158"/>
      <c r="D62" s="2158" t="s">
        <v>1819</v>
      </c>
      <c r="E62" s="171" t="s">
        <v>1820</v>
      </c>
      <c r="F62" s="1943"/>
      <c r="G62" s="1943"/>
      <c r="H62" s="1945"/>
      <c r="I62" s="134"/>
    </row>
    <row r="63" spans="1:35" ht="13.2">
      <c r="A63" s="178" t="s">
        <v>594</v>
      </c>
      <c r="B63" s="172" t="s">
        <v>1821</v>
      </c>
      <c r="C63" s="2738">
        <f ca="1">ROUND((C64+C65)/(1+'数据-取费表'!C42),0)</f>
        <v>151984</v>
      </c>
      <c r="D63" s="172"/>
      <c r="E63" s="173"/>
      <c r="F63" s="1943"/>
      <c r="G63" s="1943"/>
      <c r="H63" s="1945"/>
      <c r="I63" s="134"/>
      <c r="J63" s="3470" t="s">
        <v>1822</v>
      </c>
      <c r="K63" s="1452" t="s">
        <v>1823</v>
      </c>
      <c r="L63" s="1452">
        <f ca="1">IF(M49&gt;10000,M49*0.5%,IF(AND(M49&gt;1000,M49&lt;=10000),M49*1%,IF(AND(M49&gt;100,M49&lt;=1000),M49*3%,IF(AND(M49&gt;10,M49&lt;=100),M49*5%,M49*8%))))</f>
        <v>797.91499999999996</v>
      </c>
      <c r="M63" s="308">
        <f ca="1">ROUND(L63,1)</f>
        <v>797.9</v>
      </c>
      <c r="N63" s="2717"/>
      <c r="Z63" s="1887"/>
      <c r="AI63" s="1888"/>
    </row>
    <row r="64" spans="1:35" ht="14.25" customHeight="1">
      <c r="A64" s="174" t="s">
        <v>589</v>
      </c>
      <c r="B64" s="175" t="s">
        <v>1824</v>
      </c>
      <c r="C64" s="2739">
        <f ca="1">D45</f>
        <v>159583</v>
      </c>
      <c r="D64" s="175" t="s">
        <v>32</v>
      </c>
      <c r="E64" s="177"/>
      <c r="F64" s="1943"/>
      <c r="G64" s="1943"/>
      <c r="H64" s="1945"/>
      <c r="I64" s="134"/>
      <c r="J64" s="3470"/>
      <c r="K64" s="1452" t="s">
        <v>1825</v>
      </c>
      <c r="L64" s="1452">
        <f ca="1">IF(M49&gt;2000,M49*0.5%,IF(AND(M49&gt;1000,M49&lt;=2000),M49*0.6%,IF(AND(M49&gt;500,M49&lt;=1000),M49*0.7%,IF(AND(M49&gt;200,M49&lt;=500),M49*0.8%,IF(AND(M49&gt;100,M49&lt;=200),M49*0.9%,IF(AND(M49&gt;50,M49&lt;=100),M49*1%,IF(AND(M49&gt;20,M49&lt;=50),M49*1.5%,IF(AND(M49&gt;10,M49&lt;=20),M49*2%,IF(AND(M49&gt;1,M49&lt;=10),M49*2.5%)))))))))</f>
        <v>797.91499999999996</v>
      </c>
      <c r="M64" s="308">
        <f t="shared" ref="M64:M65" ca="1" si="1">ROUND(L64,1)</f>
        <v>797.9</v>
      </c>
      <c r="N64" s="2718" t="s">
        <v>1826</v>
      </c>
      <c r="Z64" s="1887"/>
      <c r="AI64" s="1888"/>
    </row>
    <row r="65" spans="1:35" ht="14.25" customHeight="1">
      <c r="A65" s="174" t="s">
        <v>590</v>
      </c>
      <c r="B65" s="175" t="s">
        <v>1827</v>
      </c>
      <c r="C65" s="2740"/>
      <c r="D65" s="175"/>
      <c r="E65" s="177"/>
      <c r="F65" s="1943"/>
      <c r="G65" s="1943"/>
      <c r="H65" s="1945"/>
      <c r="I65" s="134"/>
      <c r="J65" s="3470"/>
      <c r="K65" s="1452" t="s">
        <v>1828</v>
      </c>
      <c r="L65" s="1452">
        <f ca="1">IF(M49&gt;1000,M49*0.1%,IF(AND(M49&gt;500,M49&lt;=1000),M49*0.5%,IF(AND(M49&gt;50,M49&lt;=500),M49*1%,IF(AND(M49&gt;1,M49&lt;=50),M49*1.5%))))</f>
        <v>159.583</v>
      </c>
      <c r="M65" s="308">
        <f t="shared" ca="1" si="1"/>
        <v>159.6</v>
      </c>
      <c r="N65" s="2718" t="s">
        <v>1826</v>
      </c>
      <c r="Z65" s="1887"/>
      <c r="AI65" s="1888"/>
    </row>
    <row r="66" spans="1:35" ht="14.25" customHeight="1">
      <c r="A66" s="178" t="s">
        <v>591</v>
      </c>
      <c r="B66" s="179" t="s">
        <v>1829</v>
      </c>
      <c r="C66" s="2741"/>
      <c r="D66" s="179" t="s">
        <v>32</v>
      </c>
      <c r="E66" s="1459" t="s">
        <v>1096</v>
      </c>
      <c r="F66" s="1943"/>
      <c r="G66" s="1943"/>
      <c r="H66" s="1945"/>
      <c r="I66" s="134"/>
      <c r="J66" s="3470"/>
      <c r="K66" s="1452" t="s">
        <v>1830</v>
      </c>
      <c r="L66" s="1452">
        <f ca="1">M49*0.5%</f>
        <v>797.91499999999996</v>
      </c>
      <c r="M66" s="308">
        <f ca="1">IF(L66&gt;0.5,0.5,ROUND(L66,0))</f>
        <v>0.5</v>
      </c>
      <c r="N66" s="2718" t="s">
        <v>1831</v>
      </c>
      <c r="Z66" s="1887"/>
      <c r="AI66" s="1888"/>
    </row>
    <row r="67" spans="1:35" ht="14.25" customHeight="1">
      <c r="A67" s="178" t="s">
        <v>592</v>
      </c>
      <c r="B67" s="179" t="s">
        <v>1832</v>
      </c>
      <c r="C67" s="2742">
        <f ca="1">C63-C66</f>
        <v>151984</v>
      </c>
      <c r="D67" s="175" t="s">
        <v>32</v>
      </c>
      <c r="E67" s="177"/>
      <c r="F67" s="1943"/>
      <c r="G67" s="1943"/>
      <c r="H67" s="1945"/>
      <c r="I67" s="134"/>
      <c r="J67" s="3470"/>
      <c r="K67" s="1452" t="s">
        <v>1833</v>
      </c>
      <c r="L67" s="1452">
        <f ca="1">IF(M49&gt;=10000,(8.25+(M49-10000)*0.01%),IF(AND(M49&gt;=8000,M49&lt;10000),(7.85+(M49-8000)*0.02%),IF(AND(M49&gt;=5000,M49&lt;8000),(6.65+(M49-5000)*0.04%),IF(AND(M49&gt;=2000,M49&lt;5000),(4.25+(PM49-2000)*0.08%),IF(AND(M49&gt;=1000,M49&lt;2000),(2.75+(M49-1000)*0.15%),IF(AND(M49&gt;=100,M49&lt;1000),(0.5+(M49-100)*0.25%),IF(AND(M49&gt;0,M49&lt;100),M49*0.5%)))))))</f>
        <v>23.208300000000001</v>
      </c>
      <c r="M67" s="308">
        <f ca="1">ROUND(L67*0.9,1)</f>
        <v>20.9</v>
      </c>
      <c r="N67" s="2717"/>
      <c r="Z67" s="1887"/>
      <c r="AI67" s="1888"/>
    </row>
    <row r="68" spans="1:35" ht="14.25" customHeight="1" thickBot="1">
      <c r="A68" s="181" t="s">
        <v>593</v>
      </c>
      <c r="B68" s="182" t="s">
        <v>1834</v>
      </c>
      <c r="C68" s="2743">
        <f ca="1">IF(C67&lt;=0,0,ROUND(C67*D68,0))</f>
        <v>8359</v>
      </c>
      <c r="D68" s="2744">
        <f>'数据-取费表'!B41</f>
        <v>5.5000000000000007E-2</v>
      </c>
      <c r="E68" s="184"/>
      <c r="F68" s="1943"/>
      <c r="G68" s="1943"/>
      <c r="H68" s="1945"/>
      <c r="I68" s="134"/>
      <c r="J68" s="3470"/>
      <c r="K68" s="1452" t="s">
        <v>1835</v>
      </c>
      <c r="L68" s="1452">
        <f ca="1">IF(M49&gt;10000,M49*0.5%,IF(AND(M49&gt;5000,M49&lt;=10000),M49*1%,IF(AND(M49&gt;1000,M49&lt;=5000),M49*2%,IF(AND(M49&gt;200,M49&lt;=1000),M49*3%,M49*5%))))</f>
        <v>797.91499999999996</v>
      </c>
      <c r="M68" s="308">
        <f ca="1">ROUND(L68,1)</f>
        <v>797.9</v>
      </c>
      <c r="N68" s="2717"/>
      <c r="Z68" s="1887"/>
      <c r="AI68" s="1888"/>
    </row>
    <row r="69" spans="1:35" s="1907" customFormat="1" ht="16.5" customHeight="1">
      <c r="A69" s="1946"/>
      <c r="B69" s="1947"/>
      <c r="C69" s="1948"/>
      <c r="D69" s="1949"/>
      <c r="E69" s="1950"/>
      <c r="F69" s="1713"/>
      <c r="G69" s="1713"/>
      <c r="H69" s="1712"/>
      <c r="I69" s="1882"/>
      <c r="J69" s="3470"/>
      <c r="K69" s="1452" t="s">
        <v>1836</v>
      </c>
      <c r="L69" s="1452"/>
      <c r="M69" s="308">
        <f ca="1">ROUND(SUM(M63:M68),0)</f>
        <v>2575</v>
      </c>
      <c r="N69" s="2719">
        <f ca="1">M69/M49</f>
        <v>1.613580393901606E-2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4" thickBot="1">
      <c r="A70" s="3429" t="s">
        <v>1837</v>
      </c>
      <c r="B70" s="3430"/>
      <c r="C70" s="3430"/>
      <c r="D70" s="3430"/>
      <c r="E70" s="3430"/>
      <c r="F70" s="3430"/>
      <c r="G70" s="3430"/>
      <c r="H70" s="3430"/>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3.8">
      <c r="A71" s="3408" t="s">
        <v>1818</v>
      </c>
      <c r="B71" s="3409"/>
      <c r="C71" s="2158"/>
      <c r="D71" s="2158" t="s">
        <v>1819</v>
      </c>
      <c r="E71" s="185" t="s">
        <v>1820</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3.8">
      <c r="A72" s="178" t="s">
        <v>594</v>
      </c>
      <c r="B72" s="179" t="s">
        <v>1838</v>
      </c>
      <c r="C72" s="2742">
        <f ca="1">ROUND(D45/(1+'数据-取费表'!C42),0)</f>
        <v>151984</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3.8">
      <c r="A73" s="178" t="s">
        <v>591</v>
      </c>
      <c r="B73" s="168" t="s">
        <v>1839</v>
      </c>
      <c r="C73" s="2742">
        <f ca="1">C74+C78</f>
        <v>760</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1840</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28.8">
      <c r="A75" s="174" t="s">
        <v>595</v>
      </c>
      <c r="B75" s="175" t="s">
        <v>1841</v>
      </c>
      <c r="C75" s="2745"/>
      <c r="D75" s="175" t="s">
        <v>32</v>
      </c>
      <c r="E75" s="190" t="s">
        <v>1842</v>
      </c>
      <c r="F75" s="2746"/>
      <c r="G75" s="190" t="s">
        <v>1843</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1844</v>
      </c>
      <c r="C76" s="175">
        <f>IF(F75="购房发票",ROUND(C75*H75*D76,0),0)</f>
        <v>0</v>
      </c>
      <c r="D76" s="2748">
        <v>0.05</v>
      </c>
      <c r="E76" s="3403" t="s">
        <v>1845</v>
      </c>
      <c r="F76" s="3377"/>
      <c r="G76" s="3377"/>
      <c r="H76" s="3428"/>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1846</v>
      </c>
      <c r="C77" s="175">
        <f>ROUND(IF(G77="个人住宅",0,IF(G77="2016年5月1日前购买",C75*D77,C75*D77/(1+'数据-取费表'!C42))),0)</f>
        <v>0</v>
      </c>
      <c r="D77" s="2749">
        <f>'数据-取费表'!B48+'数据-取费表'!B49</f>
        <v>3.0499999999999999E-2</v>
      </c>
      <c r="E77" s="2496" t="s">
        <v>1847</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1848</v>
      </c>
      <c r="C78" s="2750">
        <f ca="1">ROUND(D45*D78/(1+'数据-取费表'!C42),0)</f>
        <v>760</v>
      </c>
      <c r="D78" s="2751">
        <f>'数据-取费表'!B43</f>
        <v>5.000000000000001E-3</v>
      </c>
      <c r="E78" s="3387" t="s">
        <v>1849</v>
      </c>
      <c r="F78" s="3388"/>
      <c r="G78" s="3388"/>
      <c r="H78" s="3397"/>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3.8">
      <c r="A79" s="178" t="s">
        <v>598</v>
      </c>
      <c r="B79" s="179" t="s">
        <v>1850</v>
      </c>
      <c r="C79" s="2742">
        <f ca="1">C72-C73</f>
        <v>151224</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1851</v>
      </c>
      <c r="C80" s="2752">
        <f ca="1">IF(C79&lt;=0,0,C79/C73)</f>
        <v>198.97894736842105</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6" thickBot="1">
      <c r="A81" s="181" t="s">
        <v>600</v>
      </c>
      <c r="B81" s="182" t="s">
        <v>1852</v>
      </c>
      <c r="C81" s="2753">
        <f ca="1">ROUND(IF(C79&lt;=0,0,IF(C80&gt;=200%,C79*60%-C73*35%,IF(C80&gt;=100%,C79*50%-C73*15%,IF(C80&gt;=50%,C79*40%-C73*5%,IF(C80&lt;50%,C79*30%,0))))),0)</f>
        <v>90468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4" thickBot="1">
      <c r="A83" s="3429" t="s">
        <v>1853</v>
      </c>
      <c r="B83" s="3430"/>
      <c r="C83" s="3430"/>
      <c r="D83" s="3430"/>
      <c r="E83" s="3430"/>
      <c r="F83" s="3430"/>
      <c r="G83" s="3430"/>
      <c r="H83" s="3430"/>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3.8">
      <c r="A84" s="3408" t="s">
        <v>1818</v>
      </c>
      <c r="B84" s="3409"/>
      <c r="C84" s="2158"/>
      <c r="D84" s="2158" t="s">
        <v>1819</v>
      </c>
      <c r="E84" s="185" t="s">
        <v>1820</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3.8">
      <c r="A85" s="178" t="s">
        <v>594</v>
      </c>
      <c r="B85" s="179" t="s">
        <v>1838</v>
      </c>
      <c r="C85" s="2742">
        <f ca="1">ROUND(D45/(1+'数据-取费表'!C42),0)</f>
        <v>151984</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3.8">
      <c r="A86" s="178" t="s">
        <v>591</v>
      </c>
      <c r="B86" s="168" t="s">
        <v>1839</v>
      </c>
      <c r="C86" s="2742">
        <f ca="1">IF(H88="仅含出让金",C87+C90+C91+C92+C93+C94,C87+C91+C92+C93+C94)</f>
        <v>760</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3.8">
      <c r="A87" s="174" t="s">
        <v>589</v>
      </c>
      <c r="B87" s="175" t="s">
        <v>1854</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4">
      <c r="A88" s="174" t="s">
        <v>595</v>
      </c>
      <c r="B88" s="175" t="s">
        <v>1855</v>
      </c>
      <c r="C88" s="2756"/>
      <c r="D88" s="2751"/>
      <c r="E88" s="199" t="s">
        <v>1856</v>
      </c>
      <c r="F88" s="2499"/>
      <c r="G88" s="200" t="s">
        <v>1857</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3.8">
      <c r="A89" s="174" t="s">
        <v>596</v>
      </c>
      <c r="B89" s="175" t="s">
        <v>1846</v>
      </c>
      <c r="C89" s="2750">
        <f>ROUND(C88*D89,0)</f>
        <v>0</v>
      </c>
      <c r="D89" s="2751">
        <f>'数据-取费表'!B48+'数据-取费表'!B49</f>
        <v>3.0499999999999999E-2</v>
      </c>
      <c r="E89" s="199" t="s">
        <v>1858</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4">
      <c r="A90" s="174" t="s">
        <v>590</v>
      </c>
      <c r="B90" s="175" t="s">
        <v>1859</v>
      </c>
      <c r="C90" s="2756"/>
      <c r="D90" s="2751"/>
      <c r="E90" s="199" t="str">
        <f>IF(H88="-","土地取得成本中已包含该笔费用"," ")</f>
        <v xml:space="preserve"> </v>
      </c>
      <c r="F90" s="2499"/>
      <c r="G90" s="3472" t="s">
        <v>2627</v>
      </c>
      <c r="H90" s="3473"/>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1860</v>
      </c>
      <c r="B91" s="175" t="s">
        <v>1861</v>
      </c>
      <c r="C91" s="2750">
        <f>IF(H91="——",成本法!C33,I91)</f>
        <v>0</v>
      </c>
      <c r="D91" s="2751"/>
      <c r="E91" s="3387" t="s">
        <v>1862</v>
      </c>
      <c r="F91" s="3388"/>
      <c r="G91" s="3388"/>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1863</v>
      </c>
      <c r="B92" s="175" t="s">
        <v>1864</v>
      </c>
      <c r="C92" s="2750">
        <f>ROUND((C87+C90+C91)*D92,0)</f>
        <v>0</v>
      </c>
      <c r="D92" s="2757"/>
      <c r="E92" s="3387" t="s">
        <v>1865</v>
      </c>
      <c r="F92" s="3388"/>
      <c r="G92" s="3388"/>
      <c r="H92" s="3397"/>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1866</v>
      </c>
      <c r="B93" s="175" t="s">
        <v>1848</v>
      </c>
      <c r="C93" s="2750">
        <f ca="1">ROUND(D45*D93/(1+'数据-取费表'!C42),0)</f>
        <v>760</v>
      </c>
      <c r="D93" s="2751">
        <f>'数据-取费表'!B43</f>
        <v>5.000000000000001E-3</v>
      </c>
      <c r="E93" s="3387" t="s">
        <v>1849</v>
      </c>
      <c r="F93" s="3388"/>
      <c r="G93" s="3388"/>
      <c r="H93" s="3397"/>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1867</v>
      </c>
      <c r="B94" s="175" t="s">
        <v>1868</v>
      </c>
      <c r="C94" s="2756">
        <f>ROUND((C87+C90+C91)*D94,0)</f>
        <v>0</v>
      </c>
      <c r="D94" s="2751">
        <v>0.2</v>
      </c>
      <c r="E94" s="3398" t="s">
        <v>1869</v>
      </c>
      <c r="F94" s="3399"/>
      <c r="G94" s="3399"/>
      <c r="H94" s="3400"/>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3.8">
      <c r="A95" s="178" t="s">
        <v>598</v>
      </c>
      <c r="B95" s="179" t="s">
        <v>1850</v>
      </c>
      <c r="C95" s="2742">
        <f ca="1">ROUND(C85-C86,0)</f>
        <v>151224</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1851</v>
      </c>
      <c r="C96" s="2752">
        <f ca="1">IF(C95&lt;=0,0,C95/C86)</f>
        <v>198.97894736842105</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6" thickBot="1">
      <c r="A97" s="181" t="s">
        <v>600</v>
      </c>
      <c r="B97" s="182" t="s">
        <v>1852</v>
      </c>
      <c r="C97" s="2753">
        <f ca="1">ROUND(IF(C95&lt;=0,0,IF(C96&gt;=200%,C95*60%-C86*35%,IF(C96&gt;=100%,C95*50%-C86*15%,IF(C96&gt;=50%,C95*40%-C86*5%,IF(C96&lt;50%,C95*30%,0))))),0)</f>
        <v>90468</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1870</v>
      </c>
      <c r="B99" s="1882"/>
      <c r="C99" s="1882"/>
      <c r="D99" s="1882"/>
      <c r="E99" s="1713"/>
      <c r="F99" s="1713"/>
      <c r="G99" s="1713"/>
      <c r="H99" s="1712"/>
      <c r="I99" s="134"/>
    </row>
    <row r="100" spans="1:35" ht="18.75" customHeight="1">
      <c r="A100" s="3364" t="s">
        <v>1871</v>
      </c>
      <c r="B100" s="3365"/>
      <c r="C100" s="3365"/>
      <c r="D100" s="3389"/>
      <c r="E100" s="3365" t="s">
        <v>1872</v>
      </c>
      <c r="F100" s="3365"/>
      <c r="G100" s="3365"/>
      <c r="H100" s="3389"/>
      <c r="I100" s="134"/>
    </row>
    <row r="101" spans="1:35" ht="18.75" customHeight="1">
      <c r="A101" s="3453" t="s">
        <v>1873</v>
      </c>
      <c r="B101" s="3454"/>
      <c r="C101" s="2759" t="str">
        <f>C4</f>
        <v>成本法</v>
      </c>
      <c r="D101" s="2760" t="str">
        <f>D4</f>
        <v>收益法（汇总）</v>
      </c>
      <c r="E101" s="3467" t="s">
        <v>1874</v>
      </c>
      <c r="F101" s="3421"/>
      <c r="G101" s="1962" t="s">
        <v>1875</v>
      </c>
      <c r="H101" s="2769">
        <f ca="1">H118</f>
        <v>159583</v>
      </c>
      <c r="I101" s="134"/>
    </row>
    <row r="102" spans="1:35" ht="18.75" customHeight="1">
      <c r="A102" s="3423" t="s">
        <v>1876</v>
      </c>
      <c r="B102" s="2758" t="s">
        <v>1875</v>
      </c>
      <c r="C102" s="2759">
        <f ca="1">C19</f>
        <v>167502</v>
      </c>
      <c r="D102" s="2760">
        <f ca="1">D19</f>
        <v>151664</v>
      </c>
      <c r="E102" s="3467"/>
      <c r="F102" s="3421"/>
      <c r="G102" s="1962" t="s">
        <v>1877</v>
      </c>
      <c r="H102" s="2729">
        <f ca="1">I118</f>
        <v>6542</v>
      </c>
      <c r="I102" s="134"/>
    </row>
    <row r="103" spans="1:35" ht="42.75" customHeight="1">
      <c r="A103" s="3423"/>
      <c r="B103" s="2758" t="s">
        <v>1877</v>
      </c>
      <c r="C103" s="2761">
        <f ca="1">C20</f>
        <v>6867</v>
      </c>
      <c r="D103" s="2762">
        <f ca="1">D20</f>
        <v>6218</v>
      </c>
      <c r="E103" s="3461" t="s">
        <v>1878</v>
      </c>
      <c r="F103" s="3462"/>
      <c r="G103" s="1963" t="s">
        <v>1879</v>
      </c>
      <c r="H103" s="2769">
        <f>IF(D36="正常操作",H104+H105+H106,H105+H106)</f>
        <v>0</v>
      </c>
      <c r="I103" s="134"/>
    </row>
    <row r="104" spans="1:35" ht="18.75" customHeight="1">
      <c r="A104" s="3423" t="s">
        <v>1880</v>
      </c>
      <c r="B104" s="2763" t="s">
        <v>1875</v>
      </c>
      <c r="C104" s="2764">
        <f ca="1">H118</f>
        <v>159583</v>
      </c>
      <c r="D104" s="2765"/>
      <c r="E104" s="1809" t="s">
        <v>1881</v>
      </c>
      <c r="F104" s="1801"/>
      <c r="G104" s="1963" t="s">
        <v>1879</v>
      </c>
      <c r="H104" s="2770">
        <f>IF(D36="同一抵押权人同一抵押物续贷",C36&amp;"（续贷，未扣减，详见特别提示）",C36)</f>
        <v>0</v>
      </c>
      <c r="I104" s="134"/>
    </row>
    <row r="105" spans="1:35" ht="18.75" customHeight="1" thickBot="1">
      <c r="A105" s="3424"/>
      <c r="B105" s="2766" t="s">
        <v>1877</v>
      </c>
      <c r="C105" s="2767">
        <f ca="1">I118</f>
        <v>6542</v>
      </c>
      <c r="D105" s="2768"/>
      <c r="E105" s="1809" t="s">
        <v>1882</v>
      </c>
      <c r="F105" s="1801"/>
      <c r="G105" s="1963" t="s">
        <v>1879</v>
      </c>
      <c r="H105" s="2771">
        <f>C37</f>
        <v>0</v>
      </c>
      <c r="I105" s="134"/>
    </row>
    <row r="106" spans="1:35" ht="18.75" customHeight="1">
      <c r="A106" s="1882" t="s">
        <v>1883</v>
      </c>
      <c r="B106" s="1882"/>
      <c r="C106" s="1882"/>
      <c r="D106" s="1882"/>
      <c r="E106" s="1964" t="s">
        <v>1884</v>
      </c>
      <c r="F106" s="1801"/>
      <c r="G106" s="1963" t="s">
        <v>1879</v>
      </c>
      <c r="H106" s="2771">
        <f>C38</f>
        <v>0</v>
      </c>
      <c r="I106" s="134"/>
    </row>
    <row r="107" spans="1:35" ht="18.75" customHeight="1">
      <c r="A107" s="134"/>
      <c r="B107" s="134"/>
      <c r="C107" s="134"/>
      <c r="D107" s="134"/>
      <c r="E107" s="3420" t="str">
        <f>IF(项目基本情况!E8="已注销","——","3.房地产抵押价值")</f>
        <v>3.房地产抵押价值</v>
      </c>
      <c r="F107" s="3421"/>
      <c r="G107" s="1962" t="s">
        <v>1875</v>
      </c>
      <c r="H107" s="2769">
        <f ca="1">IF(E107="——","——",H101-H103)</f>
        <v>159583</v>
      </c>
      <c r="I107" s="134"/>
    </row>
    <row r="108" spans="1:35" ht="18.75" customHeight="1">
      <c r="A108" s="134"/>
      <c r="B108" s="134"/>
      <c r="C108" s="134"/>
      <c r="D108" s="134"/>
      <c r="E108" s="3420"/>
      <c r="F108" s="3421"/>
      <c r="G108" s="1962" t="s">
        <v>1877</v>
      </c>
      <c r="H108" s="2729">
        <f ca="1">ROUND(H107*10000/'数据-汇总表'!E3,0)</f>
        <v>6542</v>
      </c>
      <c r="I108" s="134"/>
    </row>
    <row r="109" spans="1:35" ht="18.75" customHeight="1">
      <c r="A109" s="134"/>
      <c r="B109" s="134"/>
      <c r="C109" s="134"/>
      <c r="D109" s="134"/>
      <c r="E109" s="3420" t="str">
        <f>IF(项目基本情况!E8="已注销及未注销","4.抵押担保权已注销时的房地产抵押价值",IF(项目基本情况!E8="已注销","3.抵押担保权已注销时的房地产抵押价值","——"))</f>
        <v>——</v>
      </c>
      <c r="F109" s="3421"/>
      <c r="G109" s="1962" t="s">
        <v>1875</v>
      </c>
      <c r="H109" s="2772" t="str">
        <f>IF(E109="——","——",H101-H105-H106)</f>
        <v>——</v>
      </c>
      <c r="I109" s="134"/>
    </row>
    <row r="110" spans="1:35" ht="18.75" customHeight="1">
      <c r="A110" s="134"/>
      <c r="B110" s="134"/>
      <c r="C110" s="134"/>
      <c r="D110" s="134"/>
      <c r="E110" s="3420"/>
      <c r="F110" s="3421"/>
      <c r="G110" s="1962" t="s">
        <v>1877</v>
      </c>
      <c r="H110" s="2729" t="str">
        <f>IF(H109="——","——",ROUND(H109*10000/'数据-汇总表'!E3,0))</f>
        <v>——</v>
      </c>
      <c r="I110" s="134"/>
    </row>
    <row r="111" spans="1:35" ht="18.75" customHeight="1">
      <c r="A111" s="134"/>
      <c r="B111" s="134"/>
      <c r="C111" s="134"/>
      <c r="D111" s="134"/>
      <c r="E111" s="3455" t="str">
        <f>IF(项目基本情况!E9="抵押净值",IF(OR(项目基本情况!E8="已注销",项目基本情况!E8="房地产抵押价值"),"4.抵押净值","5.抵押净值"),"——")</f>
        <v>——</v>
      </c>
      <c r="F111" s="3422"/>
      <c r="G111" s="1962" t="s">
        <v>1875</v>
      </c>
      <c r="H111" s="2769" t="str">
        <f>IF(E111="——","——",N59)</f>
        <v>——</v>
      </c>
      <c r="I111" s="134"/>
    </row>
    <row r="112" spans="1:35" ht="18.75" customHeight="1" thickBot="1">
      <c r="A112" s="134"/>
      <c r="B112" s="134"/>
      <c r="C112" s="134"/>
      <c r="D112" s="134"/>
      <c r="E112" s="3456"/>
      <c r="F112" s="3457"/>
      <c r="G112" s="1965" t="s">
        <v>1877</v>
      </c>
      <c r="H112" s="2773" t="str">
        <f>IF(E111="——","——",N61)</f>
        <v>——</v>
      </c>
      <c r="I112" s="134"/>
    </row>
    <row r="113" spans="1:27" ht="18.75" customHeight="1">
      <c r="A113" s="134"/>
      <c r="B113" s="134"/>
      <c r="C113" s="134"/>
      <c r="D113" s="134"/>
      <c r="E113" s="3425" t="s">
        <v>1883</v>
      </c>
      <c r="F113" s="3425"/>
      <c r="G113" s="3425"/>
      <c r="H113" s="3425"/>
      <c r="I113" s="134"/>
    </row>
    <row r="114" spans="1:27" ht="3.75" customHeight="1">
      <c r="A114" s="1882"/>
      <c r="B114" s="1882"/>
      <c r="C114" s="1882"/>
      <c r="D114" s="1882"/>
      <c r="E114" s="1944"/>
      <c r="F114" s="1944"/>
      <c r="G114" s="1944"/>
      <c r="H114" s="1944"/>
      <c r="I114" s="1882"/>
    </row>
    <row r="115" spans="1:27" ht="18.75" customHeight="1">
      <c r="A115" s="3438" t="s">
        <v>1885</v>
      </c>
      <c r="B115" s="3439"/>
      <c r="C115" s="3439"/>
      <c r="D115" s="3439"/>
      <c r="E115" s="3439"/>
      <c r="F115" s="3439"/>
      <c r="G115" s="3439"/>
      <c r="H115" s="3439"/>
      <c r="I115" s="3440"/>
    </row>
    <row r="116" spans="1:27" ht="27" customHeight="1">
      <c r="A116" s="3391" t="s">
        <v>1886</v>
      </c>
      <c r="B116" s="3426" t="s">
        <v>1887</v>
      </c>
      <c r="C116" s="3426" t="s">
        <v>1888</v>
      </c>
      <c r="D116" s="3442" t="s">
        <v>1889</v>
      </c>
      <c r="E116" s="3443"/>
      <c r="F116" s="3434" t="s">
        <v>1890</v>
      </c>
      <c r="G116" s="3434"/>
      <c r="H116" s="3391" t="s">
        <v>1891</v>
      </c>
      <c r="I116" s="3391"/>
    </row>
    <row r="117" spans="1:27" ht="18.75" customHeight="1">
      <c r="A117" s="3391"/>
      <c r="B117" s="3427"/>
      <c r="C117" s="3427"/>
      <c r="D117" s="2501" t="s">
        <v>1892</v>
      </c>
      <c r="E117" s="2501" t="s">
        <v>1893</v>
      </c>
      <c r="F117" s="2501" t="s">
        <v>1892</v>
      </c>
      <c r="G117" s="2501" t="s">
        <v>1894</v>
      </c>
      <c r="H117" s="2501" t="s">
        <v>1892</v>
      </c>
      <c r="I117" s="2501" t="s">
        <v>1894</v>
      </c>
    </row>
    <row r="118" spans="1:27" ht="24.75" customHeight="1">
      <c r="A118" s="2774" t="str">
        <f>项目基本情况!S2</f>
        <v>北京市房地产</v>
      </c>
      <c r="B118" s="2501">
        <f>M18</f>
        <v>243924.88</v>
      </c>
      <c r="C118" s="2501">
        <f>M19</f>
        <v>118122.57</v>
      </c>
      <c r="D118" s="2501">
        <f ca="1">ROUND(IF(D32="总价",C34,E118*B118/10000),0)</f>
        <v>49311</v>
      </c>
      <c r="E118" s="2501">
        <f ca="1">ROUND(IF(C33="自定义",IF(D32="楼面单价",C34,D118*10000/B118),I118-G118),0)</f>
        <v>2021</v>
      </c>
      <c r="F118" s="2501">
        <f ca="1">ROUND(IF(D32="总价",C35,G118*B118/10000),0)</f>
        <v>110272</v>
      </c>
      <c r="G118" s="2501">
        <f ca="1">ROUND(IF(D32="楼面单价",C35,F118*10000/B118),0)</f>
        <v>4521</v>
      </c>
      <c r="H118" s="2501">
        <f ca="1">ROUND(IF(D32="总价",C32,I118*B118/10000),0)</f>
        <v>159583</v>
      </c>
      <c r="I118" s="2501">
        <f ca="1">ROUND(IF(D32="楼面单价",C32,H118*10000/B118),0)</f>
        <v>6542</v>
      </c>
      <c r="K118" s="734">
        <f ca="1">D118/(C118/666.67)</f>
        <v>278.30552933279387</v>
      </c>
    </row>
    <row r="119" spans="1:27" ht="18.75" customHeight="1">
      <c r="A119" s="3391" t="s">
        <v>1895</v>
      </c>
      <c r="B119" s="3391"/>
      <c r="C119" s="3391"/>
      <c r="D119" s="3431" t="str">
        <f ca="1">NUMBERSTRING(INT(D118*10000),2)&amp;"元整"</f>
        <v>肆亿玖仟叁佰壹拾壹万元整</v>
      </c>
      <c r="E119" s="3433"/>
      <c r="F119" s="3431" t="str">
        <f ca="1">NUMBERSTRING(INT(F118*10000),2)&amp;"元整"</f>
        <v>壹拾壹亿零贰佰柒拾贰万元整</v>
      </c>
      <c r="G119" s="3433"/>
      <c r="H119" s="3431" t="str">
        <f ca="1">NUMBERSTRING(INT(H118*10000),2)&amp;"元整"</f>
        <v>壹拾伍亿玖仟伍佰捌拾叁万元整</v>
      </c>
      <c r="I119" s="3433"/>
      <c r="K119" s="734">
        <f>'土地比较法-工业'!B2/(C118/666.67)</f>
        <v>181.2363804817318</v>
      </c>
    </row>
    <row r="120" spans="1:27" ht="18.75" customHeight="1">
      <c r="A120" s="3458" t="str">
        <f>IF(项目基本情况!B9="房地产市场价值","",MID(E103,3,LEN(E103)-2))</f>
        <v>估价师知悉的法定优先受偿款</v>
      </c>
      <c r="B120" s="3459"/>
      <c r="C120" s="3460"/>
      <c r="D120" s="3458">
        <f>H103</f>
        <v>0</v>
      </c>
      <c r="E120" s="3459"/>
      <c r="F120" s="3459"/>
      <c r="G120" s="3459"/>
      <c r="H120" s="3459"/>
      <c r="I120" s="3460"/>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35" t="s">
        <v>1895</v>
      </c>
      <c r="B121" s="3436"/>
      <c r="C121" s="3437"/>
      <c r="D121" s="3431" t="str">
        <f>IF(D120=0,"零元整",NUMBERSTRING(INT(D120*10000),2)&amp;"元整")</f>
        <v>零元整</v>
      </c>
      <c r="E121" s="3432"/>
      <c r="F121" s="3432"/>
      <c r="G121" s="3432"/>
      <c r="H121" s="3432"/>
      <c r="I121" s="3433"/>
      <c r="AA121" s="734"/>
    </row>
    <row r="122" spans="1:27" ht="18.75" customHeight="1">
      <c r="A122" s="3422" t="str">
        <f>IF(项目基本情况!B9="房地产市场价值","",MID(E107,3,LEN(E107)-2))</f>
        <v>房地产抵押价值</v>
      </c>
      <c r="B122" s="3422"/>
      <c r="C122" s="3422"/>
      <c r="D122" s="3458">
        <f ca="1">H107</f>
        <v>159583</v>
      </c>
      <c r="E122" s="3459"/>
      <c r="F122" s="3459"/>
      <c r="G122" s="3459"/>
      <c r="H122" s="3459"/>
      <c r="I122" s="3460"/>
      <c r="AA122" s="734"/>
    </row>
    <row r="123" spans="1:27" ht="18.75" customHeight="1">
      <c r="A123" s="3391" t="s">
        <v>1895</v>
      </c>
      <c r="B123" s="3391"/>
      <c r="C123" s="3391"/>
      <c r="D123" s="3431" t="str">
        <f ca="1">NUMBERSTRING(INT(D122*10000),2)&amp;"元整"</f>
        <v>壹拾伍亿玖仟伍佰捌拾叁万元整</v>
      </c>
      <c r="E123" s="3432"/>
      <c r="F123" s="3432"/>
      <c r="G123" s="3432"/>
      <c r="H123" s="3432"/>
      <c r="I123" s="3433"/>
      <c r="AA123" s="734"/>
    </row>
    <row r="124" spans="1:27" ht="18.75" customHeight="1">
      <c r="A124" s="3422" t="str">
        <f>IF(项目基本情况!B9="房地产市场价值","",MID(E109,3,LEN(E109)-2))</f>
        <v/>
      </c>
      <c r="B124" s="3422"/>
      <c r="C124" s="3422"/>
      <c r="D124" s="3458" t="str">
        <f>H109</f>
        <v>——</v>
      </c>
      <c r="E124" s="3459"/>
      <c r="F124" s="3459"/>
      <c r="G124" s="3459"/>
      <c r="H124" s="3459"/>
      <c r="I124" s="3460"/>
      <c r="AA124" s="734"/>
    </row>
    <row r="125" spans="1:27" ht="18.75" customHeight="1">
      <c r="A125" s="3391" t="s">
        <v>1895</v>
      </c>
      <c r="B125" s="3391"/>
      <c r="C125" s="3391"/>
      <c r="D125" s="3431" t="e">
        <f>NUMBERSTRING(INT(D124*10000),2)&amp;"元整"</f>
        <v>#VALUE!</v>
      </c>
      <c r="E125" s="3432"/>
      <c r="F125" s="3432"/>
      <c r="G125" s="3432"/>
      <c r="H125" s="3432"/>
      <c r="I125" s="3433"/>
      <c r="AA125" s="734"/>
    </row>
    <row r="126" spans="1:27" ht="18.75" customHeight="1">
      <c r="A126" s="3422" t="str">
        <f>IF(项目基本情况!B9="房地产市场价值","",MID(E111,3,LEN(E111)-2))</f>
        <v/>
      </c>
      <c r="B126" s="3422"/>
      <c r="C126" s="3422"/>
      <c r="D126" s="3458" t="str">
        <f>H111</f>
        <v>——</v>
      </c>
      <c r="E126" s="3459"/>
      <c r="F126" s="3459"/>
      <c r="G126" s="3459"/>
      <c r="H126" s="3459"/>
      <c r="I126" s="3460"/>
      <c r="AA126" s="734"/>
    </row>
    <row r="127" spans="1:27" ht="18.75" customHeight="1">
      <c r="A127" s="3391" t="s">
        <v>1895</v>
      </c>
      <c r="B127" s="3391"/>
      <c r="C127" s="3391"/>
      <c r="D127" s="3431" t="e">
        <f>NUMBERSTRING(INT(D126*10000),2)&amp;"元整"</f>
        <v>#VALUE!</v>
      </c>
      <c r="E127" s="3432"/>
      <c r="F127" s="3432"/>
      <c r="G127" s="3432"/>
      <c r="H127" s="3432"/>
      <c r="I127" s="3433"/>
      <c r="AA127" s="734"/>
    </row>
    <row r="128" spans="1:27" ht="21.75" customHeight="1">
      <c r="A128" s="3441" t="s">
        <v>1896</v>
      </c>
      <c r="B128" s="3441"/>
      <c r="C128" s="3441"/>
      <c r="D128" s="3441"/>
      <c r="E128" s="3441"/>
      <c r="F128" s="3441"/>
      <c r="G128" s="3441"/>
      <c r="H128" s="3441"/>
      <c r="I128" s="3441"/>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78" t="str">
        <f>项目基本情况!B1</f>
        <v>北京市房地产抵押价值预评估</v>
      </c>
      <c r="C37" s="3278"/>
      <c r="D37" s="3278"/>
      <c r="E37" s="3278"/>
      <c r="F37" s="3278"/>
      <c r="G37" s="3278"/>
      <c r="H37" s="3278"/>
      <c r="I37" s="3278"/>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c r="B46" s="1609" t="str">
        <f ca="1">项目基本情况!K4</f>
        <v>吴薇（注册号：1419970001)、崔锴（注册号：0)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zoomScaleSheetLayoutView="70" workbookViewId="0">
      <selection activeCell="C33" sqref="C33"/>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1904</v>
      </c>
      <c r="B1" s="1604"/>
      <c r="C1" s="204"/>
      <c r="D1" s="204"/>
      <c r="E1" s="204"/>
      <c r="F1" s="204"/>
      <c r="G1" s="1241">
        <f>MATCH(B1,'数据-取费表'!A6:A16,0)+5</f>
        <v>9</v>
      </c>
    </row>
    <row r="2" spans="1:9" s="206" customFormat="1" ht="18" customHeight="1">
      <c r="A2" s="207" t="s">
        <v>1905</v>
      </c>
      <c r="B2" s="208">
        <f ca="1">IF(D2="——",C52,C52-E2)</f>
        <v>167502</v>
      </c>
      <c r="C2" s="205" t="s">
        <v>1906</v>
      </c>
      <c r="D2" s="1988" t="s">
        <v>70</v>
      </c>
      <c r="E2" s="1284"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6867</v>
      </c>
      <c r="C3" s="205" t="s">
        <v>1908</v>
      </c>
      <c r="D3" s="205"/>
      <c r="E3" s="205"/>
      <c r="F3" s="205"/>
      <c r="G3" s="205"/>
    </row>
    <row r="4" spans="1:9" s="214" customFormat="1" ht="16.2">
      <c r="A4" s="211" t="s">
        <v>1909</v>
      </c>
      <c r="B4" s="212"/>
      <c r="C4" s="212"/>
      <c r="D4" s="212"/>
      <c r="E4" s="212"/>
      <c r="F4" s="212"/>
      <c r="G4" s="213"/>
    </row>
    <row r="5" spans="1:9" s="220" customFormat="1" ht="13.5" customHeight="1">
      <c r="A5" s="261" t="s">
        <v>1910</v>
      </c>
      <c r="B5" s="216" t="s">
        <v>1911</v>
      </c>
      <c r="C5" s="217">
        <f ca="1">C6+C7+C8</f>
        <v>37726</v>
      </c>
      <c r="D5" s="217" t="s">
        <v>1912</v>
      </c>
      <c r="E5" s="218" t="s">
        <v>1913</v>
      </c>
      <c r="F5" s="218" t="s">
        <v>1914</v>
      </c>
      <c r="G5" s="219"/>
    </row>
    <row r="6" spans="1:9" s="220" customFormat="1" ht="13.5" customHeight="1">
      <c r="A6" s="867" t="s">
        <v>1915</v>
      </c>
      <c r="B6" s="221" t="s">
        <v>1916</v>
      </c>
      <c r="C6" s="222">
        <f>'土地比较法-工业'!B2</f>
        <v>32112</v>
      </c>
      <c r="D6" s="223"/>
      <c r="E6" s="224"/>
      <c r="F6" s="224"/>
      <c r="G6" s="225"/>
    </row>
    <row r="7" spans="1:9" s="220" customFormat="1" ht="13.5" customHeight="1">
      <c r="A7" s="867" t="s">
        <v>1917</v>
      </c>
      <c r="B7" s="221" t="s">
        <v>1918</v>
      </c>
      <c r="C7" s="226">
        <f>ROUND(C6*F7,0)</f>
        <v>979</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4635</v>
      </c>
      <c r="D8" s="228"/>
      <c r="E8" s="226"/>
      <c r="F8" s="227"/>
      <c r="G8" s="1991" t="s">
        <v>3497</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2" t="s">
        <v>3498</v>
      </c>
      <c r="H9" s="1252"/>
      <c r="I9" s="1993" t="s">
        <v>1922</v>
      </c>
    </row>
    <row r="10" spans="1:9" s="220" customFormat="1" ht="13.5" customHeight="1">
      <c r="A10" s="868" t="s">
        <v>620</v>
      </c>
      <c r="B10" s="230" t="s">
        <v>1923</v>
      </c>
      <c r="C10" s="231">
        <f ca="1">ROUND(D10*E10/10000,0)</f>
        <v>4635</v>
      </c>
      <c r="D10" s="935">
        <f ca="1">IF(B1="",'数据-汇总表'!E6,IF(INDIRECT("'数据-取费表'!c"&amp;$G$1)="住宅",INDIRECT("'数据-取费表'!s"&amp;$G$1),INDIRECT("'数据-取费表'!k"&amp;$G$1)+INDIRECT("'数据-取费表'!s"&amp;$G$1)))</f>
        <v>243924.88</v>
      </c>
      <c r="E10" s="231">
        <f>'数据-取费表'!B28</f>
        <v>190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243924.88</v>
      </c>
      <c r="E19" s="217">
        <f>'数据-取费表'!B31</f>
        <v>150</v>
      </c>
      <c r="F19" s="237"/>
      <c r="G19" s="1991" t="s">
        <v>3499</v>
      </c>
    </row>
    <row r="20" spans="1:7" s="220" customFormat="1" ht="13.5" customHeight="1">
      <c r="A20" s="261" t="s">
        <v>1936</v>
      </c>
      <c r="B20" s="216" t="s">
        <v>1937</v>
      </c>
      <c r="C20" s="238">
        <f ca="1">ROUND((C5+C19)*F20,0)</f>
        <v>755</v>
      </c>
      <c r="D20" s="238"/>
      <c r="E20" s="238"/>
      <c r="F20" s="239">
        <f>'数据-取费表'!B37</f>
        <v>0.02</v>
      </c>
      <c r="G20" s="240" t="s">
        <v>1938</v>
      </c>
    </row>
    <row r="21" spans="1:7" s="220" customFormat="1" ht="13.5" customHeight="1">
      <c r="A21" s="261" t="s">
        <v>1939</v>
      </c>
      <c r="B21" s="216" t="s">
        <v>1940</v>
      </c>
      <c r="C21" s="241">
        <f>F21</f>
        <v>0.01</v>
      </c>
      <c r="D21" s="242" t="s">
        <v>1941</v>
      </c>
      <c r="E21" s="238"/>
      <c r="F21" s="239">
        <f>'数据-取费表'!B38</f>
        <v>0.01</v>
      </c>
      <c r="G21" s="240" t="s">
        <v>1942</v>
      </c>
    </row>
    <row r="22" spans="1:7" s="220" customFormat="1" ht="13.5" customHeight="1">
      <c r="A22" s="261" t="s">
        <v>1943</v>
      </c>
      <c r="B22" s="216" t="s">
        <v>1944</v>
      </c>
      <c r="C22" s="1217">
        <f ca="1">ROUND(SUM(C23:C25),0)</f>
        <v>5004</v>
      </c>
      <c r="D22" s="241">
        <f ca="1">C26</f>
        <v>5.9999999999999995E-4</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4956</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48</v>
      </c>
      <c r="D25" s="244"/>
      <c r="E25" s="247"/>
      <c r="F25" s="245"/>
      <c r="G25" s="248" t="s">
        <v>1953</v>
      </c>
    </row>
    <row r="26" spans="1:7" s="220" customFormat="1">
      <c r="A26" s="869" t="s">
        <v>614</v>
      </c>
      <c r="B26" s="221" t="s">
        <v>1954</v>
      </c>
      <c r="C26" s="244">
        <f ca="1">ROUND(IF('数据-取费表'!B22&lt;=1,F21*F22*'数据-取费表'!B23/2,F21*(POWER((1+F22),'数据-取费表'!B23/2)-1)),4)</f>
        <v>5.9999999999999995E-4</v>
      </c>
      <c r="D26" s="244"/>
      <c r="E26" s="247"/>
      <c r="F26" s="245"/>
      <c r="G26" s="249"/>
    </row>
    <row r="27" spans="1:7" s="220" customFormat="1" ht="26.4">
      <c r="A27" s="261" t="s">
        <v>1955</v>
      </c>
      <c r="B27" s="250" t="s">
        <v>1956</v>
      </c>
      <c r="C27" s="251">
        <f ca="1">C28</f>
        <v>5003</v>
      </c>
      <c r="D27" s="241">
        <f ca="1">C29</f>
        <v>1.2999999999999999E-3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ROUND((C5+C19+C20)*F27*'数据-取费表'!B21/'数据-取费表'!B20,0)</f>
        <v>5003</v>
      </c>
      <c r="D28" s="241"/>
      <c r="E28" s="242"/>
      <c r="F28" s="252"/>
      <c r="G28" s="253"/>
    </row>
    <row r="29" spans="1:7" s="220" customFormat="1" ht="13.5" customHeight="1">
      <c r="A29" s="869" t="s">
        <v>611</v>
      </c>
      <c r="B29" s="254" t="s">
        <v>1960</v>
      </c>
      <c r="C29" s="244">
        <f ca="1">ROUND(C21*F27*'数据-取费表'!B21/'数据-取费表'!B20,4)</f>
        <v>1.2999999999999999E-3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51820</v>
      </c>
      <c r="D31" s="236"/>
      <c r="E31" s="217"/>
      <c r="F31" s="256"/>
      <c r="G31" s="240" t="s">
        <v>1965</v>
      </c>
    </row>
    <row r="32" spans="1:7" s="214" customFormat="1" ht="16.2">
      <c r="A32" s="258" t="s">
        <v>1966</v>
      </c>
      <c r="B32" s="259"/>
      <c r="C32" s="259"/>
      <c r="D32" s="259"/>
      <c r="E32" s="259"/>
      <c r="F32" s="259"/>
      <c r="G32" s="260"/>
    </row>
    <row r="33" spans="1:10" s="220" customFormat="1" ht="13.5" customHeight="1">
      <c r="A33" s="261" t="s">
        <v>601</v>
      </c>
      <c r="B33" s="216" t="s">
        <v>1967</v>
      </c>
      <c r="C33" s="262">
        <f ca="1">SUM(C34:C38)</f>
        <v>91655</v>
      </c>
      <c r="D33" s="238"/>
      <c r="E33" s="218"/>
      <c r="F33" s="247"/>
      <c r="G33" s="240"/>
      <c r="J33" s="220">
        <f ca="1">ROUND(C33*10000/D37,0)</f>
        <v>3758</v>
      </c>
    </row>
    <row r="34" spans="1:10"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85374</v>
      </c>
      <c r="D34" s="223"/>
      <c r="E34" s="226"/>
      <c r="F34" s="263">
        <f ca="1">IF('数据-取费表'!B24=0,1,IF(B1="",'数据-取费表'!N16,INDIRECT("'数据-取费表'!n"&amp;$G$1)))</f>
        <v>1</v>
      </c>
      <c r="G34" s="225" t="s">
        <v>1969</v>
      </c>
    </row>
    <row r="35" spans="1:10" ht="13.5" customHeight="1">
      <c r="A35" s="869" t="s">
        <v>615</v>
      </c>
      <c r="B35" s="221" t="s">
        <v>1970</v>
      </c>
      <c r="C35" s="226">
        <f ca="1">ROUND(C34*F35,0)</f>
        <v>2561</v>
      </c>
      <c r="D35" s="226"/>
      <c r="E35" s="226"/>
      <c r="F35" s="265">
        <f>'数据-取费表'!B33</f>
        <v>0.03</v>
      </c>
      <c r="G35" s="225" t="s">
        <v>1971</v>
      </c>
    </row>
    <row r="36" spans="1:10"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10" s="264" customFormat="1" ht="13.5" customHeight="1">
      <c r="A37" s="869" t="s">
        <v>617</v>
      </c>
      <c r="B37" s="221" t="s">
        <v>1974</v>
      </c>
      <c r="C37" s="255">
        <f ca="1">ROUND(E37*D37*F34/10000,0)</f>
        <v>2439</v>
      </c>
      <c r="D37" s="223">
        <f ca="1">D19</f>
        <v>243924.88</v>
      </c>
      <c r="E37" s="255">
        <f>'数据-取费表'!B35</f>
        <v>100</v>
      </c>
      <c r="F37" s="265"/>
      <c r="G37" s="267" t="s">
        <v>1975</v>
      </c>
    </row>
    <row r="38" spans="1:10" ht="13.5" customHeight="1">
      <c r="A38" s="869" t="s">
        <v>618</v>
      </c>
      <c r="B38" s="221" t="s">
        <v>1976</v>
      </c>
      <c r="C38" s="226">
        <f ca="1">ROUND(C34*F38,0)</f>
        <v>1281</v>
      </c>
      <c r="D38" s="226"/>
      <c r="E38" s="226"/>
      <c r="F38" s="265">
        <f>'数据-取费表'!B36</f>
        <v>1.4999999999999999E-2</v>
      </c>
      <c r="G38" s="225" t="s">
        <v>1971</v>
      </c>
    </row>
    <row r="39" spans="1:10" s="220" customFormat="1" ht="13.5" customHeight="1">
      <c r="A39" s="261" t="s">
        <v>1977</v>
      </c>
      <c r="B39" s="216" t="s">
        <v>1978</v>
      </c>
      <c r="C39" s="238">
        <f ca="1">ROUND(C33*F20,0)</f>
        <v>1833</v>
      </c>
      <c r="D39" s="238"/>
      <c r="E39" s="238"/>
      <c r="F39" s="2484">
        <f>F20</f>
        <v>0.02</v>
      </c>
      <c r="G39" s="240" t="s">
        <v>1979</v>
      </c>
    </row>
    <row r="40" spans="1:10" s="220" customFormat="1" ht="13.5" customHeight="1">
      <c r="A40" s="261" t="s">
        <v>1980</v>
      </c>
      <c r="B40" s="216" t="s">
        <v>1981</v>
      </c>
      <c r="C40" s="1447">
        <f>F21</f>
        <v>0.01</v>
      </c>
      <c r="D40" s="242" t="s">
        <v>1982</v>
      </c>
      <c r="E40" s="238"/>
      <c r="F40" s="2484">
        <f>F21</f>
        <v>0.01</v>
      </c>
      <c r="G40" s="240" t="s">
        <v>1983</v>
      </c>
    </row>
    <row r="41" spans="1:10" s="220" customFormat="1" ht="13.5" customHeight="1">
      <c r="A41" s="261" t="s">
        <v>1984</v>
      </c>
      <c r="B41" s="216" t="s">
        <v>1985</v>
      </c>
      <c r="C41" s="238">
        <f ca="1">ROUND(SUM(C42:C43),0)</f>
        <v>5951</v>
      </c>
      <c r="D41" s="241">
        <f ca="1">C44</f>
        <v>5.9999999999999995E-4</v>
      </c>
      <c r="E41" s="242" t="s">
        <v>1982</v>
      </c>
      <c r="F41" s="2485">
        <f ca="1">F22</f>
        <v>4.2000000000000003E-2</v>
      </c>
      <c r="G41" s="240" t="str">
        <f>IF('数据-取费表'!B22&lt;=1,"单利计息","复利计息")</f>
        <v>复利计息</v>
      </c>
    </row>
    <row r="42" spans="1:10" ht="13.5" customHeight="1">
      <c r="A42" s="869" t="s">
        <v>610</v>
      </c>
      <c r="B42" s="221" t="s">
        <v>1986</v>
      </c>
      <c r="C42" s="244">
        <f ca="1">ROUND(IF('数据-取费表'!B22&lt;=1,C33*F22*'数据-取费表'!B21/2,C33*(POWER((1+F22),'数据-取费表'!B21/2)-1)),0)</f>
        <v>5834</v>
      </c>
      <c r="D42" s="244"/>
      <c r="E42" s="244"/>
      <c r="F42" s="245"/>
      <c r="G42" s="3474" t="s">
        <v>1987</v>
      </c>
    </row>
    <row r="43" spans="1:10" ht="13.5" customHeight="1">
      <c r="A43" s="869" t="s">
        <v>611</v>
      </c>
      <c r="B43" s="221" t="s">
        <v>1988</v>
      </c>
      <c r="C43" s="244">
        <f ca="1">ROUND(IF('数据-取费表'!B22&lt;=1,C39*F22*'数据-取费表'!B21/2,C39*(POWER((1+F22),'数据-取费表'!B21/2)-1)),0)</f>
        <v>117</v>
      </c>
      <c r="D43" s="244"/>
      <c r="E43" s="244"/>
      <c r="F43" s="245"/>
      <c r="G43" s="3475"/>
    </row>
    <row r="44" spans="1:10" ht="13.5" customHeight="1">
      <c r="A44" s="869" t="s">
        <v>612</v>
      </c>
      <c r="B44" s="221" t="s">
        <v>1989</v>
      </c>
      <c r="C44" s="244">
        <f ca="1">ROUND(IF('数据-取费表'!B22&lt;=1,C40*F22*'数据-取费表'!B21/2,C40*(POWER((1+F22),'数据-取费表'!B21/2)-1)),4)</f>
        <v>5.9999999999999995E-4</v>
      </c>
      <c r="D44" s="244"/>
      <c r="E44" s="244"/>
      <c r="F44" s="245"/>
      <c r="G44" s="3476"/>
    </row>
    <row r="45" spans="1:10" s="220" customFormat="1" ht="13.5" customHeight="1">
      <c r="A45" s="261" t="s">
        <v>1990</v>
      </c>
      <c r="B45" s="250" t="s">
        <v>1956</v>
      </c>
      <c r="C45" s="251">
        <f ca="1">C46</f>
        <v>12153</v>
      </c>
      <c r="D45" s="241">
        <f ca="1">C47</f>
        <v>1.2999999999999999E-3</v>
      </c>
      <c r="E45" s="242" t="s">
        <v>1982</v>
      </c>
      <c r="F45" s="2486">
        <f ca="1">F27</f>
        <v>0.13</v>
      </c>
      <c r="G45" s="253" t="s">
        <v>1991</v>
      </c>
    </row>
    <row r="46" spans="1:10" s="220" customFormat="1" ht="13.5" customHeight="1">
      <c r="A46" s="869" t="s">
        <v>610</v>
      </c>
      <c r="B46" s="254" t="s">
        <v>1992</v>
      </c>
      <c r="C46" s="255">
        <f ca="1">ROUND((C33+C39)*F27,0)</f>
        <v>12153</v>
      </c>
      <c r="D46" s="269"/>
      <c r="E46" s="242"/>
      <c r="F46" s="252"/>
      <c r="G46" s="253"/>
    </row>
    <row r="47" spans="1:10" s="220" customFormat="1" ht="13.5" customHeight="1">
      <c r="A47" s="869" t="s">
        <v>611</v>
      </c>
      <c r="B47" s="254" t="s">
        <v>1993</v>
      </c>
      <c r="C47" s="244">
        <f ca="1">ROUND(C40*F27,4)</f>
        <v>1.2999999999999999E-3</v>
      </c>
      <c r="D47" s="269"/>
      <c r="E47" s="242"/>
      <c r="F47" s="252"/>
      <c r="G47" s="253"/>
    </row>
    <row r="48" spans="1:10" s="220" customFormat="1" ht="13.5" customHeight="1">
      <c r="A48" s="261" t="s">
        <v>1955</v>
      </c>
      <c r="B48" s="216" t="s">
        <v>1994</v>
      </c>
      <c r="C48" s="1447">
        <f>ROUND(F30/(1+'数据-取费表'!C42),4)</f>
        <v>5.2400000000000002E-2</v>
      </c>
      <c r="D48" s="242" t="s">
        <v>1982</v>
      </c>
      <c r="E48" s="238"/>
      <c r="F48" s="2485">
        <f>F30</f>
        <v>5.5000000000000007E-2</v>
      </c>
      <c r="G48" s="240" t="s">
        <v>1995</v>
      </c>
    </row>
    <row r="49" spans="1:9" ht="16.5" customHeight="1">
      <c r="A49" s="261" t="s">
        <v>1961</v>
      </c>
      <c r="B49" s="216" t="s">
        <v>1996</v>
      </c>
      <c r="C49" s="238">
        <f ca="1">ROUND((C33+C39+C41+C45)/(1-C40-D41-D45-C48),0)</f>
        <v>119260</v>
      </c>
      <c r="D49" s="238"/>
      <c r="E49" s="238"/>
      <c r="F49" s="270"/>
      <c r="G49" s="240" t="s">
        <v>1997</v>
      </c>
    </row>
    <row r="50" spans="1:9" s="264" customFormat="1" ht="24">
      <c r="A50" s="261" t="s">
        <v>1998</v>
      </c>
      <c r="B50" s="216" t="s">
        <v>1999</v>
      </c>
      <c r="C50" s="238"/>
      <c r="D50" s="238"/>
      <c r="E50" s="238"/>
      <c r="F50" s="270">
        <f>IF('数据-取费表'!B24=0,'数据-取费表'!N16,1)</f>
        <v>0.97</v>
      </c>
      <c r="G50" s="253" t="s">
        <v>2000</v>
      </c>
    </row>
    <row r="51" spans="1:9" ht="16.5" customHeight="1">
      <c r="A51" s="261" t="s">
        <v>2001</v>
      </c>
      <c r="B51" s="216" t="s">
        <v>2002</v>
      </c>
      <c r="C51" s="238">
        <f ca="1">ROUND(C49*F50,0)</f>
        <v>115682</v>
      </c>
      <c r="D51" s="238"/>
      <c r="E51" s="238"/>
      <c r="F51" s="270"/>
      <c r="G51" s="240" t="s">
        <v>2003</v>
      </c>
      <c r="I51" s="257">
        <f ca="1">C51*10000/D37</f>
        <v>4742.5256497000219</v>
      </c>
    </row>
    <row r="52" spans="1:9" s="214" customFormat="1" ht="16.8" thickBot="1">
      <c r="A52" s="271" t="s">
        <v>2004</v>
      </c>
      <c r="B52" s="272"/>
      <c r="C52" s="273">
        <f ca="1">C31+C51</f>
        <v>167502</v>
      </c>
      <c r="D52" s="272"/>
      <c r="E52" s="272"/>
      <c r="F52" s="272"/>
      <c r="G52" s="274"/>
    </row>
    <row r="55" spans="1:9" ht="15">
      <c r="B55" s="276" t="s">
        <v>2005</v>
      </c>
      <c r="C55" s="277"/>
    </row>
    <row r="56" spans="1:9">
      <c r="B56" s="279" t="s">
        <v>1237</v>
      </c>
      <c r="C56" s="281">
        <f ca="1">1-C57</f>
        <v>0.30900000000000005</v>
      </c>
    </row>
    <row r="57" spans="1:9">
      <c r="B57" s="279" t="s">
        <v>1238</v>
      </c>
      <c r="C57" s="280">
        <f ca="1">ROUND(C51/C52,3)</f>
        <v>0.69099999999999995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1904</v>
      </c>
      <c r="B1" s="1604"/>
      <c r="C1" s="1994" t="s">
        <v>2006</v>
      </c>
      <c r="D1" s="204"/>
      <c r="E1" s="204"/>
      <c r="F1" s="204"/>
      <c r="G1" s="1241">
        <f>MATCH(B1,'数据-取费表'!A6:A16,0)+5</f>
        <v>9</v>
      </c>
      <c r="H1" s="1173" t="str">
        <f>IF(ISERROR(FIND("住宅",B1)),"非住宅","住宅")</f>
        <v>非住宅</v>
      </c>
    </row>
    <row r="2" spans="1:8" s="206" customFormat="1" ht="18" customHeight="1">
      <c r="A2" s="207" t="s">
        <v>1905</v>
      </c>
      <c r="B2" s="208">
        <f ca="1">ROUND(IF(D2="——",C52/10000,C52/10000-E2),0)</f>
        <v>127075</v>
      </c>
      <c r="C2" s="205" t="s">
        <v>1906</v>
      </c>
      <c r="D2" s="1988" t="s">
        <v>70</v>
      </c>
      <c r="E2" s="1284"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5210</v>
      </c>
      <c r="C3" s="205" t="s">
        <v>1908</v>
      </c>
      <c r="D3" s="205"/>
      <c r="E3" s="205"/>
      <c r="F3" s="205"/>
      <c r="G3" s="205"/>
    </row>
    <row r="4" spans="1:8" s="214" customFormat="1" ht="16.2">
      <c r="A4" s="211" t="s">
        <v>1909</v>
      </c>
      <c r="B4" s="212"/>
      <c r="C4" s="212"/>
      <c r="D4" s="212"/>
      <c r="E4" s="212"/>
      <c r="F4" s="212"/>
      <c r="G4" s="213"/>
    </row>
    <row r="5" spans="1:8" s="220" customFormat="1" ht="13.5" customHeight="1">
      <c r="A5" s="261" t="s">
        <v>1910</v>
      </c>
      <c r="B5" s="216" t="s">
        <v>1911</v>
      </c>
      <c r="C5" s="217">
        <f ca="1">C6+C7+C8</f>
        <v>46345727</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46345727</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46345727</v>
      </c>
      <c r="D10" s="935">
        <f ca="1">IF(B1="",'数据-汇总表'!E6,IF(INDIRECT("'数据-取费表'!c"&amp;$G$1)="住宅",INDIRECT("'数据-取费表'!s"&amp;$G$1),INDIRECT("'数据-取费表'!k"&amp;$G$1)+INDIRECT("'数据-取费表'!s"&amp;$G$1)))</f>
        <v>243924.88</v>
      </c>
      <c r="E10" s="231">
        <f>'数据-取费表'!B28</f>
        <v>190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36588732</v>
      </c>
      <c r="D19" s="939">
        <f ca="1">D9+D10</f>
        <v>243924.88</v>
      </c>
      <c r="E19" s="217">
        <f>'数据-取费表'!B31</f>
        <v>150</v>
      </c>
      <c r="F19" s="237"/>
      <c r="G19" s="1991"/>
    </row>
    <row r="20" spans="1:7" s="220" customFormat="1" ht="13.5" customHeight="1">
      <c r="A20" s="261" t="s">
        <v>2017</v>
      </c>
      <c r="B20" s="216" t="s">
        <v>2018</v>
      </c>
      <c r="C20" s="238">
        <f ca="1">ROUND((C5+C19)*F20,0)</f>
        <v>1658689</v>
      </c>
      <c r="D20" s="238"/>
      <c r="E20" s="238"/>
      <c r="F20" s="239">
        <f>'数据-取费表'!B37</f>
        <v>0.02</v>
      </c>
      <c r="G20" s="240" t="s">
        <v>2019</v>
      </c>
    </row>
    <row r="21" spans="1:7" s="220" customFormat="1" ht="13.5" customHeight="1">
      <c r="A21" s="261" t="s">
        <v>2020</v>
      </c>
      <c r="B21" s="216" t="s">
        <v>2021</v>
      </c>
      <c r="C21" s="241">
        <f>F21</f>
        <v>0.01</v>
      </c>
      <c r="D21" s="242" t="s">
        <v>2022</v>
      </c>
      <c r="E21" s="238"/>
      <c r="F21" s="239">
        <f>'数据-取费表'!B38</f>
        <v>0.01</v>
      </c>
      <c r="G21" s="240" t="s">
        <v>2023</v>
      </c>
    </row>
    <row r="22" spans="1:7" s="220" customFormat="1" ht="13.5" customHeight="1">
      <c r="A22" s="261" t="s">
        <v>2024</v>
      </c>
      <c r="B22" s="216" t="s">
        <v>2025</v>
      </c>
      <c r="C22" s="1242">
        <f ca="1">ROUND(SUM(C23:C25),0)</f>
        <v>11000363</v>
      </c>
      <c r="D22" s="241">
        <f ca="1">C26</f>
        <v>5.9999999999999995E-4</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6088257</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4806519</v>
      </c>
      <c r="D24" s="244"/>
      <c r="E24" s="244"/>
      <c r="F24" s="245"/>
      <c r="G24" s="246" t="s">
        <v>2029</v>
      </c>
    </row>
    <row r="25" spans="1:7" s="220" customFormat="1" ht="24">
      <c r="A25" s="869" t="s">
        <v>1919</v>
      </c>
      <c r="B25" s="221" t="s">
        <v>2030</v>
      </c>
      <c r="C25" s="1243">
        <f ca="1">ROUND(IF('数据-取费表'!B22&lt;=1,C20*F22*'数据-取费表'!B22/2,C20*(POWER((1+F22),'数据-取费表'!B22/2)-1)),0)</f>
        <v>105587</v>
      </c>
      <c r="D25" s="244"/>
      <c r="E25" s="247"/>
      <c r="F25" s="245"/>
      <c r="G25" s="248" t="s">
        <v>2031</v>
      </c>
    </row>
    <row r="26" spans="1:7" s="220" customFormat="1">
      <c r="A26" s="869" t="s">
        <v>614</v>
      </c>
      <c r="B26" s="221" t="s">
        <v>1954</v>
      </c>
      <c r="C26" s="244">
        <f ca="1">ROUND(IF('数据-取费表'!B22&lt;=1,F21*F22*'数据-取费表'!B22/2,F21*(POWER((1+F22),'数据-取费表'!B22/2)-1)),4)</f>
        <v>5.9999999999999995E-4</v>
      </c>
      <c r="D26" s="244"/>
      <c r="E26" s="247"/>
      <c r="F26" s="245"/>
      <c r="G26" s="249"/>
    </row>
    <row r="27" spans="1:7" s="220" customFormat="1" ht="26.4">
      <c r="A27" s="261" t="s">
        <v>1955</v>
      </c>
      <c r="B27" s="250" t="s">
        <v>1956</v>
      </c>
      <c r="C27" s="251">
        <f ca="1">C28</f>
        <v>10997109</v>
      </c>
      <c r="D27" s="241">
        <f ca="1">C29</f>
        <v>1.2999999999999999E-3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ROUND((C5+C19+C20)*F27,0)</f>
        <v>10997109</v>
      </c>
      <c r="D28" s="241"/>
      <c r="E28" s="242"/>
      <c r="F28" s="252"/>
      <c r="G28" s="253"/>
    </row>
    <row r="29" spans="1:7" s="220" customFormat="1" ht="13.5" customHeight="1">
      <c r="A29" s="869" t="s">
        <v>611</v>
      </c>
      <c r="B29" s="254" t="s">
        <v>1960</v>
      </c>
      <c r="C29" s="244">
        <f ca="1">ROUND(C21*F27,4)</f>
        <v>1.2999999999999999E-3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113915379</v>
      </c>
      <c r="D31" s="236"/>
      <c r="E31" s="217"/>
      <c r="F31" s="256"/>
      <c r="G31" s="240" t="s">
        <v>1965</v>
      </c>
    </row>
    <row r="32" spans="1:7" s="214" customFormat="1" ht="16.2">
      <c r="A32" s="258" t="s">
        <v>2032</v>
      </c>
      <c r="B32" s="259"/>
      <c r="C32" s="259"/>
      <c r="D32" s="259"/>
      <c r="E32" s="259"/>
      <c r="F32" s="259"/>
      <c r="G32" s="260"/>
    </row>
    <row r="33" spans="1:7" s="220" customFormat="1" ht="13.5" customHeight="1">
      <c r="A33" s="261" t="s">
        <v>601</v>
      </c>
      <c r="B33" s="216" t="s">
        <v>2033</v>
      </c>
      <c r="C33" s="262">
        <f ca="1">SUM(C34:C38)</f>
        <v>916547736</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853737080</v>
      </c>
      <c r="D34" s="223"/>
      <c r="E34" s="226"/>
      <c r="F34" s="263"/>
      <c r="G34" s="225"/>
    </row>
    <row r="35" spans="1:7" ht="13.5" customHeight="1">
      <c r="A35" s="869" t="s">
        <v>615</v>
      </c>
      <c r="B35" s="221" t="s">
        <v>1970</v>
      </c>
      <c r="C35" s="226">
        <f ca="1">ROUND(C34*F35,0)</f>
        <v>25612112</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24392488</v>
      </c>
      <c r="D37" s="223">
        <f ca="1">D19</f>
        <v>243924.88</v>
      </c>
      <c r="E37" s="255">
        <f>'数据-取费表'!B35</f>
        <v>100</v>
      </c>
      <c r="F37" s="265"/>
      <c r="G37" s="267"/>
    </row>
    <row r="38" spans="1:7" ht="13.5" customHeight="1">
      <c r="A38" s="869" t="s">
        <v>618</v>
      </c>
      <c r="B38" s="221" t="s">
        <v>1976</v>
      </c>
      <c r="C38" s="226">
        <f ca="1">ROUND(C34*F38,0)</f>
        <v>12806056</v>
      </c>
      <c r="D38" s="226"/>
      <c r="E38" s="226"/>
      <c r="F38" s="265">
        <f>'数据-取费表'!B36</f>
        <v>1.4999999999999999E-2</v>
      </c>
      <c r="G38" s="225" t="s">
        <v>1971</v>
      </c>
    </row>
    <row r="39" spans="1:7" s="220" customFormat="1" ht="13.5" customHeight="1">
      <c r="A39" s="261" t="s">
        <v>1977</v>
      </c>
      <c r="B39" s="216" t="s">
        <v>1978</v>
      </c>
      <c r="C39" s="238">
        <f ca="1">ROUND(C33*F20,0)</f>
        <v>18330955</v>
      </c>
      <c r="D39" s="238"/>
      <c r="E39" s="238"/>
      <c r="F39" s="2484">
        <f>F20</f>
        <v>0.02</v>
      </c>
      <c r="G39" s="240" t="s">
        <v>1979</v>
      </c>
    </row>
    <row r="40" spans="1:7" s="220" customFormat="1" ht="13.5" customHeight="1">
      <c r="A40" s="261" t="s">
        <v>1980</v>
      </c>
      <c r="B40" s="216" t="s">
        <v>1981</v>
      </c>
      <c r="C40" s="1447">
        <f>F21</f>
        <v>0.01</v>
      </c>
      <c r="D40" s="242" t="s">
        <v>1982</v>
      </c>
      <c r="E40" s="238"/>
      <c r="F40" s="2484">
        <f>F21</f>
        <v>0.01</v>
      </c>
      <c r="G40" s="240" t="s">
        <v>1983</v>
      </c>
    </row>
    <row r="41" spans="1:7" s="220" customFormat="1" ht="13.5" customHeight="1">
      <c r="A41" s="261" t="s">
        <v>1984</v>
      </c>
      <c r="B41" s="216" t="s">
        <v>1985</v>
      </c>
      <c r="C41" s="238">
        <f ca="1">ROUND(SUM(C42:C43),0)</f>
        <v>59511518</v>
      </c>
      <c r="D41" s="241">
        <f ca="1">C44</f>
        <v>5.9999999999999995E-4</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58344625</v>
      </c>
      <c r="D42" s="244"/>
      <c r="E42" s="244"/>
      <c r="F42" s="245"/>
      <c r="G42" s="3474" t="s">
        <v>2034</v>
      </c>
    </row>
    <row r="43" spans="1:7" ht="13.5" customHeight="1">
      <c r="A43" s="869" t="s">
        <v>611</v>
      </c>
      <c r="B43" s="221" t="s">
        <v>1988</v>
      </c>
      <c r="C43" s="244">
        <f ca="1">ROUND(IF('数据-取费表'!B22&lt;=1,C39*F22*'数据-取费表'!B20/2,C39*(POWER((1+F22),'数据-取费表'!B20/2)-1)),0)</f>
        <v>1166893</v>
      </c>
      <c r="D43" s="244"/>
      <c r="E43" s="244"/>
      <c r="F43" s="245"/>
      <c r="G43" s="3475"/>
    </row>
    <row r="44" spans="1:7" ht="13.5" customHeight="1">
      <c r="A44" s="869" t="s">
        <v>612</v>
      </c>
      <c r="B44" s="221" t="s">
        <v>1989</v>
      </c>
      <c r="C44" s="244">
        <f ca="1">ROUND(IF('数据-取费表'!B22&lt;=1,C40*F22*'数据-取费表'!B20/2,C40*(POWER((1+F22),'数据-取费表'!B20/2)-1)),4)</f>
        <v>5.9999999999999995E-4</v>
      </c>
      <c r="D44" s="244"/>
      <c r="E44" s="244"/>
      <c r="F44" s="245"/>
      <c r="G44" s="3476"/>
    </row>
    <row r="45" spans="1:7" s="220" customFormat="1" ht="13.5" customHeight="1">
      <c r="A45" s="261" t="s">
        <v>1990</v>
      </c>
      <c r="B45" s="250" t="s">
        <v>1956</v>
      </c>
      <c r="C45" s="251">
        <f ca="1">C46</f>
        <v>121534230</v>
      </c>
      <c r="D45" s="241">
        <f ca="1">C47</f>
        <v>1.2999999999999999E-3</v>
      </c>
      <c r="E45" s="242" t="s">
        <v>1982</v>
      </c>
      <c r="F45" s="2486">
        <f ca="1">F27</f>
        <v>0.13</v>
      </c>
      <c r="G45" s="253" t="s">
        <v>1991</v>
      </c>
    </row>
    <row r="46" spans="1:7" s="220" customFormat="1" ht="13.5" customHeight="1">
      <c r="A46" s="869" t="s">
        <v>610</v>
      </c>
      <c r="B46" s="254" t="s">
        <v>1992</v>
      </c>
      <c r="C46" s="255">
        <f ca="1">ROUND((C33+C39)*F27,0)</f>
        <v>121534230</v>
      </c>
      <c r="D46" s="269"/>
      <c r="E46" s="242"/>
      <c r="F46" s="252"/>
      <c r="G46" s="253"/>
    </row>
    <row r="47" spans="1:7" s="220" customFormat="1" ht="13.5" customHeight="1">
      <c r="A47" s="869" t="s">
        <v>611</v>
      </c>
      <c r="B47" s="254" t="s">
        <v>1993</v>
      </c>
      <c r="C47" s="244">
        <f ca="1">ROUND(C40*F27,4)</f>
        <v>1.2999999999999999E-3</v>
      </c>
      <c r="D47" s="269"/>
      <c r="E47" s="242"/>
      <c r="F47" s="252"/>
      <c r="G47" s="253"/>
    </row>
    <row r="48" spans="1:7" s="220" customFormat="1" ht="13.5" customHeight="1">
      <c r="A48" s="261" t="s">
        <v>1955</v>
      </c>
      <c r="B48" s="216" t="s">
        <v>1994</v>
      </c>
      <c r="C48" s="268">
        <f>ROUND(F30/(1+'数据-取费表'!C42),4)</f>
        <v>5.2400000000000002E-2</v>
      </c>
      <c r="D48" s="242" t="s">
        <v>1982</v>
      </c>
      <c r="E48" s="238"/>
      <c r="F48" s="2485">
        <f>F30</f>
        <v>5.5000000000000007E-2</v>
      </c>
      <c r="G48" s="240" t="s">
        <v>1995</v>
      </c>
    </row>
    <row r="49" spans="1:7" ht="16.5" customHeight="1">
      <c r="A49" s="261" t="s">
        <v>1961</v>
      </c>
      <c r="B49" s="216" t="s">
        <v>2035</v>
      </c>
      <c r="C49" s="238">
        <f ca="1">ROUND((C33+C39+C41+C45)/(1-C40-D41-D45-C48),0)</f>
        <v>1192609211</v>
      </c>
      <c r="D49" s="238"/>
      <c r="E49" s="238"/>
      <c r="F49" s="270"/>
      <c r="G49" s="240" t="s">
        <v>1997</v>
      </c>
    </row>
    <row r="50" spans="1:7" s="264" customFormat="1">
      <c r="A50" s="261" t="s">
        <v>1998</v>
      </c>
      <c r="B50" s="216" t="s">
        <v>1999</v>
      </c>
      <c r="C50" s="238"/>
      <c r="D50" s="238"/>
      <c r="E50" s="238"/>
      <c r="F50" s="270">
        <f>IF('数据-取费表'!B24=0,'数据-取费表'!N16,1)</f>
        <v>0.97</v>
      </c>
      <c r="G50" s="253"/>
    </row>
    <row r="51" spans="1:7" ht="16.5" customHeight="1">
      <c r="A51" s="261" t="s">
        <v>2001</v>
      </c>
      <c r="B51" s="216" t="s">
        <v>2036</v>
      </c>
      <c r="C51" s="238">
        <f ca="1">ROUND(C49*F50,0)</f>
        <v>1156830935</v>
      </c>
      <c r="D51" s="238"/>
      <c r="E51" s="238"/>
      <c r="F51" s="270"/>
      <c r="G51" s="240" t="s">
        <v>2003</v>
      </c>
    </row>
    <row r="52" spans="1:7" s="214" customFormat="1" ht="16.8" thickBot="1">
      <c r="A52" s="271" t="s">
        <v>2004</v>
      </c>
      <c r="B52" s="272"/>
      <c r="C52" s="273">
        <f ca="1">C31+C51</f>
        <v>1270746314</v>
      </c>
      <c r="D52" s="272"/>
      <c r="E52" s="272"/>
      <c r="F52" s="272"/>
      <c r="G52" s="274"/>
    </row>
    <row r="55" spans="1:7" ht="15">
      <c r="B55" s="276" t="s">
        <v>2005</v>
      </c>
      <c r="C55" s="277"/>
    </row>
    <row r="56" spans="1:7">
      <c r="B56" s="279" t="s">
        <v>1237</v>
      </c>
      <c r="C56" s="281">
        <f ca="1">1-C57</f>
        <v>8.9999999999999969E-2</v>
      </c>
    </row>
    <row r="57" spans="1:7">
      <c r="B57" s="279" t="s">
        <v>1238</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55" sqref="D55"/>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2037</v>
      </c>
      <c r="B1" s="1305"/>
      <c r="C1" s="1306"/>
      <c r="D1" s="1304"/>
      <c r="E1" s="2985"/>
      <c r="F1" s="2985"/>
      <c r="G1" s="2848"/>
      <c r="H1" s="2985"/>
      <c r="I1" s="2985"/>
      <c r="J1" s="2985"/>
      <c r="K1" s="2986">
        <f>MATCH(C1,'数据-取费表'!A6:A16,0)+5</f>
        <v>9</v>
      </c>
    </row>
    <row r="2" spans="1:33" ht="18" customHeight="1">
      <c r="A2" s="207" t="s">
        <v>1905</v>
      </c>
      <c r="B2" s="210">
        <f ca="1">C32</f>
        <v>0</v>
      </c>
      <c r="C2" s="282" t="s">
        <v>2038</v>
      </c>
      <c r="D2" s="282"/>
      <c r="E2" s="2985"/>
      <c r="F2" s="2985"/>
      <c r="G2" s="2985"/>
      <c r="H2" s="2985"/>
      <c r="I2" s="2985"/>
      <c r="J2" s="2985"/>
      <c r="K2" s="2985"/>
    </row>
    <row r="3" spans="1:33" ht="18" customHeight="1" thickBot="1">
      <c r="A3" s="209" t="s">
        <v>1907</v>
      </c>
      <c r="B3" s="210">
        <f ca="1">ROUND(B2*10000/IF(C1="",'数据-汇总表'!E3,INDIRECT("'数据-取费表'!K"&amp;$K$1)),0)</f>
        <v>0</v>
      </c>
      <c r="C3" s="282" t="s">
        <v>2039</v>
      </c>
      <c r="D3" s="282"/>
      <c r="E3" s="2985"/>
      <c r="F3" s="2985"/>
      <c r="G3" s="2985"/>
      <c r="H3" s="2985"/>
      <c r="I3" s="2985"/>
      <c r="J3" s="2985"/>
      <c r="K3" s="2985"/>
    </row>
    <row r="4" spans="1:33" s="874" customFormat="1" ht="16.5" customHeight="1">
      <c r="A4" s="871" t="s">
        <v>2040</v>
      </c>
      <c r="B4" s="872"/>
      <c r="C4" s="914">
        <f>SUM(C8:K8)</f>
        <v>0</v>
      </c>
      <c r="D4" s="872"/>
      <c r="E4" s="872"/>
      <c r="F4" s="872"/>
      <c r="G4" s="872"/>
      <c r="H4" s="872"/>
      <c r="I4" s="872"/>
      <c r="J4" s="872"/>
      <c r="K4" s="873"/>
    </row>
    <row r="5" spans="1:33" s="878" customFormat="1" ht="25.2">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30257.699999999997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243924.88</v>
      </c>
      <c r="E14" s="24">
        <f>'数据-取费表'!B35</f>
        <v>100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243924.88</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2073</v>
      </c>
      <c r="C20" s="24">
        <f ca="1">ROUND(D20*E20/10000,0)</f>
        <v>4635</v>
      </c>
      <c r="D20" s="936">
        <f ca="1">IF(C1="",'数据-汇总表'!E6,IF(INDIRECT("'数据-取费表'!c"&amp;$K$1)="住宅",INDIRECT("'数据-取费表'!s"&amp;$K$1),INDIRECT("'数据-取费表'!k"&amp;$K$1)+INDIRECT("'数据-取费表'!s"&amp;$K$1)))</f>
        <v>243924.88</v>
      </c>
      <c r="E20" s="24">
        <f>'数据-取费表'!B28</f>
        <v>190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0.01</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0.13</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5.5000000000000007E-2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C43" sqref="C4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2" customWidth="1"/>
    <col min="12" max="12" width="16.33203125" style="264" customWidth="1"/>
    <col min="13" max="13" width="13" style="264" customWidth="1"/>
    <col min="14" max="14" width="13.77734375" style="1518" customWidth="1"/>
    <col min="15" max="15" width="5.109375" style="1518" customWidth="1"/>
    <col min="16" max="16" width="25.77734375" style="1518" customWidth="1"/>
    <col min="17" max="17" width="13.77734375" style="1518" customWidth="1"/>
    <col min="18" max="18" width="20.44140625" style="1518" customWidth="1"/>
    <col min="19" max="19" width="13.21875" style="1518" customWidth="1"/>
    <col min="20" max="37" width="9" style="1518"/>
    <col min="38" max="16384" width="9" style="264"/>
  </cols>
  <sheetData>
    <row r="1" spans="1:37" s="299" customFormat="1" ht="21.6">
      <c r="A1" s="1509" t="s">
        <v>1313</v>
      </c>
      <c r="B1" s="722"/>
      <c r="C1" s="1513" t="s">
        <v>48</v>
      </c>
      <c r="D1" s="1496" t="s">
        <v>70</v>
      </c>
      <c r="E1" s="1497" t="s">
        <v>1111</v>
      </c>
      <c r="F1" s="1174">
        <f ca="1">J53</f>
        <v>41.52</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7489</v>
      </c>
      <c r="C2" s="1521" t="s">
        <v>1240</v>
      </c>
      <c r="D2" s="1521"/>
      <c r="E2" s="1522"/>
      <c r="F2" s="1523"/>
      <c r="G2" s="2883"/>
      <c r="H2" s="2872"/>
      <c r="I2" s="2872"/>
      <c r="J2" s="2872"/>
      <c r="K2" s="2873"/>
      <c r="L2" s="2872"/>
      <c r="M2" s="2872"/>
    </row>
    <row r="3" spans="1:37" ht="18" customHeight="1" thickBot="1">
      <c r="A3" s="1524" t="s">
        <v>1241</v>
      </c>
      <c r="B3" s="1525">
        <f ca="1">IF(ISERROR(B2*10000/F43),0,ROUND(B2*10000/F43,0))</f>
        <v>2475</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497</v>
      </c>
      <c r="D5" s="1498" t="s">
        <v>1126</v>
      </c>
      <c r="E5" s="1184"/>
      <c r="F5" s="1185"/>
      <c r="G5" s="1518"/>
      <c r="H5" s="305">
        <v>1</v>
      </c>
      <c r="I5" s="306" t="s">
        <v>1125</v>
      </c>
      <c r="J5" s="1183">
        <f ca="1">J6+J10+J12</f>
        <v>0</v>
      </c>
      <c r="K5" s="1498" t="s">
        <v>1126</v>
      </c>
      <c r="L5" s="1184"/>
      <c r="M5" s="1185"/>
    </row>
    <row r="6" spans="1:37" ht="18" customHeight="1">
      <c r="A6" s="1182" t="s">
        <v>822</v>
      </c>
      <c r="B6" s="3477" t="s">
        <v>1127</v>
      </c>
      <c r="C6" s="1187">
        <f ca="1">ROUND(F6*F8*F7*(1-F9)/10000,0)</f>
        <v>497</v>
      </c>
      <c r="D6" s="160" t="s">
        <v>2606</v>
      </c>
      <c r="E6" s="308" t="s">
        <v>1129</v>
      </c>
      <c r="F6" s="309">
        <f ca="1">INDIRECT("'数据-取费表'!u"&amp;$G$1)</f>
        <v>0.5</v>
      </c>
      <c r="G6" s="1518"/>
      <c r="H6" s="1182" t="s">
        <v>822</v>
      </c>
      <c r="I6" s="3477" t="s">
        <v>1127</v>
      </c>
      <c r="J6" s="307">
        <f ca="1">ROUND(M6*M8*M7*(1-M9)/10000,0)</f>
        <v>0</v>
      </c>
      <c r="K6" s="160" t="s">
        <v>2605</v>
      </c>
      <c r="L6" s="308" t="s">
        <v>1129</v>
      </c>
      <c r="M6" s="309">
        <f ca="1">INDIRECT("'数据-取费表'!z"&amp;$G$1)</f>
        <v>0</v>
      </c>
    </row>
    <row r="7" spans="1:37" ht="18" customHeight="1">
      <c r="A7" s="1186"/>
      <c r="B7" s="3478"/>
      <c r="C7" s="1188"/>
      <c r="D7" s="313"/>
      <c r="E7" s="3237" t="s">
        <v>1130</v>
      </c>
      <c r="F7" s="309">
        <f ca="1">IF(INDIRECT("'数据-取费表'!ah"&amp;$G$1)="",INDIRECT("'数据-取费表'!k"&amp;$G$1),INDIRECT("'数据-取费表'!ah"&amp;$G$1))</f>
        <v>30257.699999999997</v>
      </c>
      <c r="G7" s="1518"/>
      <c r="H7" s="310"/>
      <c r="I7" s="3478"/>
      <c r="J7" s="312"/>
      <c r="K7" s="313"/>
      <c r="L7" s="308" t="s">
        <v>1130</v>
      </c>
      <c r="M7" s="309">
        <f ca="1">F7</f>
        <v>30257.699999999997</v>
      </c>
    </row>
    <row r="8" spans="1:37" ht="18" customHeight="1">
      <c r="A8" s="310"/>
      <c r="B8" s="3478"/>
      <c r="C8" s="312"/>
      <c r="D8" s="313"/>
      <c r="E8" s="308" t="s">
        <v>1131</v>
      </c>
      <c r="F8" s="309">
        <f ca="1">INDIRECT("'数据-取费表'!ai"&amp;$G$1)</f>
        <v>365</v>
      </c>
      <c r="G8" s="1518"/>
      <c r="H8" s="310"/>
      <c r="I8" s="3478"/>
      <c r="J8" s="312"/>
      <c r="K8" s="313"/>
      <c r="L8" s="308" t="s">
        <v>1131</v>
      </c>
      <c r="M8" s="309">
        <f ca="1">INDIRECT("'数据-取费表'!ai"&amp;$G$1)</f>
        <v>365</v>
      </c>
    </row>
    <row r="9" spans="1:37" ht="18" customHeight="1">
      <c r="A9" s="310"/>
      <c r="B9" s="3479"/>
      <c r="C9" s="312"/>
      <c r="D9" s="313"/>
      <c r="E9" s="308" t="s">
        <v>1132</v>
      </c>
      <c r="F9" s="318">
        <f ca="1">INDIRECT("'数据-取费表'!w"&amp;$G$1)</f>
        <v>0.1</v>
      </c>
      <c r="G9" s="1518"/>
      <c r="H9" s="310"/>
      <c r="I9" s="3479"/>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3496</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13575</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10946</v>
      </c>
      <c r="D14" s="3233" t="s">
        <v>1142</v>
      </c>
      <c r="E14" s="3231"/>
      <c r="F14" s="325"/>
      <c r="G14" s="1518"/>
      <c r="H14" s="1094" t="s">
        <v>822</v>
      </c>
      <c r="I14" s="308" t="s">
        <v>1143</v>
      </c>
      <c r="J14" s="24">
        <f ca="1">C29</f>
        <v>13995</v>
      </c>
      <c r="K14" s="3236"/>
      <c r="L14" s="897"/>
      <c r="M14" s="898"/>
    </row>
    <row r="15" spans="1:37" s="1531" customFormat="1" ht="18" customHeight="1" thickBot="1">
      <c r="A15" s="1094" t="s">
        <v>823</v>
      </c>
      <c r="B15" s="308" t="s">
        <v>1144</v>
      </c>
      <c r="C15" s="24">
        <f ca="1">ROUND(C14*F15,0)</f>
        <v>328</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190</v>
      </c>
      <c r="K16" s="1200" t="s">
        <v>1149</v>
      </c>
      <c r="L16" s="3234"/>
      <c r="M16" s="1185"/>
    </row>
    <row r="17" spans="1:37" s="1531" customFormat="1" ht="18" customHeight="1">
      <c r="A17" s="1094" t="s">
        <v>1114</v>
      </c>
      <c r="B17" s="308" t="s">
        <v>1150</v>
      </c>
      <c r="C17" s="24">
        <f ca="1">ROUND(F17*(F43+INDIRECT("'数据-取费表'!S"&amp;$G$1))/10000,0)</f>
        <v>313</v>
      </c>
      <c r="D17" s="308" t="s">
        <v>1151</v>
      </c>
      <c r="E17" s="308" t="s">
        <v>1152</v>
      </c>
      <c r="F17" s="26">
        <f>'数据-取费表'!B35</f>
        <v>100</v>
      </c>
      <c r="G17" s="1530"/>
      <c r="H17" s="1094" t="s">
        <v>822</v>
      </c>
      <c r="I17" s="308" t="s">
        <v>1153</v>
      </c>
      <c r="J17" s="2483">
        <f ca="1">ROUND(IF(AND(项目基本情况!B11="自然人",项目基本情况!B10="北京市"),J6*M17/(1+'数据-取费表'!C42),J18+J19+J20),0)</f>
        <v>120</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164</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11751</v>
      </c>
      <c r="D19" s="136" t="s">
        <v>1160</v>
      </c>
      <c r="E19" s="3239"/>
      <c r="F19" s="26"/>
      <c r="G19" s="1518"/>
      <c r="H19" s="1094" t="s">
        <v>823</v>
      </c>
      <c r="I19" s="308" t="s">
        <v>1161</v>
      </c>
      <c r="J19" s="24">
        <f ca="1">IF(K19="按租金收入计税",ROUND(J6*M19/(1+'数据-取费表'!C42),2),ROUND(C29*M19*0.7,2))</f>
        <v>117.56</v>
      </c>
      <c r="K19" s="1504" t="s">
        <v>1162</v>
      </c>
      <c r="L19" s="308" t="s">
        <v>1146</v>
      </c>
      <c r="M19" s="328">
        <f>IF(K19="按租金收入计税",'数据-取费表'!B51,'数据-取费表'!B50)</f>
        <v>1.2E-2</v>
      </c>
    </row>
    <row r="20" spans="1:37" s="1531" customFormat="1" ht="18" customHeight="1">
      <c r="A20" s="1094" t="s">
        <v>826</v>
      </c>
      <c r="B20" s="308" t="s">
        <v>1163</v>
      </c>
      <c r="C20" s="24">
        <f ca="1">ROUND(C19*F20,0)</f>
        <v>235</v>
      </c>
      <c r="D20" s="329" t="s">
        <v>1164</v>
      </c>
      <c r="E20" s="308" t="s">
        <v>1146</v>
      </c>
      <c r="F20" s="328">
        <f>'数据-取费表'!B37</f>
        <v>0.02</v>
      </c>
      <c r="G20" s="1530"/>
      <c r="H20" s="1094" t="s">
        <v>1113</v>
      </c>
      <c r="I20" s="160" t="s">
        <v>1165</v>
      </c>
      <c r="J20" s="25">
        <f ca="1">ROUND(M20*M21/10000,2)</f>
        <v>2.27</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f ca="1">INDIRECT("'数据-取费表'!r"&amp;$G$1)</f>
        <v>15144.61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70</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763</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2"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-190</v>
      </c>
      <c r="K25" s="1208" t="s">
        <v>1188</v>
      </c>
      <c r="L25" s="1209"/>
      <c r="M25" s="1210"/>
    </row>
    <row r="26" spans="1:37">
      <c r="A26" s="1094" t="s">
        <v>821</v>
      </c>
      <c r="B26" s="308" t="s">
        <v>1189</v>
      </c>
      <c r="C26" s="24">
        <f ca="1">ROUND((C19+C20)*F26,0)</f>
        <v>360</v>
      </c>
      <c r="D26" s="329" t="s">
        <v>1190</v>
      </c>
      <c r="E26" s="319" t="s">
        <v>1191</v>
      </c>
      <c r="F26" s="318">
        <f ca="1">INDIRECT("'数据-取费表'!q"&amp;$G$1)</f>
        <v>0.03</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2.9999999999999997E-4</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13995</v>
      </c>
      <c r="D29" s="1205"/>
      <c r="E29" s="1203"/>
      <c r="F29" s="1206"/>
      <c r="G29" s="1530"/>
      <c r="H29" s="340" t="s">
        <v>820</v>
      </c>
      <c r="I29" s="341" t="s">
        <v>1203</v>
      </c>
      <c r="J29" s="342">
        <f ca="1">ROUND(J26/(1+F40)^F41,0)</f>
        <v>0</v>
      </c>
      <c r="K29" s="343" t="s">
        <v>1204</v>
      </c>
      <c r="L29" s="344"/>
      <c r="M29" s="345">
        <f ca="1">INDIRECT("'数据-取费表'!k"&amp;$G$1)</f>
        <v>30257.699999999997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176</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85</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26.03</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56.8</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2.27</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15144.61</v>
      </c>
      <c r="G35" s="1518"/>
      <c r="H35" s="2874"/>
      <c r="I35" s="1532"/>
      <c r="J35" s="1533"/>
      <c r="K35" s="2878"/>
      <c r="L35" s="2877"/>
      <c r="M35" s="2877"/>
    </row>
    <row r="36" spans="1:18" ht="18" customHeight="1">
      <c r="A36" s="1215" t="s">
        <v>826</v>
      </c>
      <c r="B36" s="308" t="s">
        <v>1173</v>
      </c>
      <c r="C36" s="24">
        <f ca="1">ROUND(C29*F36,1)</f>
        <v>70</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13.6</v>
      </c>
      <c r="D37" s="3232"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7.5</v>
      </c>
      <c r="D38" s="1205" t="s">
        <v>1183</v>
      </c>
      <c r="E38" s="1203" t="s">
        <v>1146</v>
      </c>
      <c r="F38" s="1199">
        <f ca="1">INDIRECT("'数据-取费表'!Am"&amp;$G$1)</f>
        <v>1.4999999999999999E-2</v>
      </c>
      <c r="G38" s="1518"/>
      <c r="H38" s="2877"/>
      <c r="I38" s="1532"/>
      <c r="J38" s="1533"/>
      <c r="K38" s="2881"/>
      <c r="L38" s="2877"/>
      <c r="M38" s="2877"/>
    </row>
    <row r="39" spans="1:18" ht="24.6" customHeight="1" thickTop="1">
      <c r="A39" s="1192" t="s">
        <v>818</v>
      </c>
      <c r="B39" s="1207" t="s">
        <v>1187</v>
      </c>
      <c r="C39" s="316">
        <f ca="1">C5-C30</f>
        <v>321</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7489</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0.02</v>
      </c>
      <c r="G42" s="1518"/>
      <c r="H42" s="1305"/>
      <c r="I42" s="1532"/>
      <c r="J42" s="1533"/>
      <c r="K42" s="2718"/>
      <c r="L42" s="1305"/>
      <c r="M42" s="1305"/>
    </row>
    <row r="43" spans="1:18" ht="18" customHeight="1" thickBot="1">
      <c r="A43" s="340" t="s">
        <v>820</v>
      </c>
      <c r="B43" s="341" t="s">
        <v>1211</v>
      </c>
      <c r="C43" s="342">
        <f ca="1">ROUND(C40*10000/F43,0)</f>
        <v>2475</v>
      </c>
      <c r="D43" s="343" t="s">
        <v>1212</v>
      </c>
      <c r="E43" s="344" t="s">
        <v>1213</v>
      </c>
      <c r="F43" s="345">
        <f ca="1">INDIRECT("'数据-取费表'!k"&amp;$G$1)</f>
        <v>30257.699999999997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8" thickBot="1">
      <c r="A46" s="1538" t="s">
        <v>1244</v>
      </c>
      <c r="C46" s="1539">
        <f ca="1">C68-C40</f>
        <v>-29400</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8"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7489</v>
      </c>
      <c r="R47" s="1554" t="s">
        <v>1253</v>
      </c>
    </row>
    <row r="48" spans="1:18" s="1518" customFormat="1" ht="40.200000000000003"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8"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13995</v>
      </c>
      <c r="R49" s="1554" t="s">
        <v>1253</v>
      </c>
    </row>
    <row r="50" spans="1:18" s="1518" customFormat="1" ht="13.8" thickBot="1">
      <c r="A50" s="1088"/>
      <c r="B50" s="1091"/>
      <c r="C50" s="1231"/>
      <c r="D50" s="1065"/>
      <c r="E50" s="1168" t="s">
        <v>1130</v>
      </c>
      <c r="F50" s="1169">
        <f ca="1">F7</f>
        <v>30257.699999999997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8"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-15677</v>
      </c>
      <c r="M51" s="1570"/>
      <c r="O51" s="1562" t="s">
        <v>831</v>
      </c>
      <c r="P51" s="1553" t="s">
        <v>1266</v>
      </c>
      <c r="Q51" s="1565">
        <f>J52</f>
        <v>8.5000000000000006E-2</v>
      </c>
      <c r="R51" s="1554"/>
    </row>
    <row r="52" spans="1:18" s="1518" customFormat="1" ht="13.8"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36.6"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80" t="s">
        <v>1272</v>
      </c>
      <c r="L53" s="3481"/>
      <c r="O53" s="1552" t="s">
        <v>833</v>
      </c>
      <c r="P53" s="1553" t="s">
        <v>1273</v>
      </c>
      <c r="Q53" s="1554">
        <f ca="1">Q47+Q48</f>
        <v>7489</v>
      </c>
      <c r="R53" s="1554" t="s">
        <v>834</v>
      </c>
    </row>
    <row r="54" spans="1:18" s="1518" customFormat="1" ht="24.6"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8"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37.200000000000003" thickTop="1" thickBot="1">
      <c r="A56" s="1069">
        <v>2</v>
      </c>
      <c r="B56" s="1070" t="s">
        <v>1138</v>
      </c>
      <c r="C56" s="238">
        <f ca="1">C13</f>
        <v>13575</v>
      </c>
      <c r="D56" s="1581"/>
      <c r="E56" s="1582"/>
      <c r="F56" s="1574"/>
      <c r="I56" s="1583" t="s">
        <v>1278</v>
      </c>
      <c r="J56" s="1584" t="s">
        <v>3243</v>
      </c>
      <c r="K56" s="1555" t="s">
        <v>1279</v>
      </c>
      <c r="L56" s="1558" t="str">
        <f ca="1">IF(L48&lt;J51,"——",L48-J53)</f>
        <v>——</v>
      </c>
      <c r="O56" s="1552" t="s">
        <v>827</v>
      </c>
      <c r="P56" s="1553" t="s">
        <v>1252</v>
      </c>
      <c r="Q56" s="1554">
        <f ca="1">C40+J29</f>
        <v>7489</v>
      </c>
      <c r="R56" s="1554" t="s">
        <v>1253</v>
      </c>
    </row>
    <row r="57" spans="1:18" s="1518" customFormat="1" ht="24.6" thickBot="1">
      <c r="A57" s="1585"/>
      <c r="B57" s="1062" t="s">
        <v>1202</v>
      </c>
      <c r="C57" s="244">
        <f ca="1">C29</f>
        <v>13995</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6" thickBot="1">
      <c r="A58" s="321" t="s">
        <v>817</v>
      </c>
      <c r="B58" s="1070" t="s">
        <v>1148</v>
      </c>
      <c r="C58" s="322">
        <f ca="1">ROUND(C59+C64+C65+C66,0)</f>
        <v>1262</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6" thickBot="1">
      <c r="A59" s="1094" t="s">
        <v>822</v>
      </c>
      <c r="B59" s="1062" t="s">
        <v>1153</v>
      </c>
      <c r="C59" s="2483">
        <f ca="1">ROUND(IF(AND(项目基本情况!B11="自然人",项目基本情况!B10="北京市"),C49*F59/(1+'数据-取费表'!C42),C60+C61+C62),0)</f>
        <v>1178</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8" thickBot="1">
      <c r="A61" s="1094" t="s">
        <v>1216</v>
      </c>
      <c r="B61" s="1062" t="s">
        <v>1161</v>
      </c>
      <c r="C61" s="24">
        <f ca="1">IF(项目基本情况!B11="自然人","——",IF(D61="按租金收入计税",ROUND(C49*F61/(1+'数据-取费表'!C42),2),IF(D61="按房产原值计税",ROUND(C57*F61*0.7,2),INDIRECT("'数据-取费表'!Aj"&amp;$G$1))))</f>
        <v>1175.58</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8" thickBot="1">
      <c r="A62" s="1094" t="s">
        <v>1219</v>
      </c>
      <c r="B62" s="1061" t="s">
        <v>1165</v>
      </c>
      <c r="C62" s="25">
        <f ca="1">IF(项目基本情况!B11="自然人","——",ROUND(F62*F63/10000,2))</f>
        <v>2.27</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7489</v>
      </c>
      <c r="R62" s="1554" t="s">
        <v>834</v>
      </c>
    </row>
    <row r="63" spans="1:18" s="1518" customFormat="1" ht="13.8" thickBot="1">
      <c r="A63" s="332"/>
      <c r="B63" s="1068"/>
      <c r="C63" s="29"/>
      <c r="D63" s="1078"/>
      <c r="E63" s="1062" t="s">
        <v>1171</v>
      </c>
      <c r="F63" s="309">
        <f t="shared" ca="1" si="0"/>
        <v>15144.61</v>
      </c>
      <c r="I63" s="1596" t="s">
        <v>1300</v>
      </c>
      <c r="J63" s="1597">
        <v>70</v>
      </c>
      <c r="K63" s="1597">
        <v>50</v>
      </c>
      <c r="L63" s="1597">
        <v>80</v>
      </c>
      <c r="M63" s="1599">
        <v>0.02</v>
      </c>
      <c r="O63" s="1537" t="s">
        <v>1301</v>
      </c>
      <c r="P63" s="1515"/>
      <c r="Q63" s="1515"/>
      <c r="R63" s="1515"/>
    </row>
    <row r="64" spans="1:18" s="1518" customFormat="1" ht="13.8" thickBot="1">
      <c r="A64" s="1094" t="s">
        <v>826</v>
      </c>
      <c r="B64" s="1062" t="s">
        <v>1173</v>
      </c>
      <c r="C64" s="24">
        <f ca="1">ROUND(C57*F64,1)</f>
        <v>70</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8" thickBot="1">
      <c r="A65" s="1094" t="s">
        <v>1227</v>
      </c>
      <c r="B65" s="1062" t="s">
        <v>1177</v>
      </c>
      <c r="C65" s="24">
        <f ca="1">ROUND(C56*F65,1)</f>
        <v>13.6</v>
      </c>
      <c r="D65" s="1076" t="s">
        <v>1178</v>
      </c>
      <c r="E65" s="1062" t="s">
        <v>1146</v>
      </c>
      <c r="F65" s="336">
        <f t="shared" ca="1" si="0"/>
        <v>1E-3</v>
      </c>
      <c r="I65" s="1596" t="s">
        <v>1303</v>
      </c>
      <c r="J65" s="1597">
        <v>40</v>
      </c>
      <c r="K65" s="1597">
        <v>30</v>
      </c>
      <c r="L65" s="1597">
        <v>50</v>
      </c>
      <c r="M65" s="1599">
        <v>0.02</v>
      </c>
      <c r="O65" s="1552" t="s">
        <v>827</v>
      </c>
      <c r="P65" s="1553" t="s">
        <v>1252</v>
      </c>
      <c r="Q65" s="1554">
        <f ca="1">C40+J29</f>
        <v>7489</v>
      </c>
      <c r="R65" s="1554" t="s">
        <v>1253</v>
      </c>
    </row>
    <row r="66" spans="1:18" s="1518" customFormat="1" ht="16.2" thickBot="1">
      <c r="A66" s="1094" t="s">
        <v>1228</v>
      </c>
      <c r="B66" s="1062" t="s">
        <v>1163</v>
      </c>
      <c r="C66" s="24">
        <f ca="1">ROUND(C48*F66,1)</f>
        <v>0</v>
      </c>
      <c r="D66" s="1076" t="s">
        <v>1183</v>
      </c>
      <c r="E66" s="1062" t="s">
        <v>1146</v>
      </c>
      <c r="F66" s="318">
        <f t="shared" ca="1" si="0"/>
        <v>1.4999999999999999E-2</v>
      </c>
      <c r="O66" s="1552" t="s">
        <v>828</v>
      </c>
      <c r="P66" s="1553" t="s">
        <v>1282</v>
      </c>
      <c r="Q66" s="1554">
        <f ca="1">L60</f>
        <v>0</v>
      </c>
      <c r="R66" s="1554" t="s">
        <v>1305</v>
      </c>
    </row>
    <row r="67" spans="1:18" s="1518" customFormat="1" ht="24.6" thickBot="1">
      <c r="A67" s="1069" t="s">
        <v>818</v>
      </c>
      <c r="B67" s="1079" t="s">
        <v>1187</v>
      </c>
      <c r="C67" s="322">
        <f ca="1">C48-C58</f>
        <v>-1262</v>
      </c>
      <c r="D67" s="1075" t="s">
        <v>1188</v>
      </c>
      <c r="E67" s="1080"/>
      <c r="F67" s="1081"/>
      <c r="O67" s="1562" t="s">
        <v>829</v>
      </c>
      <c r="P67" s="1553" t="s">
        <v>1286</v>
      </c>
      <c r="Q67" s="1600">
        <f ca="1">L51</f>
        <v>-15677</v>
      </c>
      <c r="R67" s="1554" t="s">
        <v>1306</v>
      </c>
    </row>
    <row r="68" spans="1:18" s="1518" customFormat="1" ht="16.2" thickBot="1">
      <c r="A68" s="1059" t="s">
        <v>819</v>
      </c>
      <c r="B68" s="1060" t="s">
        <v>1209</v>
      </c>
      <c r="C68" s="307">
        <f ca="1">ROUND(C67*(1-((1+F70)/(1+F68))^F69)/(F68-F70),0)</f>
        <v>-21911</v>
      </c>
      <c r="D68" s="1077" t="s">
        <v>1193</v>
      </c>
      <c r="E68" s="1062" t="s">
        <v>1194</v>
      </c>
      <c r="F68" s="318">
        <f ca="1">F40</f>
        <v>0.05</v>
      </c>
      <c r="O68" s="1562" t="s">
        <v>830</v>
      </c>
      <c r="P68" s="1601" t="s">
        <v>1307</v>
      </c>
      <c r="Q68" s="1554">
        <f ca="1">ROUND(Q69-Q70*Q71,0)</f>
        <v>-765</v>
      </c>
      <c r="R68" s="1554" t="s">
        <v>838</v>
      </c>
    </row>
    <row r="69" spans="1:18" s="1518" customFormat="1" ht="13.8" thickBot="1">
      <c r="A69" s="1063"/>
      <c r="B69" s="1064"/>
      <c r="C69" s="312"/>
      <c r="D69" s="1082" t="s">
        <v>1197</v>
      </c>
      <c r="E69" s="1062" t="s">
        <v>1198</v>
      </c>
      <c r="F69" s="339">
        <f ca="1">F41</f>
        <v>41.52</v>
      </c>
      <c r="O69" s="1562" t="s">
        <v>835</v>
      </c>
      <c r="P69" s="1601" t="s">
        <v>1308</v>
      </c>
      <c r="Q69" s="1554">
        <f ca="1">C39</f>
        <v>321</v>
      </c>
      <c r="R69" s="1554" t="s">
        <v>1253</v>
      </c>
    </row>
    <row r="70" spans="1:18" s="1518" customFormat="1" ht="13.8" thickBot="1">
      <c r="A70" s="1066"/>
      <c r="B70" s="1067"/>
      <c r="C70" s="316"/>
      <c r="D70" s="1078"/>
      <c r="E70" s="1062" t="s">
        <v>1201</v>
      </c>
      <c r="F70" s="1166"/>
      <c r="O70" s="1562" t="s">
        <v>836</v>
      </c>
      <c r="P70" s="1601" t="s">
        <v>1309</v>
      </c>
      <c r="Q70" s="1554">
        <f ca="1">C13</f>
        <v>13575</v>
      </c>
      <c r="R70" s="1554" t="s">
        <v>1253</v>
      </c>
    </row>
    <row r="71" spans="1:18" s="1518" customFormat="1" ht="13.8" thickBot="1">
      <c r="A71" s="1083" t="s">
        <v>820</v>
      </c>
      <c r="B71" s="1084" t="s">
        <v>1211</v>
      </c>
      <c r="C71" s="342">
        <f ca="1">ROUND(C68*10000/F71,0)</f>
        <v>-7241</v>
      </c>
      <c r="D71" s="1085" t="s">
        <v>1212</v>
      </c>
      <c r="E71" s="1086" t="s">
        <v>1213</v>
      </c>
      <c r="F71" s="345">
        <f ca="1">F43</f>
        <v>30257.699999999997</v>
      </c>
      <c r="O71" s="1562" t="s">
        <v>837</v>
      </c>
      <c r="P71" s="1601" t="s">
        <v>1310</v>
      </c>
      <c r="Q71" s="1565">
        <f ca="1">C76</f>
        <v>0.08</v>
      </c>
      <c r="R71" s="1554"/>
    </row>
    <row r="72" spans="1:18" s="1518" customFormat="1" ht="13.8" thickBot="1">
      <c r="B72" s="735"/>
      <c r="C72" s="735"/>
      <c r="O72" s="1562" t="s">
        <v>831</v>
      </c>
      <c r="P72" s="1553" t="s">
        <v>1288</v>
      </c>
      <c r="Q72" s="1565">
        <f>L52</f>
        <v>0</v>
      </c>
      <c r="R72" s="1554"/>
    </row>
    <row r="73" spans="1:18" ht="16.2" thickBot="1">
      <c r="A73" s="1518"/>
      <c r="B73" s="735"/>
      <c r="C73" s="735"/>
      <c r="D73" s="1518"/>
      <c r="E73" s="1518"/>
      <c r="F73" s="1518"/>
      <c r="O73" s="1562" t="s">
        <v>832</v>
      </c>
      <c r="P73" s="1553" t="s">
        <v>1291</v>
      </c>
      <c r="Q73" s="1554" t="e">
        <f ca="1">L58</f>
        <v>#DIV/0!</v>
      </c>
      <c r="R73" s="1554" t="s">
        <v>1292</v>
      </c>
    </row>
    <row r="74" spans="1:18" ht="13.8"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8" thickBot="1">
      <c r="A75" s="1518"/>
      <c r="B75" s="346" t="s">
        <v>1230</v>
      </c>
      <c r="C75" s="347">
        <f ca="1">ROUND(C13*C76,0)</f>
        <v>1086</v>
      </c>
      <c r="D75" s="1518"/>
      <c r="E75" s="1518"/>
      <c r="F75" s="1518"/>
      <c r="K75" s="1536"/>
      <c r="L75" s="1518"/>
      <c r="O75" s="1552" t="s">
        <v>833</v>
      </c>
      <c r="P75" s="1553" t="s">
        <v>1273</v>
      </c>
      <c r="Q75" s="1554">
        <f ca="1">Q65+Q66</f>
        <v>7489</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-2.383</v>
      </c>
    </row>
    <row r="80" spans="1:18">
      <c r="B80" s="346" t="s">
        <v>1235</v>
      </c>
      <c r="C80" s="280">
        <f ca="1">ROUND(C75/C39,3)</f>
        <v>3.383</v>
      </c>
    </row>
    <row r="81" spans="2:3">
      <c r="B81" s="276" t="s">
        <v>1236</v>
      </c>
      <c r="C81" s="244"/>
    </row>
    <row r="82" spans="2:3">
      <c r="B82" s="279" t="s">
        <v>1237</v>
      </c>
      <c r="C82" s="281">
        <f ca="1">1-C83</f>
        <v>-0.81299999999999994</v>
      </c>
    </row>
    <row r="83" spans="2:3">
      <c r="B83" s="279" t="s">
        <v>1238</v>
      </c>
      <c r="C83" s="280">
        <f ca="1">ROUND(C13/C40,3)</f>
        <v>1.8129999999999999</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80" sqref="I8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2" customWidth="1"/>
    <col min="12" max="12" width="16.33203125" style="264" customWidth="1"/>
    <col min="13" max="13" width="13" style="264" customWidth="1"/>
    <col min="14" max="14" width="13.77734375" style="1518" customWidth="1"/>
    <col min="15" max="15" width="5.109375" style="1518" customWidth="1"/>
    <col min="16" max="16" width="25.77734375" style="1518" customWidth="1"/>
    <col min="17" max="17" width="13.77734375" style="1518" customWidth="1"/>
    <col min="18" max="18" width="20.44140625" style="1518" customWidth="1"/>
    <col min="19" max="19" width="13.21875" style="1518" customWidth="1"/>
    <col min="20" max="37" width="9" style="1518"/>
    <col min="38" max="16384" width="9" style="264"/>
  </cols>
  <sheetData>
    <row r="1" spans="1:37" s="299" customFormat="1" ht="21.6">
      <c r="A1" s="1509" t="s">
        <v>1313</v>
      </c>
      <c r="B1" s="722"/>
      <c r="C1" s="1513" t="s">
        <v>3179</v>
      </c>
      <c r="D1" s="1496" t="s">
        <v>70</v>
      </c>
      <c r="E1" s="1497" t="s">
        <v>1111</v>
      </c>
      <c r="F1" s="1174">
        <f ca="1">J53</f>
        <v>41.52</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131274</v>
      </c>
      <c r="C2" s="1521" t="s">
        <v>1240</v>
      </c>
      <c r="D2" s="1521"/>
      <c r="E2" s="1522"/>
      <c r="F2" s="1523"/>
      <c r="G2" s="2883"/>
      <c r="H2" s="2872"/>
      <c r="I2" s="2872"/>
      <c r="J2" s="2872"/>
      <c r="K2" s="2873"/>
      <c r="L2" s="2872"/>
      <c r="M2" s="2872"/>
    </row>
    <row r="3" spans="1:37" ht="18" customHeight="1" thickBot="1">
      <c r="A3" s="1524" t="s">
        <v>1241</v>
      </c>
      <c r="B3" s="1525">
        <f ca="1">IF(ISERROR(B2*10000/F43),0,ROUND(B2*10000/F43,0))</f>
        <v>7460</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8103</v>
      </c>
      <c r="D5" s="1498" t="s">
        <v>1126</v>
      </c>
      <c r="E5" s="1184"/>
      <c r="F5" s="1185"/>
      <c r="G5" s="1518"/>
      <c r="H5" s="305">
        <v>1</v>
      </c>
      <c r="I5" s="306" t="s">
        <v>1125</v>
      </c>
      <c r="J5" s="1183">
        <f ca="1">J6+J10+J12</f>
        <v>0</v>
      </c>
      <c r="K5" s="1498" t="s">
        <v>1126</v>
      </c>
      <c r="L5" s="1184"/>
      <c r="M5" s="1185"/>
    </row>
    <row r="6" spans="1:37" ht="18" customHeight="1">
      <c r="A6" s="1182" t="s">
        <v>822</v>
      </c>
      <c r="B6" s="3477" t="s">
        <v>1127</v>
      </c>
      <c r="C6" s="1187">
        <f ca="1">ROUND(F6*F8*F7*(1-F9)/10000,0)</f>
        <v>8093</v>
      </c>
      <c r="D6" s="160" t="s">
        <v>2606</v>
      </c>
      <c r="E6" s="308" t="s">
        <v>1129</v>
      </c>
      <c r="F6" s="309">
        <f ca="1">INDIRECT("'数据-取费表'!u"&amp;$G$1)</f>
        <v>1.4</v>
      </c>
      <c r="G6" s="1518"/>
      <c r="H6" s="1182" t="s">
        <v>822</v>
      </c>
      <c r="I6" s="3477" t="s">
        <v>1127</v>
      </c>
      <c r="J6" s="307">
        <f ca="1">ROUND(M6*M8*M7*(1-M9)/10000,0)</f>
        <v>0</v>
      </c>
      <c r="K6" s="160" t="s">
        <v>2605</v>
      </c>
      <c r="L6" s="308" t="s">
        <v>1129</v>
      </c>
      <c r="M6" s="309">
        <f ca="1">INDIRECT("'数据-取费表'!z"&amp;$G$1)</f>
        <v>0</v>
      </c>
    </row>
    <row r="7" spans="1:37" ht="18" customHeight="1">
      <c r="A7" s="1186"/>
      <c r="B7" s="3478"/>
      <c r="C7" s="1188"/>
      <c r="D7" s="313"/>
      <c r="E7" s="1189" t="s">
        <v>1130</v>
      </c>
      <c r="F7" s="309">
        <f ca="1">IF(INDIRECT("'数据-取费表'!ah"&amp;$G$1)="",INDIRECT("'数据-取费表'!k"&amp;$G$1),INDIRECT("'数据-取费表'!ah"&amp;$G$1))</f>
        <v>175962.71000000002</v>
      </c>
      <c r="G7" s="1518"/>
      <c r="H7" s="310"/>
      <c r="I7" s="3478"/>
      <c r="J7" s="312"/>
      <c r="K7" s="313"/>
      <c r="L7" s="308" t="s">
        <v>1130</v>
      </c>
      <c r="M7" s="309">
        <f ca="1">F7</f>
        <v>175962.71000000002</v>
      </c>
    </row>
    <row r="8" spans="1:37" ht="18" customHeight="1">
      <c r="A8" s="310"/>
      <c r="B8" s="3478"/>
      <c r="C8" s="312"/>
      <c r="D8" s="313"/>
      <c r="E8" s="308" t="s">
        <v>1131</v>
      </c>
      <c r="F8" s="309">
        <f ca="1">INDIRECT("'数据-取费表'!ai"&amp;$G$1)</f>
        <v>365</v>
      </c>
      <c r="G8" s="1518"/>
      <c r="H8" s="310"/>
      <c r="I8" s="3478"/>
      <c r="J8" s="312"/>
      <c r="K8" s="313"/>
      <c r="L8" s="308" t="s">
        <v>1131</v>
      </c>
      <c r="M8" s="309">
        <f ca="1">INDIRECT("'数据-取费表'!ai"&amp;$G$1)</f>
        <v>365</v>
      </c>
    </row>
    <row r="9" spans="1:37" ht="18" customHeight="1">
      <c r="A9" s="310"/>
      <c r="B9" s="3479"/>
      <c r="C9" s="312"/>
      <c r="D9" s="313"/>
      <c r="E9" s="308" t="s">
        <v>1132</v>
      </c>
      <c r="F9" s="318">
        <f ca="1">INDIRECT("'数据-取费表'!w"&amp;$G$1)</f>
        <v>0.1</v>
      </c>
      <c r="G9" s="1518"/>
      <c r="H9" s="310"/>
      <c r="I9" s="3479"/>
      <c r="J9" s="312"/>
      <c r="K9" s="313"/>
      <c r="L9" s="319" t="s">
        <v>1132</v>
      </c>
      <c r="M9" s="320">
        <f ca="1">INDIRECT("'数据-取费表'!ab"&amp;$G$1)</f>
        <v>0</v>
      </c>
    </row>
    <row r="10" spans="1:37" ht="18" customHeight="1">
      <c r="A10" s="1182" t="s">
        <v>826</v>
      </c>
      <c r="B10" s="1499" t="s">
        <v>1133</v>
      </c>
      <c r="C10" s="322">
        <f ca="1">ROUND(IF(F10="押一",C6/12*F11,IF(F10="押二",C6/12*2*F11,IF(F10="押三",C6/12*3*F11,C11*F11))),0)</f>
        <v>10</v>
      </c>
      <c r="D10" s="1500" t="s">
        <v>2614</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87719</v>
      </c>
      <c r="D13" s="1194" t="s">
        <v>1139</v>
      </c>
      <c r="E13" s="1194"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63655</v>
      </c>
      <c r="D14" s="1479" t="s">
        <v>1142</v>
      </c>
      <c r="E14" s="1476"/>
      <c r="F14" s="325"/>
      <c r="G14" s="1518"/>
      <c r="H14" s="1094" t="s">
        <v>822</v>
      </c>
      <c r="I14" s="308" t="s">
        <v>1143</v>
      </c>
      <c r="J14" s="24">
        <f ca="1">C29</f>
        <v>90432</v>
      </c>
      <c r="K14" s="15"/>
      <c r="L14" s="897"/>
      <c r="M14" s="898"/>
    </row>
    <row r="15" spans="1:37" s="1531" customFormat="1" ht="18" customHeight="1" thickBot="1">
      <c r="A15" s="1094" t="s">
        <v>823</v>
      </c>
      <c r="B15" s="308" t="s">
        <v>1144</v>
      </c>
      <c r="C15" s="24">
        <f ca="1">ROUND(C14*F15,0)</f>
        <v>1910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1677</v>
      </c>
      <c r="K16" s="1200" t="s">
        <v>1149</v>
      </c>
      <c r="L16" s="1201"/>
      <c r="M16" s="1185"/>
    </row>
    <row r="17" spans="1:37" s="1531" customFormat="1" ht="18" customHeight="1">
      <c r="A17" s="1094" t="s">
        <v>1114</v>
      </c>
      <c r="B17" s="308" t="s">
        <v>1150</v>
      </c>
      <c r="C17" s="24">
        <f ca="1">ROUND(F17*(F43+INDIRECT("'数据-取费表'!S"&amp;$G$1))/10000,0)</f>
        <v>1819</v>
      </c>
      <c r="D17" s="308" t="s">
        <v>1151</v>
      </c>
      <c r="E17" s="308" t="s">
        <v>1152</v>
      </c>
      <c r="F17" s="26">
        <f>'数据-取费表'!B35</f>
        <v>100</v>
      </c>
      <c r="G17" s="1530"/>
      <c r="H17" s="1094" t="s">
        <v>822</v>
      </c>
      <c r="I17" s="308" t="s">
        <v>1153</v>
      </c>
      <c r="J17" s="2483">
        <f ca="1">ROUND(IF(AND(项目基本情况!B11="自然人",项目基本情况!B10="北京市"),J6*M17/(1+'数据-取费表'!C42),J18+J19+J20),0)</f>
        <v>773</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955</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68339</v>
      </c>
      <c r="D19" s="136" t="s">
        <v>1160</v>
      </c>
      <c r="E19" s="1494"/>
      <c r="F19" s="26"/>
      <c r="G19" s="1518"/>
      <c r="H19" s="1094" t="s">
        <v>823</v>
      </c>
      <c r="I19" s="308" t="s">
        <v>1161</v>
      </c>
      <c r="J19" s="24">
        <f ca="1">IF(K19="按租金收入计税",ROUND(J6*M19/(1+'数据-取费表'!C42),2),ROUND(C29*M19*0.7,2))</f>
        <v>759.63</v>
      </c>
      <c r="K19" s="1504" t="s">
        <v>1162</v>
      </c>
      <c r="L19" s="308" t="s">
        <v>1146</v>
      </c>
      <c r="M19" s="328">
        <f>IF(K19="按租金收入计税",'数据-取费表'!B51,'数据-取费表'!B50)</f>
        <v>1.2E-2</v>
      </c>
    </row>
    <row r="20" spans="1:37" s="1531" customFormat="1" ht="18" customHeight="1">
      <c r="A20" s="1094" t="s">
        <v>826</v>
      </c>
      <c r="B20" s="308" t="s">
        <v>1163</v>
      </c>
      <c r="C20" s="24">
        <f ca="1">ROUND(C19*F20,0)</f>
        <v>1367</v>
      </c>
      <c r="D20" s="329" t="s">
        <v>1164</v>
      </c>
      <c r="E20" s="308" t="s">
        <v>1146</v>
      </c>
      <c r="F20" s="328">
        <f>'数据-取费表'!B37</f>
        <v>0.02</v>
      </c>
      <c r="G20" s="1530"/>
      <c r="H20" s="1094" t="s">
        <v>1113</v>
      </c>
      <c r="I20" s="160" t="s">
        <v>1165</v>
      </c>
      <c r="J20" s="25">
        <f ca="1">ROUND(M20*M21/10000,2)</f>
        <v>13.21</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f ca="1">INDIRECT("'数据-取费表'!r"&amp;$G$1)</f>
        <v>88073.02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904.3</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4437</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-1677</v>
      </c>
      <c r="K25" s="1208" t="s">
        <v>1188</v>
      </c>
      <c r="L25" s="1209"/>
      <c r="M25" s="1210"/>
    </row>
    <row r="26" spans="1:37">
      <c r="A26" s="1094" t="s">
        <v>821</v>
      </c>
      <c r="B26" s="308" t="s">
        <v>1189</v>
      </c>
      <c r="C26" s="24">
        <f ca="1">ROUND((C19+C20)*F26,0)</f>
        <v>10456</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1.5E-3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90432</v>
      </c>
      <c r="D29" s="1205"/>
      <c r="E29" s="1203"/>
      <c r="F29" s="1206"/>
      <c r="G29" s="1530"/>
      <c r="H29" s="340" t="s">
        <v>820</v>
      </c>
      <c r="I29" s="341" t="s">
        <v>1203</v>
      </c>
      <c r="J29" s="342">
        <f ca="1">ROUND(J26/(1+F40)^F41,0)</f>
        <v>0</v>
      </c>
      <c r="K29" s="343" t="s">
        <v>1204</v>
      </c>
      <c r="L29" s="344"/>
      <c r="M29" s="345">
        <f ca="1">INDIRECT("'数据-取费表'!k"&amp;$G$1)</f>
        <v>175962.71000000002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2476</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1362</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423.92</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924.91</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13.21</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88073.02</v>
      </c>
      <c r="G35" s="1518"/>
      <c r="H35" s="2874"/>
      <c r="I35" s="1532"/>
      <c r="J35" s="1533"/>
      <c r="K35" s="2878"/>
      <c r="L35" s="2877"/>
      <c r="M35" s="2877"/>
    </row>
    <row r="36" spans="1:18" ht="18" customHeight="1">
      <c r="A36" s="1215" t="s">
        <v>826</v>
      </c>
      <c r="B36" s="308" t="s">
        <v>1173</v>
      </c>
      <c r="C36" s="24">
        <f ca="1">ROUND(C29*F36,1)</f>
        <v>904.3</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87.7</v>
      </c>
      <c r="D37" s="1478" t="s">
        <v>1178</v>
      </c>
      <c r="E37" s="308" t="s">
        <v>1179</v>
      </c>
      <c r="F37" s="336">
        <f ca="1">INDIRECT("'数据-取费表'!Al"&amp;$G$1)</f>
        <v>1E-3</v>
      </c>
      <c r="G37" s="1518"/>
      <c r="H37" s="2877"/>
      <c r="I37" s="1532">
        <f ca="1">C6+收益法地下厂房!C6+收益法地下车库!C6</f>
        <v>9373</v>
      </c>
      <c r="J37" s="1533"/>
      <c r="K37" s="2718"/>
      <c r="L37" s="2877"/>
      <c r="M37" s="2877"/>
    </row>
    <row r="38" spans="1:18" ht="18" customHeight="1" thickBot="1">
      <c r="A38" s="1202" t="s">
        <v>1117</v>
      </c>
      <c r="B38" s="1203" t="s">
        <v>1163</v>
      </c>
      <c r="C38" s="1204">
        <f ca="1">ROUND(C5*F38,1)</f>
        <v>121.5</v>
      </c>
      <c r="D38" s="1205" t="s">
        <v>1183</v>
      </c>
      <c r="E38" s="1203" t="s">
        <v>1179</v>
      </c>
      <c r="F38" s="1199">
        <f ca="1">INDIRECT("'数据-取费表'!Am"&amp;$G$1)</f>
        <v>1.4999999999999999E-2</v>
      </c>
      <c r="G38" s="1518"/>
      <c r="H38" s="2877"/>
      <c r="I38" s="1532"/>
      <c r="J38" s="1533"/>
      <c r="K38" s="2881"/>
      <c r="L38" s="2877"/>
      <c r="M38" s="2877"/>
    </row>
    <row r="39" spans="1:18" ht="24.6" customHeight="1" thickTop="1">
      <c r="A39" s="1192" t="s">
        <v>818</v>
      </c>
      <c r="B39" s="1207" t="s">
        <v>1207</v>
      </c>
      <c r="C39" s="316">
        <f ca="1">C5-C30</f>
        <v>5627</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131274</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0.02</v>
      </c>
      <c r="G42" s="1518"/>
      <c r="H42" s="1305"/>
      <c r="I42" s="1532"/>
      <c r="J42" s="1533"/>
      <c r="K42" s="2718"/>
      <c r="L42" s="1305"/>
      <c r="M42" s="1305"/>
    </row>
    <row r="43" spans="1:18" ht="18" customHeight="1" thickBot="1">
      <c r="A43" s="340" t="s">
        <v>820</v>
      </c>
      <c r="B43" s="341" t="s">
        <v>1211</v>
      </c>
      <c r="C43" s="342">
        <f ca="1">ROUND(C40*10000/F43,0)</f>
        <v>7460</v>
      </c>
      <c r="D43" s="343" t="s">
        <v>1212</v>
      </c>
      <c r="E43" s="344" t="s">
        <v>1213</v>
      </c>
      <c r="F43" s="345">
        <f ca="1">INDIRECT("'数据-取费表'!k"&amp;$G$1)</f>
        <v>175962.71000000002</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8" thickBot="1">
      <c r="A46" s="1538" t="s">
        <v>1244</v>
      </c>
      <c r="C46" s="1539">
        <f ca="1">C68-C40</f>
        <v>-280623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8"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131274</v>
      </c>
      <c r="R47" s="1554" t="s">
        <v>1253</v>
      </c>
    </row>
    <row r="48" spans="1:18" s="1518" customFormat="1" ht="40.200000000000003" thickBot="1">
      <c r="A48" s="1223" t="s">
        <v>863</v>
      </c>
      <c r="B48" s="306" t="s">
        <v>1125</v>
      </c>
      <c r="C48" s="1493">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8" thickBot="1">
      <c r="A49" s="1087" t="s">
        <v>864</v>
      </c>
      <c r="B49" s="1505" t="s">
        <v>1214</v>
      </c>
      <c r="C49" s="1227">
        <f ca="1">ROUND(F49*F51*F50*(1-F52)/10000,0)</f>
        <v>0</v>
      </c>
      <c r="D49" s="1167" t="s">
        <v>2607</v>
      </c>
      <c r="E49" s="1506" t="s">
        <v>1215</v>
      </c>
      <c r="F49" s="1172"/>
      <c r="G49" s="1559"/>
      <c r="H49" s="732"/>
      <c r="I49" s="1555" t="s">
        <v>1258</v>
      </c>
      <c r="J49" s="1560">
        <v>2020</v>
      </c>
      <c r="K49" s="1557" t="s">
        <v>1259</v>
      </c>
      <c r="L49" s="1561"/>
      <c r="O49" s="1562" t="s">
        <v>829</v>
      </c>
      <c r="P49" s="1553" t="s">
        <v>1260</v>
      </c>
      <c r="Q49" s="1554">
        <f ca="1">C29</f>
        <v>90432</v>
      </c>
      <c r="R49" s="1554" t="s">
        <v>1253</v>
      </c>
    </row>
    <row r="50" spans="1:18" s="1518" customFormat="1" ht="13.8" thickBot="1">
      <c r="A50" s="1088"/>
      <c r="B50" s="1091"/>
      <c r="C50" s="1231"/>
      <c r="D50" s="1065"/>
      <c r="E50" s="1168" t="s">
        <v>1130</v>
      </c>
      <c r="F50" s="1169">
        <f ca="1">F7</f>
        <v>175962.71000000002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8"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-28495</v>
      </c>
      <c r="M51" s="1570"/>
      <c r="O51" s="1562" t="s">
        <v>831</v>
      </c>
      <c r="P51" s="1553" t="s">
        <v>1266</v>
      </c>
      <c r="Q51" s="1565">
        <f>J52</f>
        <v>8.5000000000000006E-2</v>
      </c>
      <c r="R51" s="1554"/>
    </row>
    <row r="52" spans="1:18" s="1518" customFormat="1" ht="13.8"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36.6"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80" t="s">
        <v>1272</v>
      </c>
      <c r="L53" s="3481"/>
      <c r="O53" s="1552" t="s">
        <v>833</v>
      </c>
      <c r="P53" s="1553" t="s">
        <v>1273</v>
      </c>
      <c r="Q53" s="1554">
        <f ca="1">Q47+Q48</f>
        <v>131274</v>
      </c>
      <c r="R53" s="1554" t="s">
        <v>834</v>
      </c>
    </row>
    <row r="54" spans="1:18" s="1518" customFormat="1" ht="24.6"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8"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37.200000000000003" thickTop="1" thickBot="1">
      <c r="A56" s="1069">
        <v>2</v>
      </c>
      <c r="B56" s="1070" t="s">
        <v>1138</v>
      </c>
      <c r="C56" s="238">
        <f ca="1">C13</f>
        <v>87719</v>
      </c>
      <c r="D56" s="1581"/>
      <c r="E56" s="1582"/>
      <c r="F56" s="1574"/>
      <c r="I56" s="1583" t="s">
        <v>1278</v>
      </c>
      <c r="J56" s="1584" t="s">
        <v>3243</v>
      </c>
      <c r="K56" s="1555" t="s">
        <v>1279</v>
      </c>
      <c r="L56" s="1558" t="str">
        <f ca="1">IF(L48&lt;J51,"——",L48-J53)</f>
        <v>——</v>
      </c>
      <c r="O56" s="1552" t="s">
        <v>827</v>
      </c>
      <c r="P56" s="1553" t="s">
        <v>1252</v>
      </c>
      <c r="Q56" s="1554">
        <f ca="1">C40+J29</f>
        <v>131274</v>
      </c>
      <c r="R56" s="1554" t="s">
        <v>1253</v>
      </c>
    </row>
    <row r="57" spans="1:18" s="1518" customFormat="1" ht="24.6" thickBot="1">
      <c r="A57" s="1585"/>
      <c r="B57" s="1062" t="s">
        <v>1202</v>
      </c>
      <c r="C57" s="244">
        <f ca="1">C29</f>
        <v>90432</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6" thickBot="1">
      <c r="A58" s="321" t="s">
        <v>817</v>
      </c>
      <c r="B58" s="1070" t="s">
        <v>1148</v>
      </c>
      <c r="C58" s="322">
        <f ca="1">ROUND(C59+C64+C65+C66,0)</f>
        <v>8602</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6" thickBot="1">
      <c r="A59" s="1094" t="s">
        <v>822</v>
      </c>
      <c r="B59" s="1062" t="s">
        <v>1153</v>
      </c>
      <c r="C59" s="2483">
        <f ca="1">ROUND(IF(AND(项目基本情况!B11="自然人",项目基本情况!B10="北京市"),C49*F59/(1+'数据-取费表'!C42),C60+C61+C62),0)</f>
        <v>7610</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8" thickBot="1">
      <c r="A61" s="1094" t="s">
        <v>1216</v>
      </c>
      <c r="B61" s="1062" t="s">
        <v>1217</v>
      </c>
      <c r="C61" s="24">
        <f ca="1">IF(项目基本情况!B11="自然人","——",IF(D61="按租金收入计税",ROUND(C49*F61/(1+'数据-取费表'!C42),2),IF(D61="按房产原值计税",ROUND(C57*F61*0.7,2),INDIRECT("'数据-取费表'!Aj"&amp;$G$1))))</f>
        <v>7596.29</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8" thickBot="1">
      <c r="A62" s="1094" t="s">
        <v>1219</v>
      </c>
      <c r="B62" s="1061" t="s">
        <v>1220</v>
      </c>
      <c r="C62" s="25">
        <f ca="1">IF(项目基本情况!B11="自然人","——",ROUND(F62*F63/10000,2))</f>
        <v>13.21</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131274</v>
      </c>
      <c r="R62" s="1554" t="s">
        <v>834</v>
      </c>
    </row>
    <row r="63" spans="1:18" s="1518" customFormat="1" ht="13.8" thickBot="1">
      <c r="A63" s="332"/>
      <c r="B63" s="1068"/>
      <c r="C63" s="29"/>
      <c r="D63" s="1078"/>
      <c r="E63" s="1062" t="s">
        <v>1223</v>
      </c>
      <c r="F63" s="309">
        <f t="shared" ca="1" si="0"/>
        <v>88073.02</v>
      </c>
      <c r="I63" s="1596" t="s">
        <v>1300</v>
      </c>
      <c r="J63" s="1597">
        <v>70</v>
      </c>
      <c r="K63" s="1597">
        <v>50</v>
      </c>
      <c r="L63" s="1597">
        <v>80</v>
      </c>
      <c r="M63" s="1599">
        <v>0.02</v>
      </c>
      <c r="O63" s="1537" t="s">
        <v>1301</v>
      </c>
      <c r="P63" s="1515"/>
      <c r="Q63" s="1515"/>
      <c r="R63" s="1515"/>
    </row>
    <row r="64" spans="1:18" s="1518" customFormat="1" ht="13.8" thickBot="1">
      <c r="A64" s="1094" t="s">
        <v>1224</v>
      </c>
      <c r="B64" s="1062" t="s">
        <v>1225</v>
      </c>
      <c r="C64" s="24">
        <f ca="1">ROUND(C57*F64,1)</f>
        <v>904.3</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8" thickBot="1">
      <c r="A65" s="1094" t="s">
        <v>1227</v>
      </c>
      <c r="B65" s="1062" t="s">
        <v>1177</v>
      </c>
      <c r="C65" s="24">
        <f ca="1">ROUND(C56*F65,1)</f>
        <v>87.7</v>
      </c>
      <c r="D65" s="1076" t="s">
        <v>1178</v>
      </c>
      <c r="E65" s="1062" t="s">
        <v>1179</v>
      </c>
      <c r="F65" s="336">
        <f t="shared" ca="1" si="0"/>
        <v>1E-3</v>
      </c>
      <c r="I65" s="1596" t="s">
        <v>1303</v>
      </c>
      <c r="J65" s="1597">
        <v>40</v>
      </c>
      <c r="K65" s="1597">
        <v>30</v>
      </c>
      <c r="L65" s="1597">
        <v>50</v>
      </c>
      <c r="M65" s="1599">
        <v>0.02</v>
      </c>
      <c r="O65" s="1552" t="s">
        <v>827</v>
      </c>
      <c r="P65" s="1553" t="s">
        <v>1304</v>
      </c>
      <c r="Q65" s="1554">
        <f ca="1">C40+J29</f>
        <v>131274</v>
      </c>
      <c r="R65" s="1554" t="s">
        <v>1253</v>
      </c>
    </row>
    <row r="66" spans="1:18" s="1518" customFormat="1" ht="16.2" thickBot="1">
      <c r="A66" s="1094" t="s">
        <v>1228</v>
      </c>
      <c r="B66" s="1062" t="s">
        <v>1163</v>
      </c>
      <c r="C66" s="24">
        <f ca="1">ROUND(C48*F66,1)</f>
        <v>0</v>
      </c>
      <c r="D66" s="1076" t="s">
        <v>1229</v>
      </c>
      <c r="E66" s="1062" t="s">
        <v>1146</v>
      </c>
      <c r="F66" s="318">
        <f t="shared" ca="1" si="0"/>
        <v>1.4999999999999999E-2</v>
      </c>
      <c r="O66" s="1552" t="s">
        <v>828</v>
      </c>
      <c r="P66" s="1553" t="s">
        <v>1282</v>
      </c>
      <c r="Q66" s="1554">
        <f ca="1">L60</f>
        <v>0</v>
      </c>
      <c r="R66" s="1554" t="s">
        <v>1305</v>
      </c>
    </row>
    <row r="67" spans="1:18" s="1518" customFormat="1" ht="24.6" thickBot="1">
      <c r="A67" s="1069" t="s">
        <v>818</v>
      </c>
      <c r="B67" s="1079" t="s">
        <v>1187</v>
      </c>
      <c r="C67" s="322">
        <f ca="1">C48-C58</f>
        <v>-8602</v>
      </c>
      <c r="D67" s="1075" t="s">
        <v>1188</v>
      </c>
      <c r="E67" s="1080"/>
      <c r="F67" s="1081"/>
      <c r="O67" s="1562" t="s">
        <v>829</v>
      </c>
      <c r="P67" s="1553" t="s">
        <v>1286</v>
      </c>
      <c r="Q67" s="1600">
        <f ca="1">L51</f>
        <v>-28495</v>
      </c>
      <c r="R67" s="1554" t="s">
        <v>1306</v>
      </c>
    </row>
    <row r="68" spans="1:18" s="1518" customFormat="1" ht="16.2" thickBot="1">
      <c r="A68" s="1059" t="s">
        <v>819</v>
      </c>
      <c r="B68" s="1060" t="s">
        <v>1209</v>
      </c>
      <c r="C68" s="307">
        <f ca="1">ROUND(C67*(1-((1+F70)/(1+F68))^F69)/(F68-F70),0)</f>
        <v>-149349</v>
      </c>
      <c r="D68" s="1077" t="s">
        <v>1193</v>
      </c>
      <c r="E68" s="1062" t="s">
        <v>1194</v>
      </c>
      <c r="F68" s="318">
        <f ca="1">F40</f>
        <v>0.05</v>
      </c>
      <c r="O68" s="1562" t="s">
        <v>830</v>
      </c>
      <c r="P68" s="1601" t="s">
        <v>1307</v>
      </c>
      <c r="Q68" s="1554">
        <f ca="1">ROUND(Q69-Q70*Q71,0)</f>
        <v>-1391</v>
      </c>
      <c r="R68" s="1554" t="s">
        <v>838</v>
      </c>
    </row>
    <row r="69" spans="1:18" s="1518" customFormat="1" ht="13.8" thickBot="1">
      <c r="A69" s="1063"/>
      <c r="B69" s="1064"/>
      <c r="C69" s="312"/>
      <c r="D69" s="1082" t="s">
        <v>1197</v>
      </c>
      <c r="E69" s="1062" t="s">
        <v>1198</v>
      </c>
      <c r="F69" s="339">
        <f ca="1">F41</f>
        <v>41.52</v>
      </c>
      <c r="O69" s="1562" t="s">
        <v>835</v>
      </c>
      <c r="P69" s="1601" t="s">
        <v>1308</v>
      </c>
      <c r="Q69" s="1554">
        <f ca="1">C39</f>
        <v>5627</v>
      </c>
      <c r="R69" s="1554" t="s">
        <v>1253</v>
      </c>
    </row>
    <row r="70" spans="1:18" s="1518" customFormat="1" ht="13.8" thickBot="1">
      <c r="A70" s="1066"/>
      <c r="B70" s="1067"/>
      <c r="C70" s="316"/>
      <c r="D70" s="1078"/>
      <c r="E70" s="1062" t="s">
        <v>1201</v>
      </c>
      <c r="F70" s="1166"/>
      <c r="O70" s="1562" t="s">
        <v>836</v>
      </c>
      <c r="P70" s="1601" t="s">
        <v>1309</v>
      </c>
      <c r="Q70" s="1554">
        <f ca="1">C13</f>
        <v>87719</v>
      </c>
      <c r="R70" s="1554" t="s">
        <v>1253</v>
      </c>
    </row>
    <row r="71" spans="1:18" s="1518" customFormat="1" ht="13.8" thickBot="1">
      <c r="A71" s="1083" t="s">
        <v>820</v>
      </c>
      <c r="B71" s="1084" t="s">
        <v>1211</v>
      </c>
      <c r="C71" s="342">
        <f ca="1">ROUND(C68*10000/F71,0)</f>
        <v>-8488</v>
      </c>
      <c r="D71" s="1085" t="s">
        <v>1212</v>
      </c>
      <c r="E71" s="1086" t="s">
        <v>1213</v>
      </c>
      <c r="F71" s="345">
        <f ca="1">F43</f>
        <v>175962.71000000002</v>
      </c>
      <c r="O71" s="1562" t="s">
        <v>837</v>
      </c>
      <c r="P71" s="1601" t="s">
        <v>1310</v>
      </c>
      <c r="Q71" s="1565">
        <f ca="1">C76</f>
        <v>0.08</v>
      </c>
      <c r="R71" s="1554"/>
    </row>
    <row r="72" spans="1:18" s="1518" customFormat="1" ht="13.8" thickBot="1">
      <c r="B72" s="735"/>
      <c r="C72" s="735"/>
      <c r="O72" s="1562" t="s">
        <v>831</v>
      </c>
      <c r="P72" s="1553" t="s">
        <v>1288</v>
      </c>
      <c r="Q72" s="1565">
        <f>L52</f>
        <v>0</v>
      </c>
      <c r="R72" s="1554"/>
    </row>
    <row r="73" spans="1:18" ht="16.2" thickBot="1">
      <c r="A73" s="1518"/>
      <c r="B73" s="735"/>
      <c r="C73" s="735"/>
      <c r="D73" s="1518"/>
      <c r="E73" s="1518"/>
      <c r="F73" s="1518"/>
      <c r="O73" s="1562" t="s">
        <v>832</v>
      </c>
      <c r="P73" s="1553" t="s">
        <v>1291</v>
      </c>
      <c r="Q73" s="1554" t="e">
        <f ca="1">L58</f>
        <v>#DIV/0!</v>
      </c>
      <c r="R73" s="1554" t="s">
        <v>1292</v>
      </c>
    </row>
    <row r="74" spans="1:18" ht="13.8"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8" thickBot="1">
      <c r="A75" s="1518"/>
      <c r="B75" s="346" t="s">
        <v>1230</v>
      </c>
      <c r="C75" s="347">
        <f ca="1">ROUND(C13*C76,0)</f>
        <v>7018</v>
      </c>
      <c r="D75" s="1518"/>
      <c r="E75" s="1518"/>
      <c r="F75" s="1518"/>
      <c r="K75" s="1536"/>
      <c r="L75" s="1518"/>
      <c r="O75" s="1552" t="s">
        <v>833</v>
      </c>
      <c r="P75" s="1553" t="s">
        <v>1273</v>
      </c>
      <c r="Q75" s="1554">
        <f ca="1">Q65+Q66</f>
        <v>131274</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-0.24700000000000011</v>
      </c>
    </row>
    <row r="80" spans="1:18">
      <c r="B80" s="346" t="s">
        <v>1235</v>
      </c>
      <c r="C80" s="280">
        <f ca="1">ROUND(C75/C39,3)</f>
        <v>1.2470000000000001</v>
      </c>
    </row>
    <row r="81" spans="2:3">
      <c r="B81" s="276" t="s">
        <v>1236</v>
      </c>
      <c r="C81" s="244"/>
    </row>
    <row r="82" spans="2:3">
      <c r="B82" s="279" t="s">
        <v>1237</v>
      </c>
      <c r="C82" s="281">
        <f ca="1">1-C83</f>
        <v>0.33199999999999996</v>
      </c>
    </row>
    <row r="83" spans="2:3">
      <c r="B83" s="279" t="s">
        <v>1238</v>
      </c>
      <c r="C83" s="280">
        <f ca="1">ROUND(C13/C40,3)</f>
        <v>0.66800000000000004</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41" sqref="I41"/>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2" customWidth="1"/>
    <col min="12" max="12" width="16.33203125" style="264" customWidth="1"/>
    <col min="13" max="13" width="13" style="264" customWidth="1"/>
    <col min="14" max="14" width="13.77734375" style="1518" customWidth="1"/>
    <col min="15" max="15" width="5.109375" style="1518" customWidth="1"/>
    <col min="16" max="16" width="25.77734375" style="1518" customWidth="1"/>
    <col min="17" max="17" width="13.77734375" style="1518" customWidth="1"/>
    <col min="18" max="18" width="20.44140625" style="1518" customWidth="1"/>
    <col min="19" max="19" width="13.21875" style="1518" customWidth="1"/>
    <col min="20" max="37" width="9" style="1518"/>
    <col min="38" max="16384" width="9" style="264"/>
  </cols>
  <sheetData>
    <row r="1" spans="1:37" s="299" customFormat="1" ht="21.6">
      <c r="A1" s="1509" t="s">
        <v>1313</v>
      </c>
      <c r="B1" s="722"/>
      <c r="C1" s="1513" t="s">
        <v>3248</v>
      </c>
      <c r="D1" s="1496" t="s">
        <v>70</v>
      </c>
      <c r="E1" s="1497" t="s">
        <v>1111</v>
      </c>
      <c r="F1" s="1174">
        <f ca="1">J53</f>
        <v>41.52</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12901</v>
      </c>
      <c r="C2" s="1521" t="s">
        <v>1240</v>
      </c>
      <c r="D2" s="1521"/>
      <c r="E2" s="1522"/>
      <c r="F2" s="1523"/>
      <c r="G2" s="2883"/>
      <c r="H2" s="2872"/>
      <c r="I2" s="2872"/>
      <c r="J2" s="2872"/>
      <c r="K2" s="2873"/>
      <c r="L2" s="2872"/>
      <c r="M2" s="2872"/>
    </row>
    <row r="3" spans="1:37" ht="18" customHeight="1" thickBot="1">
      <c r="A3" s="1524" t="s">
        <v>1241</v>
      </c>
      <c r="B3" s="1525">
        <f ca="1">IF(ISERROR(B2*10000/F43),0,ROUND(B2*10000/F43,0))</f>
        <v>4332</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784</v>
      </c>
      <c r="D5" s="1498" t="s">
        <v>1126</v>
      </c>
      <c r="E5" s="1184"/>
      <c r="F5" s="1185"/>
      <c r="G5" s="1518"/>
      <c r="H5" s="305">
        <v>1</v>
      </c>
      <c r="I5" s="306" t="s">
        <v>1125</v>
      </c>
      <c r="J5" s="1183">
        <f ca="1">J6+J10+J12</f>
        <v>0</v>
      </c>
      <c r="K5" s="1498" t="s">
        <v>1126</v>
      </c>
      <c r="L5" s="1184"/>
      <c r="M5" s="1185"/>
    </row>
    <row r="6" spans="1:37" ht="18" customHeight="1">
      <c r="A6" s="1182" t="s">
        <v>822</v>
      </c>
      <c r="B6" s="3477" t="s">
        <v>1127</v>
      </c>
      <c r="C6" s="1187">
        <f ca="1">ROUND(F6*F8*F7*(1-F9)/10000,0)</f>
        <v>783</v>
      </c>
      <c r="D6" s="160" t="s">
        <v>2606</v>
      </c>
      <c r="E6" s="308" t="s">
        <v>1129</v>
      </c>
      <c r="F6" s="309">
        <f ca="1">INDIRECT("'数据-取费表'!u"&amp;$G$1)</f>
        <v>0.8</v>
      </c>
      <c r="G6" s="1518"/>
      <c r="H6" s="1182" t="s">
        <v>822</v>
      </c>
      <c r="I6" s="3477" t="s">
        <v>1127</v>
      </c>
      <c r="J6" s="307">
        <f ca="1">ROUND(M6*M8*M7*(1-M9)/10000,0)</f>
        <v>0</v>
      </c>
      <c r="K6" s="160" t="s">
        <v>2605</v>
      </c>
      <c r="L6" s="308" t="s">
        <v>1129</v>
      </c>
      <c r="M6" s="309">
        <f ca="1">INDIRECT("'数据-取费表'!z"&amp;$G$1)</f>
        <v>0</v>
      </c>
    </row>
    <row r="7" spans="1:37" ht="18" customHeight="1">
      <c r="A7" s="1186"/>
      <c r="B7" s="3478"/>
      <c r="C7" s="1188"/>
      <c r="D7" s="313"/>
      <c r="E7" s="3237" t="s">
        <v>1130</v>
      </c>
      <c r="F7" s="309">
        <f ca="1">IF(INDIRECT("'数据-取费表'!ah"&amp;$G$1)="",INDIRECT("'数据-取费表'!k"&amp;$G$1),INDIRECT("'数据-取费表'!ah"&amp;$G$1))</f>
        <v>29778.85</v>
      </c>
      <c r="G7" s="1518"/>
      <c r="H7" s="310"/>
      <c r="I7" s="3478"/>
      <c r="J7" s="312"/>
      <c r="K7" s="313"/>
      <c r="L7" s="308" t="s">
        <v>1130</v>
      </c>
      <c r="M7" s="309">
        <f ca="1">F7</f>
        <v>29778.85</v>
      </c>
    </row>
    <row r="8" spans="1:37" ht="18" customHeight="1">
      <c r="A8" s="310"/>
      <c r="B8" s="3478"/>
      <c r="C8" s="312"/>
      <c r="D8" s="313"/>
      <c r="E8" s="308" t="s">
        <v>1131</v>
      </c>
      <c r="F8" s="309">
        <f ca="1">INDIRECT("'数据-取费表'!ai"&amp;$G$1)</f>
        <v>365</v>
      </c>
      <c r="G8" s="1518"/>
      <c r="H8" s="310"/>
      <c r="I8" s="3478"/>
      <c r="J8" s="312"/>
      <c r="K8" s="313"/>
      <c r="L8" s="308" t="s">
        <v>1131</v>
      </c>
      <c r="M8" s="309">
        <f ca="1">INDIRECT("'数据-取费表'!ai"&amp;$G$1)</f>
        <v>365</v>
      </c>
    </row>
    <row r="9" spans="1:37" ht="18" customHeight="1">
      <c r="A9" s="310"/>
      <c r="B9" s="3479"/>
      <c r="C9" s="312"/>
      <c r="D9" s="313"/>
      <c r="E9" s="308" t="s">
        <v>1132</v>
      </c>
      <c r="F9" s="318">
        <f ca="1">INDIRECT("'数据-取费表'!w"&amp;$G$1)</f>
        <v>0.1</v>
      </c>
      <c r="G9" s="1518"/>
      <c r="H9" s="310"/>
      <c r="I9" s="3479"/>
      <c r="J9" s="312"/>
      <c r="K9" s="313"/>
      <c r="L9" s="319" t="s">
        <v>1132</v>
      </c>
      <c r="M9" s="320">
        <f ca="1">INDIRECT("'数据-取费表'!ab"&amp;$G$1)</f>
        <v>0</v>
      </c>
    </row>
    <row r="10" spans="1:37" ht="18" customHeight="1">
      <c r="A10" s="1182" t="s">
        <v>826</v>
      </c>
      <c r="B10" s="1499" t="s">
        <v>1133</v>
      </c>
      <c r="C10" s="322">
        <f ca="1">ROUND(IF(F10="押一",C6/12*F11,IF(F10="押二",C6/12*2*F11,IF(F10="押三",C6/12*3*F11,C11*F11))),0)</f>
        <v>1</v>
      </c>
      <c r="D10" s="1500" t="s">
        <v>2613</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13979</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10773</v>
      </c>
      <c r="D14" s="3233" t="s">
        <v>1142</v>
      </c>
      <c r="E14" s="3231"/>
      <c r="F14" s="325"/>
      <c r="G14" s="1518"/>
      <c r="H14" s="1094" t="s">
        <v>822</v>
      </c>
      <c r="I14" s="308" t="s">
        <v>1143</v>
      </c>
      <c r="J14" s="24">
        <f ca="1">C29</f>
        <v>14411</v>
      </c>
      <c r="K14" s="3236"/>
      <c r="L14" s="897"/>
      <c r="M14" s="898"/>
    </row>
    <row r="15" spans="1:37" s="1531" customFormat="1" ht="18" customHeight="1" thickBot="1">
      <c r="A15" s="1094" t="s">
        <v>823</v>
      </c>
      <c r="B15" s="308" t="s">
        <v>1144</v>
      </c>
      <c r="C15" s="24">
        <f ca="1">ROUND(C14*F15,0)</f>
        <v>323</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195</v>
      </c>
      <c r="K16" s="1200" t="s">
        <v>1149</v>
      </c>
      <c r="L16" s="3234"/>
      <c r="M16" s="1185"/>
    </row>
    <row r="17" spans="1:37" s="1531" customFormat="1" ht="18" customHeight="1">
      <c r="A17" s="1094" t="s">
        <v>1114</v>
      </c>
      <c r="B17" s="308" t="s">
        <v>1150</v>
      </c>
      <c r="C17" s="24">
        <f ca="1">ROUND(F17*(F43+INDIRECT("'数据-取费表'!S"&amp;$G$1))/10000,0)</f>
        <v>308</v>
      </c>
      <c r="D17" s="308" t="s">
        <v>1151</v>
      </c>
      <c r="E17" s="308" t="s">
        <v>1152</v>
      </c>
      <c r="F17" s="26">
        <f>'数据-取费表'!B35</f>
        <v>100</v>
      </c>
      <c r="G17" s="1530"/>
      <c r="H17" s="1094" t="s">
        <v>822</v>
      </c>
      <c r="I17" s="308" t="s">
        <v>1153</v>
      </c>
      <c r="J17" s="2483">
        <f ca="1">ROUND(IF(AND(项目基本情况!B11="自然人",项目基本情况!B10="北京市"),J6*M17/(1+'数据-取费表'!C42),J18+J19+J20),0)</f>
        <v>123</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162</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11566</v>
      </c>
      <c r="D19" s="136" t="s">
        <v>1160</v>
      </c>
      <c r="E19" s="3239"/>
      <c r="F19" s="26"/>
      <c r="G19" s="1518"/>
      <c r="H19" s="1094" t="s">
        <v>823</v>
      </c>
      <c r="I19" s="308" t="s">
        <v>1161</v>
      </c>
      <c r="J19" s="24">
        <f ca="1">IF(K19="按租金收入计税",ROUND(J6*M19/(1+'数据-取费表'!C42),2),ROUND(C29*M19*0.7,2))</f>
        <v>121.05</v>
      </c>
      <c r="K19" s="1504" t="s">
        <v>1162</v>
      </c>
      <c r="L19" s="308" t="s">
        <v>1146</v>
      </c>
      <c r="M19" s="328">
        <f>IF(K19="按租金收入计税",'数据-取费表'!B51,'数据-取费表'!B50)</f>
        <v>1.2E-2</v>
      </c>
    </row>
    <row r="20" spans="1:37" s="1531" customFormat="1" ht="18" customHeight="1">
      <c r="A20" s="1094" t="s">
        <v>826</v>
      </c>
      <c r="B20" s="308" t="s">
        <v>1163</v>
      </c>
      <c r="C20" s="24">
        <f ca="1">ROUND(C19*F20,0)</f>
        <v>231</v>
      </c>
      <c r="D20" s="329" t="s">
        <v>1164</v>
      </c>
      <c r="E20" s="308" t="s">
        <v>1146</v>
      </c>
      <c r="F20" s="328">
        <f>'数据-取费表'!B37</f>
        <v>0.02</v>
      </c>
      <c r="G20" s="1530"/>
      <c r="H20" s="1094" t="s">
        <v>1113</v>
      </c>
      <c r="I20" s="160" t="s">
        <v>1165</v>
      </c>
      <c r="J20" s="25">
        <f ca="1">ROUND(M20*M21/10000,2)</f>
        <v>2.2400000000000002</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f ca="1">INDIRECT("'数据-取费表'!r"&amp;$G$1)</f>
        <v>14904.94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72.099999999999994</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751</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2"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-195</v>
      </c>
      <c r="K25" s="1208" t="s">
        <v>1188</v>
      </c>
      <c r="L25" s="1209"/>
      <c r="M25" s="1210"/>
    </row>
    <row r="26" spans="1:37">
      <c r="A26" s="1094" t="s">
        <v>821</v>
      </c>
      <c r="B26" s="308" t="s">
        <v>1189</v>
      </c>
      <c r="C26" s="24">
        <f ca="1">ROUND((C19+C20)*F26,0)</f>
        <v>944</v>
      </c>
      <c r="D26" s="329" t="s">
        <v>1190</v>
      </c>
      <c r="E26" s="319" t="s">
        <v>1191</v>
      </c>
      <c r="F26" s="318">
        <f ca="1">INDIRECT("'数据-取费表'!q"&amp;$G$1)</f>
        <v>0.08</v>
      </c>
      <c r="G26" s="1518"/>
      <c r="H26" s="305" t="s">
        <v>819</v>
      </c>
      <c r="I26" s="306" t="s">
        <v>1192</v>
      </c>
      <c r="J26" s="307">
        <f ca="1">IF(J5&lt;&gt;0,ROUND(J25*(1-((1+M28)/(1+M26))^M27)/(M26-M28),0),0)</f>
        <v>0</v>
      </c>
      <c r="K26" s="330" t="s">
        <v>1193</v>
      </c>
      <c r="L26" s="308" t="s">
        <v>1194</v>
      </c>
      <c r="M26" s="318">
        <f ca="1">INDIRECT("'数据-取费表'!I"&amp;$G$1)</f>
        <v>4.9999999999999996E-2</v>
      </c>
    </row>
    <row r="27" spans="1:37" ht="18" customHeight="1">
      <c r="A27" s="1094" t="s">
        <v>823</v>
      </c>
      <c r="B27" s="308" t="s">
        <v>1195</v>
      </c>
      <c r="C27" s="24">
        <f ca="1">ROUND(F21*F26,4)</f>
        <v>8.0000000000000004E-4</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14411</v>
      </c>
      <c r="D29" s="1205"/>
      <c r="E29" s="1203"/>
      <c r="F29" s="1206"/>
      <c r="G29" s="1530"/>
      <c r="H29" s="340" t="s">
        <v>820</v>
      </c>
      <c r="I29" s="341" t="s">
        <v>1203</v>
      </c>
      <c r="J29" s="342">
        <f ca="1">ROUND(J26/(1+F40)^F41,0)</f>
        <v>0</v>
      </c>
      <c r="K29" s="343" t="s">
        <v>1204</v>
      </c>
      <c r="L29" s="344"/>
      <c r="M29" s="345">
        <f ca="1">INDIRECT("'数据-取费表'!k"&amp;$G$1)</f>
        <v>29778.85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231</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133</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41.01</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89.49</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2.2400000000000002</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14904.94</v>
      </c>
      <c r="G35" s="1518"/>
      <c r="H35" s="2874"/>
      <c r="I35" s="1532"/>
      <c r="J35" s="1533"/>
      <c r="K35" s="2878"/>
      <c r="L35" s="2877"/>
      <c r="M35" s="2877"/>
    </row>
    <row r="36" spans="1:18" ht="18" customHeight="1">
      <c r="A36" s="1215" t="s">
        <v>826</v>
      </c>
      <c r="B36" s="308" t="s">
        <v>1173</v>
      </c>
      <c r="C36" s="24">
        <f ca="1">ROUND(C29*F36,1)</f>
        <v>72.099999999999994</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14</v>
      </c>
      <c r="D37" s="3232"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11.8</v>
      </c>
      <c r="D38" s="1205" t="s">
        <v>1183</v>
      </c>
      <c r="E38" s="1203" t="s">
        <v>1146</v>
      </c>
      <c r="F38" s="1199">
        <f ca="1">INDIRECT("'数据-取费表'!Am"&amp;$G$1)</f>
        <v>1.4999999999999999E-2</v>
      </c>
      <c r="G38" s="1518"/>
      <c r="H38" s="2877"/>
      <c r="I38" s="1532"/>
      <c r="J38" s="1533"/>
      <c r="K38" s="2881"/>
      <c r="L38" s="2877"/>
      <c r="M38" s="2877"/>
    </row>
    <row r="39" spans="1:18" ht="24.6" customHeight="1" thickTop="1">
      <c r="A39" s="1192" t="s">
        <v>818</v>
      </c>
      <c r="B39" s="1207" t="s">
        <v>1187</v>
      </c>
      <c r="C39" s="316">
        <f ca="1">C5-C30</f>
        <v>553</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12901</v>
      </c>
      <c r="D40" s="330" t="s">
        <v>1193</v>
      </c>
      <c r="E40" s="308" t="s">
        <v>1194</v>
      </c>
      <c r="F40" s="318">
        <f ca="1">INDIRECT("'数据-取费表'!I"&amp;$G$1)</f>
        <v>4.9999999999999996E-2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0.02</v>
      </c>
      <c r="G42" s="1518"/>
      <c r="H42" s="1305"/>
      <c r="I42" s="1532"/>
      <c r="J42" s="1533"/>
      <c r="K42" s="2718"/>
      <c r="L42" s="1305"/>
      <c r="M42" s="1305"/>
    </row>
    <row r="43" spans="1:18" ht="18" customHeight="1" thickBot="1">
      <c r="A43" s="340" t="s">
        <v>820</v>
      </c>
      <c r="B43" s="341" t="s">
        <v>1211</v>
      </c>
      <c r="C43" s="342">
        <f ca="1">ROUND(C40*10000/F43,0)</f>
        <v>4332</v>
      </c>
      <c r="D43" s="343" t="s">
        <v>1212</v>
      </c>
      <c r="E43" s="344" t="s">
        <v>1213</v>
      </c>
      <c r="F43" s="345">
        <f ca="1">INDIRECT("'数据-取费表'!k"&amp;$G$1)</f>
        <v>29778.85</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8" thickBot="1">
      <c r="A46" s="1538" t="s">
        <v>1244</v>
      </c>
      <c r="C46" s="1539">
        <f ca="1">C68-C40</f>
        <v>-35454</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8"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12901</v>
      </c>
      <c r="R47" s="1554" t="s">
        <v>1253</v>
      </c>
    </row>
    <row r="48" spans="1:18" s="1518" customFormat="1" ht="40.200000000000003"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8"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14411</v>
      </c>
      <c r="R49" s="1554" t="s">
        <v>1253</v>
      </c>
    </row>
    <row r="50" spans="1:18" s="1518" customFormat="1" ht="13.8" thickBot="1">
      <c r="A50" s="1088"/>
      <c r="B50" s="1091"/>
      <c r="C50" s="1231"/>
      <c r="D50" s="1065"/>
      <c r="E50" s="1168" t="s">
        <v>1130</v>
      </c>
      <c r="F50" s="1169">
        <f ca="1">F7</f>
        <v>29778.85</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8"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-11585</v>
      </c>
      <c r="M51" s="1570"/>
      <c r="O51" s="1562" t="s">
        <v>831</v>
      </c>
      <c r="P51" s="1553" t="s">
        <v>1266</v>
      </c>
      <c r="Q51" s="1565">
        <f>J52</f>
        <v>8.5000000000000006E-2</v>
      </c>
      <c r="R51" s="1554"/>
    </row>
    <row r="52" spans="1:18" s="1518" customFormat="1" ht="13.8"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36.6"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80" t="s">
        <v>1272</v>
      </c>
      <c r="L53" s="3481"/>
      <c r="O53" s="1552" t="s">
        <v>833</v>
      </c>
      <c r="P53" s="1553" t="s">
        <v>1273</v>
      </c>
      <c r="Q53" s="1554">
        <f ca="1">Q47+Q48</f>
        <v>12901</v>
      </c>
      <c r="R53" s="1554" t="s">
        <v>834</v>
      </c>
    </row>
    <row r="54" spans="1:18" s="1518" customFormat="1" ht="24.6"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8"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37.200000000000003" thickTop="1" thickBot="1">
      <c r="A56" s="1069">
        <v>2</v>
      </c>
      <c r="B56" s="1070" t="s">
        <v>1138</v>
      </c>
      <c r="C56" s="238">
        <f ca="1">C13</f>
        <v>13979</v>
      </c>
      <c r="D56" s="1581"/>
      <c r="E56" s="1582"/>
      <c r="F56" s="1574"/>
      <c r="I56" s="1583" t="s">
        <v>1278</v>
      </c>
      <c r="J56" s="1584" t="s">
        <v>3243</v>
      </c>
      <c r="K56" s="1555" t="s">
        <v>1279</v>
      </c>
      <c r="L56" s="1558" t="str">
        <f ca="1">IF(L48&lt;J51,"——",L48-J53)</f>
        <v>——</v>
      </c>
      <c r="O56" s="1552" t="s">
        <v>827</v>
      </c>
      <c r="P56" s="1553" t="s">
        <v>1252</v>
      </c>
      <c r="Q56" s="1554">
        <f ca="1">C40+J29</f>
        <v>12901</v>
      </c>
      <c r="R56" s="1554" t="s">
        <v>1253</v>
      </c>
    </row>
    <row r="57" spans="1:18" s="1518" customFormat="1" ht="24.6" thickBot="1">
      <c r="A57" s="1585"/>
      <c r="B57" s="1062" t="s">
        <v>1202</v>
      </c>
      <c r="C57" s="244">
        <f ca="1">C29</f>
        <v>14411</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6" thickBot="1">
      <c r="A58" s="321" t="s">
        <v>817</v>
      </c>
      <c r="B58" s="1070" t="s">
        <v>1148</v>
      </c>
      <c r="C58" s="322">
        <f ca="1">ROUND(C59+C64+C65+C66,0)</f>
        <v>1299</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6" thickBot="1">
      <c r="A59" s="1094" t="s">
        <v>822</v>
      </c>
      <c r="B59" s="1062" t="s">
        <v>1153</v>
      </c>
      <c r="C59" s="2483">
        <f ca="1">ROUND(IF(AND(项目基本情况!B11="自然人",项目基本情况!B10="北京市"),C49*F59/(1+'数据-取费表'!C42),C60+C61+C62),0)</f>
        <v>1213</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8" thickBot="1">
      <c r="A61" s="1094" t="s">
        <v>1216</v>
      </c>
      <c r="B61" s="1062" t="s">
        <v>1161</v>
      </c>
      <c r="C61" s="24">
        <f ca="1">IF(项目基本情况!B11="自然人","——",IF(D61="按租金收入计税",ROUND(C49*F61/(1+'数据-取费表'!C42),2),IF(D61="按房产原值计税",ROUND(C57*F61*0.7,2),INDIRECT("'数据-取费表'!Aj"&amp;$G$1))))</f>
        <v>1210.52</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8" thickBot="1">
      <c r="A62" s="1094" t="s">
        <v>1219</v>
      </c>
      <c r="B62" s="1061" t="s">
        <v>1165</v>
      </c>
      <c r="C62" s="25">
        <f ca="1">IF(项目基本情况!B11="自然人","——",ROUND(F62*F63/10000,2))</f>
        <v>2.2400000000000002</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12901</v>
      </c>
      <c r="R62" s="1554" t="s">
        <v>834</v>
      </c>
    </row>
    <row r="63" spans="1:18" s="1518" customFormat="1" ht="13.8" thickBot="1">
      <c r="A63" s="332"/>
      <c r="B63" s="1068"/>
      <c r="C63" s="29"/>
      <c r="D63" s="1078"/>
      <c r="E63" s="1062" t="s">
        <v>1171</v>
      </c>
      <c r="F63" s="309">
        <f t="shared" ca="1" si="0"/>
        <v>14904.94</v>
      </c>
      <c r="I63" s="1596" t="s">
        <v>1300</v>
      </c>
      <c r="J63" s="1597">
        <v>70</v>
      </c>
      <c r="K63" s="1597">
        <v>50</v>
      </c>
      <c r="L63" s="1597">
        <v>80</v>
      </c>
      <c r="M63" s="1599">
        <v>0.02</v>
      </c>
      <c r="O63" s="1537" t="s">
        <v>1301</v>
      </c>
      <c r="P63" s="1515"/>
      <c r="Q63" s="1515"/>
      <c r="R63" s="1515"/>
    </row>
    <row r="64" spans="1:18" s="1518" customFormat="1" ht="13.8" thickBot="1">
      <c r="A64" s="1094" t="s">
        <v>826</v>
      </c>
      <c r="B64" s="1062" t="s">
        <v>1173</v>
      </c>
      <c r="C64" s="24">
        <f ca="1">ROUND(C57*F64,1)</f>
        <v>72.099999999999994</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8" thickBot="1">
      <c r="A65" s="1094" t="s">
        <v>1227</v>
      </c>
      <c r="B65" s="1062" t="s">
        <v>1177</v>
      </c>
      <c r="C65" s="24">
        <f ca="1">ROUND(C56*F65,1)</f>
        <v>14</v>
      </c>
      <c r="D65" s="1076" t="s">
        <v>1178</v>
      </c>
      <c r="E65" s="1062" t="s">
        <v>1146</v>
      </c>
      <c r="F65" s="336">
        <f t="shared" ca="1" si="0"/>
        <v>1E-3</v>
      </c>
      <c r="I65" s="1596" t="s">
        <v>1303</v>
      </c>
      <c r="J65" s="1597">
        <v>40</v>
      </c>
      <c r="K65" s="1597">
        <v>30</v>
      </c>
      <c r="L65" s="1597">
        <v>50</v>
      </c>
      <c r="M65" s="1599">
        <v>0.02</v>
      </c>
      <c r="O65" s="1552" t="s">
        <v>827</v>
      </c>
      <c r="P65" s="1553" t="s">
        <v>1252</v>
      </c>
      <c r="Q65" s="1554">
        <f ca="1">C40+J29</f>
        <v>12901</v>
      </c>
      <c r="R65" s="1554" t="s">
        <v>1253</v>
      </c>
    </row>
    <row r="66" spans="1:18" s="1518" customFormat="1" ht="16.2" thickBot="1">
      <c r="A66" s="1094" t="s">
        <v>1228</v>
      </c>
      <c r="B66" s="1062" t="s">
        <v>1163</v>
      </c>
      <c r="C66" s="24">
        <f ca="1">ROUND(C48*F66,1)</f>
        <v>0</v>
      </c>
      <c r="D66" s="1076" t="s">
        <v>1183</v>
      </c>
      <c r="E66" s="1062" t="s">
        <v>1146</v>
      </c>
      <c r="F66" s="318">
        <f t="shared" ca="1" si="0"/>
        <v>1.4999999999999999E-2</v>
      </c>
      <c r="O66" s="1552" t="s">
        <v>828</v>
      </c>
      <c r="P66" s="1553" t="s">
        <v>1282</v>
      </c>
      <c r="Q66" s="1554">
        <f ca="1">L60</f>
        <v>0</v>
      </c>
      <c r="R66" s="1554" t="s">
        <v>1305</v>
      </c>
    </row>
    <row r="67" spans="1:18" s="1518" customFormat="1" ht="24.6" thickBot="1">
      <c r="A67" s="1069" t="s">
        <v>818</v>
      </c>
      <c r="B67" s="1079" t="s">
        <v>1187</v>
      </c>
      <c r="C67" s="322">
        <f ca="1">C48-C58</f>
        <v>-1299</v>
      </c>
      <c r="D67" s="1075" t="s">
        <v>1188</v>
      </c>
      <c r="E67" s="1080"/>
      <c r="F67" s="1081"/>
      <c r="O67" s="1562" t="s">
        <v>829</v>
      </c>
      <c r="P67" s="1553" t="s">
        <v>1286</v>
      </c>
      <c r="Q67" s="1600">
        <f ca="1">L51</f>
        <v>-11585</v>
      </c>
      <c r="R67" s="1554" t="s">
        <v>1306</v>
      </c>
    </row>
    <row r="68" spans="1:18" s="1518" customFormat="1" ht="16.2" thickBot="1">
      <c r="A68" s="1059" t="s">
        <v>819</v>
      </c>
      <c r="B68" s="1060" t="s">
        <v>1209</v>
      </c>
      <c r="C68" s="307">
        <f ca="1">ROUND(C67*(1-((1+F70)/(1+F68))^F69)/(F68-F70),0)</f>
        <v>-22553</v>
      </c>
      <c r="D68" s="1077" t="s">
        <v>1193</v>
      </c>
      <c r="E68" s="1062" t="s">
        <v>1194</v>
      </c>
      <c r="F68" s="318">
        <f ca="1">F40</f>
        <v>4.9999999999999996E-2</v>
      </c>
      <c r="O68" s="1562" t="s">
        <v>830</v>
      </c>
      <c r="P68" s="1601" t="s">
        <v>1307</v>
      </c>
      <c r="Q68" s="1554">
        <f ca="1">ROUND(Q69-Q70*Q71,0)</f>
        <v>-565</v>
      </c>
      <c r="R68" s="1554" t="s">
        <v>838</v>
      </c>
    </row>
    <row r="69" spans="1:18" s="1518" customFormat="1" ht="13.8" thickBot="1">
      <c r="A69" s="1063"/>
      <c r="B69" s="1064"/>
      <c r="C69" s="312"/>
      <c r="D69" s="1082" t="s">
        <v>1197</v>
      </c>
      <c r="E69" s="1062" t="s">
        <v>1198</v>
      </c>
      <c r="F69" s="339">
        <f ca="1">F41</f>
        <v>41.52</v>
      </c>
      <c r="O69" s="1562" t="s">
        <v>835</v>
      </c>
      <c r="P69" s="1601" t="s">
        <v>1308</v>
      </c>
      <c r="Q69" s="1554">
        <f ca="1">C39</f>
        <v>553</v>
      </c>
      <c r="R69" s="1554" t="s">
        <v>1253</v>
      </c>
    </row>
    <row r="70" spans="1:18" s="1518" customFormat="1" ht="13.8" thickBot="1">
      <c r="A70" s="1066"/>
      <c r="B70" s="1067"/>
      <c r="C70" s="316"/>
      <c r="D70" s="1078"/>
      <c r="E70" s="1062" t="s">
        <v>1201</v>
      </c>
      <c r="F70" s="1166"/>
      <c r="O70" s="1562" t="s">
        <v>836</v>
      </c>
      <c r="P70" s="1601" t="s">
        <v>1309</v>
      </c>
      <c r="Q70" s="1554">
        <f ca="1">C13</f>
        <v>13979</v>
      </c>
      <c r="R70" s="1554" t="s">
        <v>1253</v>
      </c>
    </row>
    <row r="71" spans="1:18" s="1518" customFormat="1" ht="13.8" thickBot="1">
      <c r="A71" s="1083" t="s">
        <v>820</v>
      </c>
      <c r="B71" s="1084" t="s">
        <v>1211</v>
      </c>
      <c r="C71" s="342">
        <f ca="1">ROUND(C68*10000/F71,0)</f>
        <v>-7573</v>
      </c>
      <c r="D71" s="1085" t="s">
        <v>1212</v>
      </c>
      <c r="E71" s="1086" t="s">
        <v>1213</v>
      </c>
      <c r="F71" s="345">
        <f ca="1">F43</f>
        <v>29778.85</v>
      </c>
      <c r="O71" s="1562" t="s">
        <v>837</v>
      </c>
      <c r="P71" s="1601" t="s">
        <v>1310</v>
      </c>
      <c r="Q71" s="1565">
        <f ca="1">C76</f>
        <v>0.08</v>
      </c>
      <c r="R71" s="1554"/>
    </row>
    <row r="72" spans="1:18" s="1518" customFormat="1" ht="13.8" thickBot="1">
      <c r="B72" s="735"/>
      <c r="C72" s="735"/>
      <c r="O72" s="1562" t="s">
        <v>831</v>
      </c>
      <c r="P72" s="1553" t="s">
        <v>1288</v>
      </c>
      <c r="Q72" s="1565">
        <f>L52</f>
        <v>0</v>
      </c>
      <c r="R72" s="1554"/>
    </row>
    <row r="73" spans="1:18" ht="16.2" thickBot="1">
      <c r="A73" s="1518"/>
      <c r="B73" s="735"/>
      <c r="C73" s="735"/>
      <c r="D73" s="1518"/>
      <c r="E73" s="1518"/>
      <c r="F73" s="1518"/>
      <c r="O73" s="1562" t="s">
        <v>832</v>
      </c>
      <c r="P73" s="1553" t="s">
        <v>1291</v>
      </c>
      <c r="Q73" s="1554" t="e">
        <f ca="1">L58</f>
        <v>#DIV/0!</v>
      </c>
      <c r="R73" s="1554" t="s">
        <v>1292</v>
      </c>
    </row>
    <row r="74" spans="1:18" ht="13.8"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8" thickBot="1">
      <c r="A75" s="1518"/>
      <c r="B75" s="346" t="s">
        <v>1230</v>
      </c>
      <c r="C75" s="347">
        <f ca="1">ROUND(C13*C76,0)</f>
        <v>1118</v>
      </c>
      <c r="D75" s="1518"/>
      <c r="E75" s="1518"/>
      <c r="F75" s="1518"/>
      <c r="K75" s="1536"/>
      <c r="L75" s="1518"/>
      <c r="O75" s="1552" t="s">
        <v>833</v>
      </c>
      <c r="P75" s="1553" t="s">
        <v>1273</v>
      </c>
      <c r="Q75" s="1554">
        <f ca="1">Q65+Q66</f>
        <v>12901</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-1.0219999999999998</v>
      </c>
    </row>
    <row r="80" spans="1:18">
      <c r="B80" s="346" t="s">
        <v>1235</v>
      </c>
      <c r="C80" s="280">
        <f ca="1">ROUND(C75/C39,3)</f>
        <v>2.0219999999999998</v>
      </c>
    </row>
    <row r="81" spans="2:3">
      <c r="B81" s="276" t="s">
        <v>1236</v>
      </c>
      <c r="C81" s="244"/>
    </row>
    <row r="82" spans="2:3">
      <c r="B82" s="279" t="s">
        <v>1237</v>
      </c>
      <c r="C82" s="281">
        <f ca="1">1-C83</f>
        <v>-8.4000000000000075E-2</v>
      </c>
    </row>
    <row r="83" spans="2:3">
      <c r="B83" s="279" t="s">
        <v>1238</v>
      </c>
      <c r="C83" s="280">
        <f ca="1">ROUND(C13/C40,3)</f>
        <v>1.0840000000000001</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2" customWidth="1"/>
    <col min="12" max="12" width="16.33203125" style="264" customWidth="1"/>
    <col min="13" max="13" width="13" style="264" customWidth="1"/>
    <col min="14" max="14" width="13.77734375" style="1518" customWidth="1"/>
    <col min="15" max="15" width="5.109375" style="1518" customWidth="1"/>
    <col min="16" max="16" width="25.77734375" style="1518" customWidth="1"/>
    <col min="17" max="17" width="13.77734375" style="1518" customWidth="1"/>
    <col min="18" max="18" width="20.44140625" style="1518" customWidth="1"/>
    <col min="19" max="19" width="13.21875" style="1518" customWidth="1"/>
    <col min="20" max="37" width="9" style="1518"/>
    <col min="38" max="16384" width="9" style="264"/>
  </cols>
  <sheetData>
    <row r="1" spans="1:37" s="299" customFormat="1" ht="21.6">
      <c r="A1" s="1509" t="s">
        <v>1313</v>
      </c>
      <c r="B1" s="722"/>
      <c r="C1" s="1513"/>
      <c r="D1" s="1496"/>
      <c r="E1" s="1497" t="s">
        <v>1111</v>
      </c>
      <c r="F1" s="1174">
        <f ca="1">J53</f>
        <v>0</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77" t="s">
        <v>1127</v>
      </c>
      <c r="C6" s="1187">
        <f ca="1">ROUND(F6*F8*F7*(1-F9),0)</f>
        <v>0</v>
      </c>
      <c r="D6" s="160" t="s">
        <v>2603</v>
      </c>
      <c r="E6" s="308" t="s">
        <v>1129</v>
      </c>
      <c r="F6" s="309">
        <f ca="1">INDIRECT("'数据-取费表'!u"&amp;$G$1)</f>
        <v>0</v>
      </c>
      <c r="G6" s="1518"/>
      <c r="H6" s="1182" t="s">
        <v>822</v>
      </c>
      <c r="I6" s="3477" t="s">
        <v>1127</v>
      </c>
      <c r="J6" s="307">
        <f ca="1">ROUND(M6*M8*M7*(1-M9),0)</f>
        <v>0</v>
      </c>
      <c r="K6" s="1510" t="s">
        <v>2604</v>
      </c>
      <c r="L6" s="308" t="s">
        <v>1129</v>
      </c>
      <c r="M6" s="309">
        <f ca="1">INDIRECT("'数据-取费表'!z"&amp;$G$1)</f>
        <v>0</v>
      </c>
    </row>
    <row r="7" spans="1:37" ht="18" customHeight="1">
      <c r="A7" s="1186"/>
      <c r="B7" s="3478"/>
      <c r="C7" s="1188"/>
      <c r="D7" s="313"/>
      <c r="E7" s="1189" t="s">
        <v>1130</v>
      </c>
      <c r="F7" s="309">
        <f ca="1">IF(INDIRECT("'数据-取费表'!ah"&amp;$G$1)="",INDIRECT("'数据-取费表'!k"&amp;$G$1),INDIRECT("'数据-取费表'!ah"&amp;$G$1))</f>
        <v>0</v>
      </c>
      <c r="G7" s="1518"/>
      <c r="H7" s="310"/>
      <c r="I7" s="3478"/>
      <c r="J7" s="312"/>
      <c r="K7" s="313"/>
      <c r="L7" s="308" t="s">
        <v>1130</v>
      </c>
      <c r="M7" s="309">
        <f ca="1">F7</f>
        <v>0</v>
      </c>
    </row>
    <row r="8" spans="1:37" ht="18" customHeight="1">
      <c r="A8" s="310"/>
      <c r="B8" s="3478"/>
      <c r="C8" s="312"/>
      <c r="D8" s="313"/>
      <c r="E8" s="308" t="s">
        <v>1131</v>
      </c>
      <c r="F8" s="309">
        <f ca="1">INDIRECT("'数据-取费表'!ai"&amp;$G$1)</f>
        <v>0</v>
      </c>
      <c r="G8" s="1518"/>
      <c r="H8" s="310"/>
      <c r="I8" s="3478"/>
      <c r="J8" s="312"/>
      <c r="K8" s="313"/>
      <c r="L8" s="308" t="s">
        <v>1131</v>
      </c>
      <c r="M8" s="309">
        <f ca="1">INDIRECT("'数据-取费表'!ai"&amp;$G$1)</f>
        <v>0</v>
      </c>
    </row>
    <row r="9" spans="1:37" ht="18" customHeight="1">
      <c r="A9" s="310"/>
      <c r="B9" s="3479"/>
      <c r="C9" s="312"/>
      <c r="D9" s="313"/>
      <c r="E9" s="308" t="s">
        <v>1132</v>
      </c>
      <c r="F9" s="318">
        <f ca="1">INDIRECT("'数据-取费表'!w"&amp;$G$1)</f>
        <v>0</v>
      </c>
      <c r="G9" s="1518"/>
      <c r="H9" s="310"/>
      <c r="I9" s="3479"/>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100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0.01</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8"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8"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40.200000000000003"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8"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8"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8"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8"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0</v>
      </c>
      <c r="K53" s="3480" t="s">
        <v>1272</v>
      </c>
      <c r="L53" s="3481"/>
      <c r="O53" s="1552" t="s">
        <v>833</v>
      </c>
      <c r="P53" s="1553" t="s">
        <v>1273</v>
      </c>
      <c r="Q53" s="1554" t="e">
        <f ca="1">Q47+Q48</f>
        <v>#DIV/0!</v>
      </c>
      <c r="R53" s="1554" t="s">
        <v>834</v>
      </c>
    </row>
    <row r="54" spans="1:18" s="1518" customFormat="1" ht="13.8"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8"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6"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6"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6"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2"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8"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8"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8"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8"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8"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2"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24.6"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2"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8" thickBot="1">
      <c r="A69" s="1063"/>
      <c r="B69" s="1064"/>
      <c r="C69" s="312"/>
      <c r="D69" s="1082" t="s">
        <v>1197</v>
      </c>
      <c r="E69" s="1062" t="s">
        <v>1198</v>
      </c>
      <c r="F69" s="339">
        <f ca="1">F41</f>
        <v>0</v>
      </c>
      <c r="O69" s="1562" t="s">
        <v>835</v>
      </c>
      <c r="P69" s="1601" t="s">
        <v>1308</v>
      </c>
      <c r="Q69" s="1554">
        <f ca="1">C39</f>
        <v>0</v>
      </c>
      <c r="R69" s="1554" t="s">
        <v>1253</v>
      </c>
    </row>
    <row r="70" spans="1:18" s="1518" customFormat="1" ht="13.8" thickBot="1">
      <c r="A70" s="1066"/>
      <c r="B70" s="1067"/>
      <c r="C70" s="316"/>
      <c r="D70" s="1078"/>
      <c r="E70" s="1062" t="s">
        <v>1201</v>
      </c>
      <c r="F70" s="1166">
        <f ca="1">F42</f>
        <v>0</v>
      </c>
      <c r="O70" s="1562" t="s">
        <v>836</v>
      </c>
      <c r="P70" s="1601" t="s">
        <v>1309</v>
      </c>
      <c r="Q70" s="1554">
        <f ca="1">C13</f>
        <v>0</v>
      </c>
      <c r="R70" s="1554" t="s">
        <v>1253</v>
      </c>
    </row>
    <row r="71" spans="1:18" s="1518" customFormat="1" ht="13.8"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8" thickBot="1">
      <c r="B72" s="735"/>
      <c r="C72" s="735"/>
      <c r="O72" s="1562" t="s">
        <v>831</v>
      </c>
      <c r="P72" s="1553" t="s">
        <v>1288</v>
      </c>
      <c r="Q72" s="1565">
        <f>L52</f>
        <v>0</v>
      </c>
      <c r="R72" s="1554"/>
    </row>
    <row r="73" spans="1:18" ht="16.2" thickBot="1">
      <c r="A73" s="1518"/>
      <c r="B73" s="735"/>
      <c r="C73" s="735"/>
      <c r="D73" s="1518"/>
      <c r="E73" s="1518"/>
      <c r="F73" s="1518"/>
      <c r="O73" s="1562" t="s">
        <v>832</v>
      </c>
      <c r="P73" s="1553" t="s">
        <v>1291</v>
      </c>
      <c r="Q73" s="1554" t="e">
        <f ca="1">L58</f>
        <v>#DIV/0!</v>
      </c>
      <c r="R73" s="1554" t="s">
        <v>1292</v>
      </c>
    </row>
    <row r="74" spans="1:18" ht="13.8"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8"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21" customWidth="1"/>
    <col min="2" max="2" width="8.88671875" style="3021"/>
    <col min="3" max="5" width="12.88671875" style="3021" customWidth="1"/>
    <col min="6" max="6" width="47.44140625" style="3021" customWidth="1"/>
    <col min="7" max="7" width="13" style="3180" customWidth="1"/>
    <col min="8" max="8" width="8.88671875" style="3015"/>
    <col min="9" max="9" width="8.88671875" style="3016"/>
    <col min="10" max="10" width="5.77734375" style="3181" customWidth="1"/>
    <col min="11" max="11" width="11.77734375" style="3181" customWidth="1"/>
    <col min="12" max="13" width="10.77734375" style="3181" customWidth="1"/>
    <col min="14" max="14" width="10" style="3181" customWidth="1"/>
    <col min="15" max="16" width="10.44140625" style="3181" bestFit="1" customWidth="1"/>
    <col min="17" max="17" width="10" style="3181" customWidth="1"/>
    <col min="18" max="18" width="10.109375" style="3181" customWidth="1"/>
    <col min="19" max="19" width="10" style="3181" customWidth="1"/>
    <col min="20" max="20" width="26.109375" style="3181" customWidth="1"/>
    <col min="21" max="21" width="8.88671875" style="3181"/>
    <col min="22" max="22" width="8.88671875" style="3016"/>
    <col min="23" max="256" width="8.88671875" style="3021"/>
    <col min="257" max="257" width="9.44140625" style="3021" customWidth="1"/>
    <col min="258" max="258" width="8.88671875" style="3021"/>
    <col min="259" max="261" width="12.88671875" style="3021" customWidth="1"/>
    <col min="262" max="262" width="47.44140625" style="3021" customWidth="1"/>
    <col min="263" max="263" width="13" style="3021" customWidth="1"/>
    <col min="264" max="265" width="8.88671875" style="3021"/>
    <col min="266" max="266" width="5.77734375" style="3021" customWidth="1"/>
    <col min="267" max="267" width="11.77734375" style="3021" customWidth="1"/>
    <col min="268" max="269" width="10.77734375" style="3021" customWidth="1"/>
    <col min="270" max="270" width="10" style="3021" customWidth="1"/>
    <col min="271" max="272" width="10.44140625" style="3021" bestFit="1" customWidth="1"/>
    <col min="273" max="273" width="10" style="3021" customWidth="1"/>
    <col min="274" max="274" width="10.109375" style="3021" customWidth="1"/>
    <col min="275" max="275" width="10" style="3021" customWidth="1"/>
    <col min="276" max="276" width="26.109375" style="3021" customWidth="1"/>
    <col min="277" max="512" width="8.88671875" style="3021"/>
    <col min="513" max="513" width="9.44140625" style="3021" customWidth="1"/>
    <col min="514" max="514" width="8.88671875" style="3021"/>
    <col min="515" max="517" width="12.88671875" style="3021" customWidth="1"/>
    <col min="518" max="518" width="47.44140625" style="3021" customWidth="1"/>
    <col min="519" max="519" width="13" style="3021" customWidth="1"/>
    <col min="520" max="521" width="8.88671875" style="3021"/>
    <col min="522" max="522" width="5.77734375" style="3021" customWidth="1"/>
    <col min="523" max="523" width="11.77734375" style="3021" customWidth="1"/>
    <col min="524" max="525" width="10.77734375" style="3021" customWidth="1"/>
    <col min="526" max="526" width="10" style="3021" customWidth="1"/>
    <col min="527" max="528" width="10.44140625" style="3021" bestFit="1" customWidth="1"/>
    <col min="529" max="529" width="10" style="3021" customWidth="1"/>
    <col min="530" max="530" width="10.109375" style="3021" customWidth="1"/>
    <col min="531" max="531" width="10" style="3021" customWidth="1"/>
    <col min="532" max="532" width="26.109375" style="3021" customWidth="1"/>
    <col min="533" max="768" width="8.88671875" style="3021"/>
    <col min="769" max="769" width="9.44140625" style="3021" customWidth="1"/>
    <col min="770" max="770" width="8.88671875" style="3021"/>
    <col min="771" max="773" width="12.88671875" style="3021" customWidth="1"/>
    <col min="774" max="774" width="47.44140625" style="3021" customWidth="1"/>
    <col min="775" max="775" width="13" style="3021" customWidth="1"/>
    <col min="776" max="777" width="8.88671875" style="3021"/>
    <col min="778" max="778" width="5.77734375" style="3021" customWidth="1"/>
    <col min="779" max="779" width="11.77734375" style="3021" customWidth="1"/>
    <col min="780" max="781" width="10.77734375" style="3021" customWidth="1"/>
    <col min="782" max="782" width="10" style="3021" customWidth="1"/>
    <col min="783" max="784" width="10.44140625" style="3021" bestFit="1" customWidth="1"/>
    <col min="785" max="785" width="10" style="3021" customWidth="1"/>
    <col min="786" max="786" width="10.109375" style="3021" customWidth="1"/>
    <col min="787" max="787" width="10" style="3021" customWidth="1"/>
    <col min="788" max="788" width="26.109375" style="3021" customWidth="1"/>
    <col min="789" max="1024" width="8.88671875" style="3021"/>
    <col min="1025" max="1025" width="9.44140625" style="3021" customWidth="1"/>
    <col min="1026" max="1026" width="8.88671875" style="3021"/>
    <col min="1027" max="1029" width="12.88671875" style="3021" customWidth="1"/>
    <col min="1030" max="1030" width="47.44140625" style="3021" customWidth="1"/>
    <col min="1031" max="1031" width="13" style="3021" customWidth="1"/>
    <col min="1032" max="1033" width="8.88671875" style="3021"/>
    <col min="1034" max="1034" width="5.77734375" style="3021" customWidth="1"/>
    <col min="1035" max="1035" width="11.77734375" style="3021" customWidth="1"/>
    <col min="1036" max="1037" width="10.77734375" style="3021" customWidth="1"/>
    <col min="1038" max="1038" width="10" style="3021" customWidth="1"/>
    <col min="1039" max="1040" width="10.44140625" style="3021" bestFit="1" customWidth="1"/>
    <col min="1041" max="1041" width="10" style="3021" customWidth="1"/>
    <col min="1042" max="1042" width="10.109375" style="3021" customWidth="1"/>
    <col min="1043" max="1043" width="10" style="3021" customWidth="1"/>
    <col min="1044" max="1044" width="26.109375" style="3021" customWidth="1"/>
    <col min="1045" max="1280" width="8.88671875" style="3021"/>
    <col min="1281" max="1281" width="9.44140625" style="3021" customWidth="1"/>
    <col min="1282" max="1282" width="8.88671875" style="3021"/>
    <col min="1283" max="1285" width="12.88671875" style="3021" customWidth="1"/>
    <col min="1286" max="1286" width="47.44140625" style="3021" customWidth="1"/>
    <col min="1287" max="1287" width="13" style="3021" customWidth="1"/>
    <col min="1288" max="1289" width="8.88671875" style="3021"/>
    <col min="1290" max="1290" width="5.77734375" style="3021" customWidth="1"/>
    <col min="1291" max="1291" width="11.77734375" style="3021" customWidth="1"/>
    <col min="1292" max="1293" width="10.77734375" style="3021" customWidth="1"/>
    <col min="1294" max="1294" width="10" style="3021" customWidth="1"/>
    <col min="1295" max="1296" width="10.44140625" style="3021" bestFit="1" customWidth="1"/>
    <col min="1297" max="1297" width="10" style="3021" customWidth="1"/>
    <col min="1298" max="1298" width="10.109375" style="3021" customWidth="1"/>
    <col min="1299" max="1299" width="10" style="3021" customWidth="1"/>
    <col min="1300" max="1300" width="26.109375" style="3021" customWidth="1"/>
    <col min="1301" max="1536" width="8.88671875" style="3021"/>
    <col min="1537" max="1537" width="9.44140625" style="3021" customWidth="1"/>
    <col min="1538" max="1538" width="8.88671875" style="3021"/>
    <col min="1539" max="1541" width="12.88671875" style="3021" customWidth="1"/>
    <col min="1542" max="1542" width="47.44140625" style="3021" customWidth="1"/>
    <col min="1543" max="1543" width="13" style="3021" customWidth="1"/>
    <col min="1544" max="1545" width="8.88671875" style="3021"/>
    <col min="1546" max="1546" width="5.77734375" style="3021" customWidth="1"/>
    <col min="1547" max="1547" width="11.77734375" style="3021" customWidth="1"/>
    <col min="1548" max="1549" width="10.77734375" style="3021" customWidth="1"/>
    <col min="1550" max="1550" width="10" style="3021" customWidth="1"/>
    <col min="1551" max="1552" width="10.44140625" style="3021" bestFit="1" customWidth="1"/>
    <col min="1553" max="1553" width="10" style="3021" customWidth="1"/>
    <col min="1554" max="1554" width="10.109375" style="3021" customWidth="1"/>
    <col min="1555" max="1555" width="10" style="3021" customWidth="1"/>
    <col min="1556" max="1556" width="26.109375" style="3021" customWidth="1"/>
    <col min="1557" max="1792" width="8.88671875" style="3021"/>
    <col min="1793" max="1793" width="9.44140625" style="3021" customWidth="1"/>
    <col min="1794" max="1794" width="8.88671875" style="3021"/>
    <col min="1795" max="1797" width="12.88671875" style="3021" customWidth="1"/>
    <col min="1798" max="1798" width="47.44140625" style="3021" customWidth="1"/>
    <col min="1799" max="1799" width="13" style="3021" customWidth="1"/>
    <col min="1800" max="1801" width="8.88671875" style="3021"/>
    <col min="1802" max="1802" width="5.77734375" style="3021" customWidth="1"/>
    <col min="1803" max="1803" width="11.77734375" style="3021" customWidth="1"/>
    <col min="1804" max="1805" width="10.77734375" style="3021" customWidth="1"/>
    <col min="1806" max="1806" width="10" style="3021" customWidth="1"/>
    <col min="1807" max="1808" width="10.44140625" style="3021" bestFit="1" customWidth="1"/>
    <col min="1809" max="1809" width="10" style="3021" customWidth="1"/>
    <col min="1810" max="1810" width="10.109375" style="3021" customWidth="1"/>
    <col min="1811" max="1811" width="10" style="3021" customWidth="1"/>
    <col min="1812" max="1812" width="26.109375" style="3021" customWidth="1"/>
    <col min="1813" max="2048" width="8.88671875" style="3021"/>
    <col min="2049" max="2049" width="9.44140625" style="3021" customWidth="1"/>
    <col min="2050" max="2050" width="8.88671875" style="3021"/>
    <col min="2051" max="2053" width="12.88671875" style="3021" customWidth="1"/>
    <col min="2054" max="2054" width="47.44140625" style="3021" customWidth="1"/>
    <col min="2055" max="2055" width="13" style="3021" customWidth="1"/>
    <col min="2056" max="2057" width="8.88671875" style="3021"/>
    <col min="2058" max="2058" width="5.77734375" style="3021" customWidth="1"/>
    <col min="2059" max="2059" width="11.77734375" style="3021" customWidth="1"/>
    <col min="2060" max="2061" width="10.77734375" style="3021" customWidth="1"/>
    <col min="2062" max="2062" width="10" style="3021" customWidth="1"/>
    <col min="2063" max="2064" width="10.44140625" style="3021" bestFit="1" customWidth="1"/>
    <col min="2065" max="2065" width="10" style="3021" customWidth="1"/>
    <col min="2066" max="2066" width="10.109375" style="3021" customWidth="1"/>
    <col min="2067" max="2067" width="10" style="3021" customWidth="1"/>
    <col min="2068" max="2068" width="26.109375" style="3021" customWidth="1"/>
    <col min="2069" max="2304" width="8.88671875" style="3021"/>
    <col min="2305" max="2305" width="9.44140625" style="3021" customWidth="1"/>
    <col min="2306" max="2306" width="8.88671875" style="3021"/>
    <col min="2307" max="2309" width="12.88671875" style="3021" customWidth="1"/>
    <col min="2310" max="2310" width="47.44140625" style="3021" customWidth="1"/>
    <col min="2311" max="2311" width="13" style="3021" customWidth="1"/>
    <col min="2312" max="2313" width="8.88671875" style="3021"/>
    <col min="2314" max="2314" width="5.77734375" style="3021" customWidth="1"/>
    <col min="2315" max="2315" width="11.77734375" style="3021" customWidth="1"/>
    <col min="2316" max="2317" width="10.77734375" style="3021" customWidth="1"/>
    <col min="2318" max="2318" width="10" style="3021" customWidth="1"/>
    <col min="2319" max="2320" width="10.44140625" style="3021" bestFit="1" customWidth="1"/>
    <col min="2321" max="2321" width="10" style="3021" customWidth="1"/>
    <col min="2322" max="2322" width="10.109375" style="3021" customWidth="1"/>
    <col min="2323" max="2323" width="10" style="3021" customWidth="1"/>
    <col min="2324" max="2324" width="26.109375" style="3021" customWidth="1"/>
    <col min="2325" max="2560" width="8.88671875" style="3021"/>
    <col min="2561" max="2561" width="9.44140625" style="3021" customWidth="1"/>
    <col min="2562" max="2562" width="8.88671875" style="3021"/>
    <col min="2563" max="2565" width="12.88671875" style="3021" customWidth="1"/>
    <col min="2566" max="2566" width="47.44140625" style="3021" customWidth="1"/>
    <col min="2567" max="2567" width="13" style="3021" customWidth="1"/>
    <col min="2568" max="2569" width="8.88671875" style="3021"/>
    <col min="2570" max="2570" width="5.77734375" style="3021" customWidth="1"/>
    <col min="2571" max="2571" width="11.77734375" style="3021" customWidth="1"/>
    <col min="2572" max="2573" width="10.77734375" style="3021" customWidth="1"/>
    <col min="2574" max="2574" width="10" style="3021" customWidth="1"/>
    <col min="2575" max="2576" width="10.44140625" style="3021" bestFit="1" customWidth="1"/>
    <col min="2577" max="2577" width="10" style="3021" customWidth="1"/>
    <col min="2578" max="2578" width="10.109375" style="3021" customWidth="1"/>
    <col min="2579" max="2579" width="10" style="3021" customWidth="1"/>
    <col min="2580" max="2580" width="26.109375" style="3021" customWidth="1"/>
    <col min="2581" max="2816" width="8.88671875" style="3021"/>
    <col min="2817" max="2817" width="9.44140625" style="3021" customWidth="1"/>
    <col min="2818" max="2818" width="8.88671875" style="3021"/>
    <col min="2819" max="2821" width="12.88671875" style="3021" customWidth="1"/>
    <col min="2822" max="2822" width="47.44140625" style="3021" customWidth="1"/>
    <col min="2823" max="2823" width="13" style="3021" customWidth="1"/>
    <col min="2824" max="2825" width="8.88671875" style="3021"/>
    <col min="2826" max="2826" width="5.77734375" style="3021" customWidth="1"/>
    <col min="2827" max="2827" width="11.77734375" style="3021" customWidth="1"/>
    <col min="2828" max="2829" width="10.77734375" style="3021" customWidth="1"/>
    <col min="2830" max="2830" width="10" style="3021" customWidth="1"/>
    <col min="2831" max="2832" width="10.44140625" style="3021" bestFit="1" customWidth="1"/>
    <col min="2833" max="2833" width="10" style="3021" customWidth="1"/>
    <col min="2834" max="2834" width="10.109375" style="3021" customWidth="1"/>
    <col min="2835" max="2835" width="10" style="3021" customWidth="1"/>
    <col min="2836" max="2836" width="26.109375" style="3021" customWidth="1"/>
    <col min="2837" max="3072" width="8.88671875" style="3021"/>
    <col min="3073" max="3073" width="9.44140625" style="3021" customWidth="1"/>
    <col min="3074" max="3074" width="8.88671875" style="3021"/>
    <col min="3075" max="3077" width="12.88671875" style="3021" customWidth="1"/>
    <col min="3078" max="3078" width="47.44140625" style="3021" customWidth="1"/>
    <col min="3079" max="3079" width="13" style="3021" customWidth="1"/>
    <col min="3080" max="3081" width="8.88671875" style="3021"/>
    <col min="3082" max="3082" width="5.77734375" style="3021" customWidth="1"/>
    <col min="3083" max="3083" width="11.77734375" style="3021" customWidth="1"/>
    <col min="3084" max="3085" width="10.77734375" style="3021" customWidth="1"/>
    <col min="3086" max="3086" width="10" style="3021" customWidth="1"/>
    <col min="3087" max="3088" width="10.44140625" style="3021" bestFit="1" customWidth="1"/>
    <col min="3089" max="3089" width="10" style="3021" customWidth="1"/>
    <col min="3090" max="3090" width="10.109375" style="3021" customWidth="1"/>
    <col min="3091" max="3091" width="10" style="3021" customWidth="1"/>
    <col min="3092" max="3092" width="26.109375" style="3021" customWidth="1"/>
    <col min="3093" max="3328" width="8.88671875" style="3021"/>
    <col min="3329" max="3329" width="9.44140625" style="3021" customWidth="1"/>
    <col min="3330" max="3330" width="8.88671875" style="3021"/>
    <col min="3331" max="3333" width="12.88671875" style="3021" customWidth="1"/>
    <col min="3334" max="3334" width="47.44140625" style="3021" customWidth="1"/>
    <col min="3335" max="3335" width="13" style="3021" customWidth="1"/>
    <col min="3336" max="3337" width="8.88671875" style="3021"/>
    <col min="3338" max="3338" width="5.77734375" style="3021" customWidth="1"/>
    <col min="3339" max="3339" width="11.77734375" style="3021" customWidth="1"/>
    <col min="3340" max="3341" width="10.77734375" style="3021" customWidth="1"/>
    <col min="3342" max="3342" width="10" style="3021" customWidth="1"/>
    <col min="3343" max="3344" width="10.44140625" style="3021" bestFit="1" customWidth="1"/>
    <col min="3345" max="3345" width="10" style="3021" customWidth="1"/>
    <col min="3346" max="3346" width="10.109375" style="3021" customWidth="1"/>
    <col min="3347" max="3347" width="10" style="3021" customWidth="1"/>
    <col min="3348" max="3348" width="26.109375" style="3021" customWidth="1"/>
    <col min="3349" max="3584" width="8.88671875" style="3021"/>
    <col min="3585" max="3585" width="9.44140625" style="3021" customWidth="1"/>
    <col min="3586" max="3586" width="8.88671875" style="3021"/>
    <col min="3587" max="3589" width="12.88671875" style="3021" customWidth="1"/>
    <col min="3590" max="3590" width="47.44140625" style="3021" customWidth="1"/>
    <col min="3591" max="3591" width="13" style="3021" customWidth="1"/>
    <col min="3592" max="3593" width="8.88671875" style="3021"/>
    <col min="3594" max="3594" width="5.77734375" style="3021" customWidth="1"/>
    <col min="3595" max="3595" width="11.77734375" style="3021" customWidth="1"/>
    <col min="3596" max="3597" width="10.77734375" style="3021" customWidth="1"/>
    <col min="3598" max="3598" width="10" style="3021" customWidth="1"/>
    <col min="3599" max="3600" width="10.44140625" style="3021" bestFit="1" customWidth="1"/>
    <col min="3601" max="3601" width="10" style="3021" customWidth="1"/>
    <col min="3602" max="3602" width="10.109375" style="3021" customWidth="1"/>
    <col min="3603" max="3603" width="10" style="3021" customWidth="1"/>
    <col min="3604" max="3604" width="26.109375" style="3021" customWidth="1"/>
    <col min="3605" max="3840" width="8.88671875" style="3021"/>
    <col min="3841" max="3841" width="9.44140625" style="3021" customWidth="1"/>
    <col min="3842" max="3842" width="8.88671875" style="3021"/>
    <col min="3843" max="3845" width="12.88671875" style="3021" customWidth="1"/>
    <col min="3846" max="3846" width="47.44140625" style="3021" customWidth="1"/>
    <col min="3847" max="3847" width="13" style="3021" customWidth="1"/>
    <col min="3848" max="3849" width="8.88671875" style="3021"/>
    <col min="3850" max="3850" width="5.77734375" style="3021" customWidth="1"/>
    <col min="3851" max="3851" width="11.77734375" style="3021" customWidth="1"/>
    <col min="3852" max="3853" width="10.77734375" style="3021" customWidth="1"/>
    <col min="3854" max="3854" width="10" style="3021" customWidth="1"/>
    <col min="3855" max="3856" width="10.44140625" style="3021" bestFit="1" customWidth="1"/>
    <col min="3857" max="3857" width="10" style="3021" customWidth="1"/>
    <col min="3858" max="3858" width="10.109375" style="3021" customWidth="1"/>
    <col min="3859" max="3859" width="10" style="3021" customWidth="1"/>
    <col min="3860" max="3860" width="26.109375" style="3021" customWidth="1"/>
    <col min="3861" max="4096" width="8.88671875" style="3021"/>
    <col min="4097" max="4097" width="9.44140625" style="3021" customWidth="1"/>
    <col min="4098" max="4098" width="8.88671875" style="3021"/>
    <col min="4099" max="4101" width="12.88671875" style="3021" customWidth="1"/>
    <col min="4102" max="4102" width="47.44140625" style="3021" customWidth="1"/>
    <col min="4103" max="4103" width="13" style="3021" customWidth="1"/>
    <col min="4104" max="4105" width="8.88671875" style="3021"/>
    <col min="4106" max="4106" width="5.77734375" style="3021" customWidth="1"/>
    <col min="4107" max="4107" width="11.77734375" style="3021" customWidth="1"/>
    <col min="4108" max="4109" width="10.77734375" style="3021" customWidth="1"/>
    <col min="4110" max="4110" width="10" style="3021" customWidth="1"/>
    <col min="4111" max="4112" width="10.44140625" style="3021" bestFit="1" customWidth="1"/>
    <col min="4113" max="4113" width="10" style="3021" customWidth="1"/>
    <col min="4114" max="4114" width="10.109375" style="3021" customWidth="1"/>
    <col min="4115" max="4115" width="10" style="3021" customWidth="1"/>
    <col min="4116" max="4116" width="26.109375" style="3021" customWidth="1"/>
    <col min="4117" max="4352" width="8.88671875" style="3021"/>
    <col min="4353" max="4353" width="9.44140625" style="3021" customWidth="1"/>
    <col min="4354" max="4354" width="8.88671875" style="3021"/>
    <col min="4355" max="4357" width="12.88671875" style="3021" customWidth="1"/>
    <col min="4358" max="4358" width="47.44140625" style="3021" customWidth="1"/>
    <col min="4359" max="4359" width="13" style="3021" customWidth="1"/>
    <col min="4360" max="4361" width="8.88671875" style="3021"/>
    <col min="4362" max="4362" width="5.77734375" style="3021" customWidth="1"/>
    <col min="4363" max="4363" width="11.77734375" style="3021" customWidth="1"/>
    <col min="4364" max="4365" width="10.77734375" style="3021" customWidth="1"/>
    <col min="4366" max="4366" width="10" style="3021" customWidth="1"/>
    <col min="4367" max="4368" width="10.44140625" style="3021" bestFit="1" customWidth="1"/>
    <col min="4369" max="4369" width="10" style="3021" customWidth="1"/>
    <col min="4370" max="4370" width="10.109375" style="3021" customWidth="1"/>
    <col min="4371" max="4371" width="10" style="3021" customWidth="1"/>
    <col min="4372" max="4372" width="26.109375" style="3021" customWidth="1"/>
    <col min="4373" max="4608" width="8.88671875" style="3021"/>
    <col min="4609" max="4609" width="9.44140625" style="3021" customWidth="1"/>
    <col min="4610" max="4610" width="8.88671875" style="3021"/>
    <col min="4611" max="4613" width="12.88671875" style="3021" customWidth="1"/>
    <col min="4614" max="4614" width="47.44140625" style="3021" customWidth="1"/>
    <col min="4615" max="4615" width="13" style="3021" customWidth="1"/>
    <col min="4616" max="4617" width="8.88671875" style="3021"/>
    <col min="4618" max="4618" width="5.77734375" style="3021" customWidth="1"/>
    <col min="4619" max="4619" width="11.77734375" style="3021" customWidth="1"/>
    <col min="4620" max="4621" width="10.77734375" style="3021" customWidth="1"/>
    <col min="4622" max="4622" width="10" style="3021" customWidth="1"/>
    <col min="4623" max="4624" width="10.44140625" style="3021" bestFit="1" customWidth="1"/>
    <col min="4625" max="4625" width="10" style="3021" customWidth="1"/>
    <col min="4626" max="4626" width="10.109375" style="3021" customWidth="1"/>
    <col min="4627" max="4627" width="10" style="3021" customWidth="1"/>
    <col min="4628" max="4628" width="26.109375" style="3021" customWidth="1"/>
    <col min="4629" max="4864" width="8.88671875" style="3021"/>
    <col min="4865" max="4865" width="9.44140625" style="3021" customWidth="1"/>
    <col min="4866" max="4866" width="8.88671875" style="3021"/>
    <col min="4867" max="4869" width="12.88671875" style="3021" customWidth="1"/>
    <col min="4870" max="4870" width="47.44140625" style="3021" customWidth="1"/>
    <col min="4871" max="4871" width="13" style="3021" customWidth="1"/>
    <col min="4872" max="4873" width="8.88671875" style="3021"/>
    <col min="4874" max="4874" width="5.77734375" style="3021" customWidth="1"/>
    <col min="4875" max="4875" width="11.77734375" style="3021" customWidth="1"/>
    <col min="4876" max="4877" width="10.77734375" style="3021" customWidth="1"/>
    <col min="4878" max="4878" width="10" style="3021" customWidth="1"/>
    <col min="4879" max="4880" width="10.44140625" style="3021" bestFit="1" customWidth="1"/>
    <col min="4881" max="4881" width="10" style="3021" customWidth="1"/>
    <col min="4882" max="4882" width="10.109375" style="3021" customWidth="1"/>
    <col min="4883" max="4883" width="10" style="3021" customWidth="1"/>
    <col min="4884" max="4884" width="26.109375" style="3021" customWidth="1"/>
    <col min="4885" max="5120" width="8.88671875" style="3021"/>
    <col min="5121" max="5121" width="9.44140625" style="3021" customWidth="1"/>
    <col min="5122" max="5122" width="8.88671875" style="3021"/>
    <col min="5123" max="5125" width="12.88671875" style="3021" customWidth="1"/>
    <col min="5126" max="5126" width="47.44140625" style="3021" customWidth="1"/>
    <col min="5127" max="5127" width="13" style="3021" customWidth="1"/>
    <col min="5128" max="5129" width="8.88671875" style="3021"/>
    <col min="5130" max="5130" width="5.77734375" style="3021" customWidth="1"/>
    <col min="5131" max="5131" width="11.77734375" style="3021" customWidth="1"/>
    <col min="5132" max="5133" width="10.77734375" style="3021" customWidth="1"/>
    <col min="5134" max="5134" width="10" style="3021" customWidth="1"/>
    <col min="5135" max="5136" width="10.44140625" style="3021" bestFit="1" customWidth="1"/>
    <col min="5137" max="5137" width="10" style="3021" customWidth="1"/>
    <col min="5138" max="5138" width="10.109375" style="3021" customWidth="1"/>
    <col min="5139" max="5139" width="10" style="3021" customWidth="1"/>
    <col min="5140" max="5140" width="26.109375" style="3021" customWidth="1"/>
    <col min="5141" max="5376" width="8.88671875" style="3021"/>
    <col min="5377" max="5377" width="9.44140625" style="3021" customWidth="1"/>
    <col min="5378" max="5378" width="8.88671875" style="3021"/>
    <col min="5379" max="5381" width="12.88671875" style="3021" customWidth="1"/>
    <col min="5382" max="5382" width="47.44140625" style="3021" customWidth="1"/>
    <col min="5383" max="5383" width="13" style="3021" customWidth="1"/>
    <col min="5384" max="5385" width="8.88671875" style="3021"/>
    <col min="5386" max="5386" width="5.77734375" style="3021" customWidth="1"/>
    <col min="5387" max="5387" width="11.77734375" style="3021" customWidth="1"/>
    <col min="5388" max="5389" width="10.77734375" style="3021" customWidth="1"/>
    <col min="5390" max="5390" width="10" style="3021" customWidth="1"/>
    <col min="5391" max="5392" width="10.44140625" style="3021" bestFit="1" customWidth="1"/>
    <col min="5393" max="5393" width="10" style="3021" customWidth="1"/>
    <col min="5394" max="5394" width="10.109375" style="3021" customWidth="1"/>
    <col min="5395" max="5395" width="10" style="3021" customWidth="1"/>
    <col min="5396" max="5396" width="26.109375" style="3021" customWidth="1"/>
    <col min="5397" max="5632" width="8.88671875" style="3021"/>
    <col min="5633" max="5633" width="9.44140625" style="3021" customWidth="1"/>
    <col min="5634" max="5634" width="8.88671875" style="3021"/>
    <col min="5635" max="5637" width="12.88671875" style="3021" customWidth="1"/>
    <col min="5638" max="5638" width="47.44140625" style="3021" customWidth="1"/>
    <col min="5639" max="5639" width="13" style="3021" customWidth="1"/>
    <col min="5640" max="5641" width="8.88671875" style="3021"/>
    <col min="5642" max="5642" width="5.77734375" style="3021" customWidth="1"/>
    <col min="5643" max="5643" width="11.77734375" style="3021" customWidth="1"/>
    <col min="5644" max="5645" width="10.77734375" style="3021" customWidth="1"/>
    <col min="5646" max="5646" width="10" style="3021" customWidth="1"/>
    <col min="5647" max="5648" width="10.44140625" style="3021" bestFit="1" customWidth="1"/>
    <col min="5649" max="5649" width="10" style="3021" customWidth="1"/>
    <col min="5650" max="5650" width="10.109375" style="3021" customWidth="1"/>
    <col min="5651" max="5651" width="10" style="3021" customWidth="1"/>
    <col min="5652" max="5652" width="26.109375" style="3021" customWidth="1"/>
    <col min="5653" max="5888" width="8.88671875" style="3021"/>
    <col min="5889" max="5889" width="9.44140625" style="3021" customWidth="1"/>
    <col min="5890" max="5890" width="8.88671875" style="3021"/>
    <col min="5891" max="5893" width="12.88671875" style="3021" customWidth="1"/>
    <col min="5894" max="5894" width="47.44140625" style="3021" customWidth="1"/>
    <col min="5895" max="5895" width="13" style="3021" customWidth="1"/>
    <col min="5896" max="5897" width="8.88671875" style="3021"/>
    <col min="5898" max="5898" width="5.77734375" style="3021" customWidth="1"/>
    <col min="5899" max="5899" width="11.77734375" style="3021" customWidth="1"/>
    <col min="5900" max="5901" width="10.77734375" style="3021" customWidth="1"/>
    <col min="5902" max="5902" width="10" style="3021" customWidth="1"/>
    <col min="5903" max="5904" width="10.44140625" style="3021" bestFit="1" customWidth="1"/>
    <col min="5905" max="5905" width="10" style="3021" customWidth="1"/>
    <col min="5906" max="5906" width="10.109375" style="3021" customWidth="1"/>
    <col min="5907" max="5907" width="10" style="3021" customWidth="1"/>
    <col min="5908" max="5908" width="26.109375" style="3021" customWidth="1"/>
    <col min="5909" max="6144" width="8.88671875" style="3021"/>
    <col min="6145" max="6145" width="9.44140625" style="3021" customWidth="1"/>
    <col min="6146" max="6146" width="8.88671875" style="3021"/>
    <col min="6147" max="6149" width="12.88671875" style="3021" customWidth="1"/>
    <col min="6150" max="6150" width="47.44140625" style="3021" customWidth="1"/>
    <col min="6151" max="6151" width="13" style="3021" customWidth="1"/>
    <col min="6152" max="6153" width="8.88671875" style="3021"/>
    <col min="6154" max="6154" width="5.77734375" style="3021" customWidth="1"/>
    <col min="6155" max="6155" width="11.77734375" style="3021" customWidth="1"/>
    <col min="6156" max="6157" width="10.77734375" style="3021" customWidth="1"/>
    <col min="6158" max="6158" width="10" style="3021" customWidth="1"/>
    <col min="6159" max="6160" width="10.44140625" style="3021" bestFit="1" customWidth="1"/>
    <col min="6161" max="6161" width="10" style="3021" customWidth="1"/>
    <col min="6162" max="6162" width="10.109375" style="3021" customWidth="1"/>
    <col min="6163" max="6163" width="10" style="3021" customWidth="1"/>
    <col min="6164" max="6164" width="26.109375" style="3021" customWidth="1"/>
    <col min="6165" max="6400" width="8.88671875" style="3021"/>
    <col min="6401" max="6401" width="9.44140625" style="3021" customWidth="1"/>
    <col min="6402" max="6402" width="8.88671875" style="3021"/>
    <col min="6403" max="6405" width="12.88671875" style="3021" customWidth="1"/>
    <col min="6406" max="6406" width="47.44140625" style="3021" customWidth="1"/>
    <col min="6407" max="6407" width="13" style="3021" customWidth="1"/>
    <col min="6408" max="6409" width="8.88671875" style="3021"/>
    <col min="6410" max="6410" width="5.77734375" style="3021" customWidth="1"/>
    <col min="6411" max="6411" width="11.77734375" style="3021" customWidth="1"/>
    <col min="6412" max="6413" width="10.77734375" style="3021" customWidth="1"/>
    <col min="6414" max="6414" width="10" style="3021" customWidth="1"/>
    <col min="6415" max="6416" width="10.44140625" style="3021" bestFit="1" customWidth="1"/>
    <col min="6417" max="6417" width="10" style="3021" customWidth="1"/>
    <col min="6418" max="6418" width="10.109375" style="3021" customWidth="1"/>
    <col min="6419" max="6419" width="10" style="3021" customWidth="1"/>
    <col min="6420" max="6420" width="26.109375" style="3021" customWidth="1"/>
    <col min="6421" max="6656" width="8.88671875" style="3021"/>
    <col min="6657" max="6657" width="9.44140625" style="3021" customWidth="1"/>
    <col min="6658" max="6658" width="8.88671875" style="3021"/>
    <col min="6659" max="6661" width="12.88671875" style="3021" customWidth="1"/>
    <col min="6662" max="6662" width="47.44140625" style="3021" customWidth="1"/>
    <col min="6663" max="6663" width="13" style="3021" customWidth="1"/>
    <col min="6664" max="6665" width="8.88671875" style="3021"/>
    <col min="6666" max="6666" width="5.77734375" style="3021" customWidth="1"/>
    <col min="6667" max="6667" width="11.77734375" style="3021" customWidth="1"/>
    <col min="6668" max="6669" width="10.77734375" style="3021" customWidth="1"/>
    <col min="6670" max="6670" width="10" style="3021" customWidth="1"/>
    <col min="6671" max="6672" width="10.44140625" style="3021" bestFit="1" customWidth="1"/>
    <col min="6673" max="6673" width="10" style="3021" customWidth="1"/>
    <col min="6674" max="6674" width="10.109375" style="3021" customWidth="1"/>
    <col min="6675" max="6675" width="10" style="3021" customWidth="1"/>
    <col min="6676" max="6676" width="26.109375" style="3021" customWidth="1"/>
    <col min="6677" max="6912" width="8.88671875" style="3021"/>
    <col min="6913" max="6913" width="9.44140625" style="3021" customWidth="1"/>
    <col min="6914" max="6914" width="8.88671875" style="3021"/>
    <col min="6915" max="6917" width="12.88671875" style="3021" customWidth="1"/>
    <col min="6918" max="6918" width="47.44140625" style="3021" customWidth="1"/>
    <col min="6919" max="6919" width="13" style="3021" customWidth="1"/>
    <col min="6920" max="6921" width="8.88671875" style="3021"/>
    <col min="6922" max="6922" width="5.77734375" style="3021" customWidth="1"/>
    <col min="6923" max="6923" width="11.77734375" style="3021" customWidth="1"/>
    <col min="6924" max="6925" width="10.77734375" style="3021" customWidth="1"/>
    <col min="6926" max="6926" width="10" style="3021" customWidth="1"/>
    <col min="6927" max="6928" width="10.44140625" style="3021" bestFit="1" customWidth="1"/>
    <col min="6929" max="6929" width="10" style="3021" customWidth="1"/>
    <col min="6930" max="6930" width="10.109375" style="3021" customWidth="1"/>
    <col min="6931" max="6931" width="10" style="3021" customWidth="1"/>
    <col min="6932" max="6932" width="26.109375" style="3021" customWidth="1"/>
    <col min="6933" max="7168" width="8.88671875" style="3021"/>
    <col min="7169" max="7169" width="9.44140625" style="3021" customWidth="1"/>
    <col min="7170" max="7170" width="8.88671875" style="3021"/>
    <col min="7171" max="7173" width="12.88671875" style="3021" customWidth="1"/>
    <col min="7174" max="7174" width="47.44140625" style="3021" customWidth="1"/>
    <col min="7175" max="7175" width="13" style="3021" customWidth="1"/>
    <col min="7176" max="7177" width="8.88671875" style="3021"/>
    <col min="7178" max="7178" width="5.77734375" style="3021" customWidth="1"/>
    <col min="7179" max="7179" width="11.77734375" style="3021" customWidth="1"/>
    <col min="7180" max="7181" width="10.77734375" style="3021" customWidth="1"/>
    <col min="7182" max="7182" width="10" style="3021" customWidth="1"/>
    <col min="7183" max="7184" width="10.44140625" style="3021" bestFit="1" customWidth="1"/>
    <col min="7185" max="7185" width="10" style="3021" customWidth="1"/>
    <col min="7186" max="7186" width="10.109375" style="3021" customWidth="1"/>
    <col min="7187" max="7187" width="10" style="3021" customWidth="1"/>
    <col min="7188" max="7188" width="26.109375" style="3021" customWidth="1"/>
    <col min="7189" max="7424" width="8.88671875" style="3021"/>
    <col min="7425" max="7425" width="9.44140625" style="3021" customWidth="1"/>
    <col min="7426" max="7426" width="8.88671875" style="3021"/>
    <col min="7427" max="7429" width="12.88671875" style="3021" customWidth="1"/>
    <col min="7430" max="7430" width="47.44140625" style="3021" customWidth="1"/>
    <col min="7431" max="7431" width="13" style="3021" customWidth="1"/>
    <col min="7432" max="7433" width="8.88671875" style="3021"/>
    <col min="7434" max="7434" width="5.77734375" style="3021" customWidth="1"/>
    <col min="7435" max="7435" width="11.77734375" style="3021" customWidth="1"/>
    <col min="7436" max="7437" width="10.77734375" style="3021" customWidth="1"/>
    <col min="7438" max="7438" width="10" style="3021" customWidth="1"/>
    <col min="7439" max="7440" width="10.44140625" style="3021" bestFit="1" customWidth="1"/>
    <col min="7441" max="7441" width="10" style="3021" customWidth="1"/>
    <col min="7442" max="7442" width="10.109375" style="3021" customWidth="1"/>
    <col min="7443" max="7443" width="10" style="3021" customWidth="1"/>
    <col min="7444" max="7444" width="26.109375" style="3021" customWidth="1"/>
    <col min="7445" max="7680" width="8.88671875" style="3021"/>
    <col min="7681" max="7681" width="9.44140625" style="3021" customWidth="1"/>
    <col min="7682" max="7682" width="8.88671875" style="3021"/>
    <col min="7683" max="7685" width="12.88671875" style="3021" customWidth="1"/>
    <col min="7686" max="7686" width="47.44140625" style="3021" customWidth="1"/>
    <col min="7687" max="7687" width="13" style="3021" customWidth="1"/>
    <col min="7688" max="7689" width="8.88671875" style="3021"/>
    <col min="7690" max="7690" width="5.77734375" style="3021" customWidth="1"/>
    <col min="7691" max="7691" width="11.77734375" style="3021" customWidth="1"/>
    <col min="7692" max="7693" width="10.77734375" style="3021" customWidth="1"/>
    <col min="7694" max="7694" width="10" style="3021" customWidth="1"/>
    <col min="7695" max="7696" width="10.44140625" style="3021" bestFit="1" customWidth="1"/>
    <col min="7697" max="7697" width="10" style="3021" customWidth="1"/>
    <col min="7698" max="7698" width="10.109375" style="3021" customWidth="1"/>
    <col min="7699" max="7699" width="10" style="3021" customWidth="1"/>
    <col min="7700" max="7700" width="26.109375" style="3021" customWidth="1"/>
    <col min="7701" max="7936" width="8.88671875" style="3021"/>
    <col min="7937" max="7937" width="9.44140625" style="3021" customWidth="1"/>
    <col min="7938" max="7938" width="8.88671875" style="3021"/>
    <col min="7939" max="7941" width="12.88671875" style="3021" customWidth="1"/>
    <col min="7942" max="7942" width="47.44140625" style="3021" customWidth="1"/>
    <col min="7943" max="7943" width="13" style="3021" customWidth="1"/>
    <col min="7944" max="7945" width="8.88671875" style="3021"/>
    <col min="7946" max="7946" width="5.77734375" style="3021" customWidth="1"/>
    <col min="7947" max="7947" width="11.77734375" style="3021" customWidth="1"/>
    <col min="7948" max="7949" width="10.77734375" style="3021" customWidth="1"/>
    <col min="7950" max="7950" width="10" style="3021" customWidth="1"/>
    <col min="7951" max="7952" width="10.44140625" style="3021" bestFit="1" customWidth="1"/>
    <col min="7953" max="7953" width="10" style="3021" customWidth="1"/>
    <col min="7954" max="7954" width="10.109375" style="3021" customWidth="1"/>
    <col min="7955" max="7955" width="10" style="3021" customWidth="1"/>
    <col min="7956" max="7956" width="26.109375" style="3021" customWidth="1"/>
    <col min="7957" max="8192" width="8.88671875" style="3021"/>
    <col min="8193" max="8193" width="9.44140625" style="3021" customWidth="1"/>
    <col min="8194" max="8194" width="8.88671875" style="3021"/>
    <col min="8195" max="8197" width="12.88671875" style="3021" customWidth="1"/>
    <col min="8198" max="8198" width="47.44140625" style="3021" customWidth="1"/>
    <col min="8199" max="8199" width="13" style="3021" customWidth="1"/>
    <col min="8200" max="8201" width="8.88671875" style="3021"/>
    <col min="8202" max="8202" width="5.77734375" style="3021" customWidth="1"/>
    <col min="8203" max="8203" width="11.77734375" style="3021" customWidth="1"/>
    <col min="8204" max="8205" width="10.77734375" style="3021" customWidth="1"/>
    <col min="8206" max="8206" width="10" style="3021" customWidth="1"/>
    <col min="8207" max="8208" width="10.44140625" style="3021" bestFit="1" customWidth="1"/>
    <col min="8209" max="8209" width="10" style="3021" customWidth="1"/>
    <col min="8210" max="8210" width="10.109375" style="3021" customWidth="1"/>
    <col min="8211" max="8211" width="10" style="3021" customWidth="1"/>
    <col min="8212" max="8212" width="26.109375" style="3021" customWidth="1"/>
    <col min="8213" max="8448" width="8.88671875" style="3021"/>
    <col min="8449" max="8449" width="9.44140625" style="3021" customWidth="1"/>
    <col min="8450" max="8450" width="8.88671875" style="3021"/>
    <col min="8451" max="8453" width="12.88671875" style="3021" customWidth="1"/>
    <col min="8454" max="8454" width="47.44140625" style="3021" customWidth="1"/>
    <col min="8455" max="8455" width="13" style="3021" customWidth="1"/>
    <col min="8456" max="8457" width="8.88671875" style="3021"/>
    <col min="8458" max="8458" width="5.77734375" style="3021" customWidth="1"/>
    <col min="8459" max="8459" width="11.77734375" style="3021" customWidth="1"/>
    <col min="8460" max="8461" width="10.77734375" style="3021" customWidth="1"/>
    <col min="8462" max="8462" width="10" style="3021" customWidth="1"/>
    <col min="8463" max="8464" width="10.44140625" style="3021" bestFit="1" customWidth="1"/>
    <col min="8465" max="8465" width="10" style="3021" customWidth="1"/>
    <col min="8466" max="8466" width="10.109375" style="3021" customWidth="1"/>
    <col min="8467" max="8467" width="10" style="3021" customWidth="1"/>
    <col min="8468" max="8468" width="26.109375" style="3021" customWidth="1"/>
    <col min="8469" max="8704" width="8.88671875" style="3021"/>
    <col min="8705" max="8705" width="9.44140625" style="3021" customWidth="1"/>
    <col min="8706" max="8706" width="8.88671875" style="3021"/>
    <col min="8707" max="8709" width="12.88671875" style="3021" customWidth="1"/>
    <col min="8710" max="8710" width="47.44140625" style="3021" customWidth="1"/>
    <col min="8711" max="8711" width="13" style="3021" customWidth="1"/>
    <col min="8712" max="8713" width="8.88671875" style="3021"/>
    <col min="8714" max="8714" width="5.77734375" style="3021" customWidth="1"/>
    <col min="8715" max="8715" width="11.77734375" style="3021" customWidth="1"/>
    <col min="8716" max="8717" width="10.77734375" style="3021" customWidth="1"/>
    <col min="8718" max="8718" width="10" style="3021" customWidth="1"/>
    <col min="8719" max="8720" width="10.44140625" style="3021" bestFit="1" customWidth="1"/>
    <col min="8721" max="8721" width="10" style="3021" customWidth="1"/>
    <col min="8722" max="8722" width="10.109375" style="3021" customWidth="1"/>
    <col min="8723" max="8723" width="10" style="3021" customWidth="1"/>
    <col min="8724" max="8724" width="26.109375" style="3021" customWidth="1"/>
    <col min="8725" max="8960" width="8.88671875" style="3021"/>
    <col min="8961" max="8961" width="9.44140625" style="3021" customWidth="1"/>
    <col min="8962" max="8962" width="8.88671875" style="3021"/>
    <col min="8963" max="8965" width="12.88671875" style="3021" customWidth="1"/>
    <col min="8966" max="8966" width="47.44140625" style="3021" customWidth="1"/>
    <col min="8967" max="8967" width="13" style="3021" customWidth="1"/>
    <col min="8968" max="8969" width="8.88671875" style="3021"/>
    <col min="8970" max="8970" width="5.77734375" style="3021" customWidth="1"/>
    <col min="8971" max="8971" width="11.77734375" style="3021" customWidth="1"/>
    <col min="8972" max="8973" width="10.77734375" style="3021" customWidth="1"/>
    <col min="8974" max="8974" width="10" style="3021" customWidth="1"/>
    <col min="8975" max="8976" width="10.44140625" style="3021" bestFit="1" customWidth="1"/>
    <col min="8977" max="8977" width="10" style="3021" customWidth="1"/>
    <col min="8978" max="8978" width="10.109375" style="3021" customWidth="1"/>
    <col min="8979" max="8979" width="10" style="3021" customWidth="1"/>
    <col min="8980" max="8980" width="26.109375" style="3021" customWidth="1"/>
    <col min="8981" max="9216" width="8.88671875" style="3021"/>
    <col min="9217" max="9217" width="9.44140625" style="3021" customWidth="1"/>
    <col min="9218" max="9218" width="8.88671875" style="3021"/>
    <col min="9219" max="9221" width="12.88671875" style="3021" customWidth="1"/>
    <col min="9222" max="9222" width="47.44140625" style="3021" customWidth="1"/>
    <col min="9223" max="9223" width="13" style="3021" customWidth="1"/>
    <col min="9224" max="9225" width="8.88671875" style="3021"/>
    <col min="9226" max="9226" width="5.77734375" style="3021" customWidth="1"/>
    <col min="9227" max="9227" width="11.77734375" style="3021" customWidth="1"/>
    <col min="9228" max="9229" width="10.77734375" style="3021" customWidth="1"/>
    <col min="9230" max="9230" width="10" style="3021" customWidth="1"/>
    <col min="9231" max="9232" width="10.44140625" style="3021" bestFit="1" customWidth="1"/>
    <col min="9233" max="9233" width="10" style="3021" customWidth="1"/>
    <col min="9234" max="9234" width="10.109375" style="3021" customWidth="1"/>
    <col min="9235" max="9235" width="10" style="3021" customWidth="1"/>
    <col min="9236" max="9236" width="26.109375" style="3021" customWidth="1"/>
    <col min="9237" max="9472" width="8.88671875" style="3021"/>
    <col min="9473" max="9473" width="9.44140625" style="3021" customWidth="1"/>
    <col min="9474" max="9474" width="8.88671875" style="3021"/>
    <col min="9475" max="9477" width="12.88671875" style="3021" customWidth="1"/>
    <col min="9478" max="9478" width="47.44140625" style="3021" customWidth="1"/>
    <col min="9479" max="9479" width="13" style="3021" customWidth="1"/>
    <col min="9480" max="9481" width="8.88671875" style="3021"/>
    <col min="9482" max="9482" width="5.77734375" style="3021" customWidth="1"/>
    <col min="9483" max="9483" width="11.77734375" style="3021" customWidth="1"/>
    <col min="9484" max="9485" width="10.77734375" style="3021" customWidth="1"/>
    <col min="9486" max="9486" width="10" style="3021" customWidth="1"/>
    <col min="9487" max="9488" width="10.44140625" style="3021" bestFit="1" customWidth="1"/>
    <col min="9489" max="9489" width="10" style="3021" customWidth="1"/>
    <col min="9490" max="9490" width="10.109375" style="3021" customWidth="1"/>
    <col min="9491" max="9491" width="10" style="3021" customWidth="1"/>
    <col min="9492" max="9492" width="26.109375" style="3021" customWidth="1"/>
    <col min="9493" max="9728" width="8.88671875" style="3021"/>
    <col min="9729" max="9729" width="9.44140625" style="3021" customWidth="1"/>
    <col min="9730" max="9730" width="8.88671875" style="3021"/>
    <col min="9731" max="9733" width="12.88671875" style="3021" customWidth="1"/>
    <col min="9734" max="9734" width="47.44140625" style="3021" customWidth="1"/>
    <col min="9735" max="9735" width="13" style="3021" customWidth="1"/>
    <col min="9736" max="9737" width="8.88671875" style="3021"/>
    <col min="9738" max="9738" width="5.77734375" style="3021" customWidth="1"/>
    <col min="9739" max="9739" width="11.77734375" style="3021" customWidth="1"/>
    <col min="9740" max="9741" width="10.77734375" style="3021" customWidth="1"/>
    <col min="9742" max="9742" width="10" style="3021" customWidth="1"/>
    <col min="9743" max="9744" width="10.44140625" style="3021" bestFit="1" customWidth="1"/>
    <col min="9745" max="9745" width="10" style="3021" customWidth="1"/>
    <col min="9746" max="9746" width="10.109375" style="3021" customWidth="1"/>
    <col min="9747" max="9747" width="10" style="3021" customWidth="1"/>
    <col min="9748" max="9748" width="26.109375" style="3021" customWidth="1"/>
    <col min="9749" max="9984" width="8.88671875" style="3021"/>
    <col min="9985" max="9985" width="9.44140625" style="3021" customWidth="1"/>
    <col min="9986" max="9986" width="8.88671875" style="3021"/>
    <col min="9987" max="9989" width="12.88671875" style="3021" customWidth="1"/>
    <col min="9990" max="9990" width="47.44140625" style="3021" customWidth="1"/>
    <col min="9991" max="9991" width="13" style="3021" customWidth="1"/>
    <col min="9992" max="9993" width="8.88671875" style="3021"/>
    <col min="9994" max="9994" width="5.77734375" style="3021" customWidth="1"/>
    <col min="9995" max="9995" width="11.77734375" style="3021" customWidth="1"/>
    <col min="9996" max="9997" width="10.77734375" style="3021" customWidth="1"/>
    <col min="9998" max="9998" width="10" style="3021" customWidth="1"/>
    <col min="9999" max="10000" width="10.44140625" style="3021" bestFit="1" customWidth="1"/>
    <col min="10001" max="10001" width="10" style="3021" customWidth="1"/>
    <col min="10002" max="10002" width="10.109375" style="3021" customWidth="1"/>
    <col min="10003" max="10003" width="10" style="3021" customWidth="1"/>
    <col min="10004" max="10004" width="26.109375" style="3021" customWidth="1"/>
    <col min="10005" max="10240" width="8.88671875" style="3021"/>
    <col min="10241" max="10241" width="9.44140625" style="3021" customWidth="1"/>
    <col min="10242" max="10242" width="8.88671875" style="3021"/>
    <col min="10243" max="10245" width="12.88671875" style="3021" customWidth="1"/>
    <col min="10246" max="10246" width="47.44140625" style="3021" customWidth="1"/>
    <col min="10247" max="10247" width="13" style="3021" customWidth="1"/>
    <col min="10248" max="10249" width="8.88671875" style="3021"/>
    <col min="10250" max="10250" width="5.77734375" style="3021" customWidth="1"/>
    <col min="10251" max="10251" width="11.77734375" style="3021" customWidth="1"/>
    <col min="10252" max="10253" width="10.77734375" style="3021" customWidth="1"/>
    <col min="10254" max="10254" width="10" style="3021" customWidth="1"/>
    <col min="10255" max="10256" width="10.44140625" style="3021" bestFit="1" customWidth="1"/>
    <col min="10257" max="10257" width="10" style="3021" customWidth="1"/>
    <col min="10258" max="10258" width="10.109375" style="3021" customWidth="1"/>
    <col min="10259" max="10259" width="10" style="3021" customWidth="1"/>
    <col min="10260" max="10260" width="26.109375" style="3021" customWidth="1"/>
    <col min="10261" max="10496" width="8.88671875" style="3021"/>
    <col min="10497" max="10497" width="9.44140625" style="3021" customWidth="1"/>
    <col min="10498" max="10498" width="8.88671875" style="3021"/>
    <col min="10499" max="10501" width="12.88671875" style="3021" customWidth="1"/>
    <col min="10502" max="10502" width="47.44140625" style="3021" customWidth="1"/>
    <col min="10503" max="10503" width="13" style="3021" customWidth="1"/>
    <col min="10504" max="10505" width="8.88671875" style="3021"/>
    <col min="10506" max="10506" width="5.77734375" style="3021" customWidth="1"/>
    <col min="10507" max="10507" width="11.77734375" style="3021" customWidth="1"/>
    <col min="10508" max="10509" width="10.77734375" style="3021" customWidth="1"/>
    <col min="10510" max="10510" width="10" style="3021" customWidth="1"/>
    <col min="10511" max="10512" width="10.44140625" style="3021" bestFit="1" customWidth="1"/>
    <col min="10513" max="10513" width="10" style="3021" customWidth="1"/>
    <col min="10514" max="10514" width="10.109375" style="3021" customWidth="1"/>
    <col min="10515" max="10515" width="10" style="3021" customWidth="1"/>
    <col min="10516" max="10516" width="26.109375" style="3021" customWidth="1"/>
    <col min="10517" max="10752" width="8.88671875" style="3021"/>
    <col min="10753" max="10753" width="9.44140625" style="3021" customWidth="1"/>
    <col min="10754" max="10754" width="8.88671875" style="3021"/>
    <col min="10755" max="10757" width="12.88671875" style="3021" customWidth="1"/>
    <col min="10758" max="10758" width="47.44140625" style="3021" customWidth="1"/>
    <col min="10759" max="10759" width="13" style="3021" customWidth="1"/>
    <col min="10760" max="10761" width="8.88671875" style="3021"/>
    <col min="10762" max="10762" width="5.77734375" style="3021" customWidth="1"/>
    <col min="10763" max="10763" width="11.77734375" style="3021" customWidth="1"/>
    <col min="10764" max="10765" width="10.77734375" style="3021" customWidth="1"/>
    <col min="10766" max="10766" width="10" style="3021" customWidth="1"/>
    <col min="10767" max="10768" width="10.44140625" style="3021" bestFit="1" customWidth="1"/>
    <col min="10769" max="10769" width="10" style="3021" customWidth="1"/>
    <col min="10770" max="10770" width="10.109375" style="3021" customWidth="1"/>
    <col min="10771" max="10771" width="10" style="3021" customWidth="1"/>
    <col min="10772" max="10772" width="26.109375" style="3021" customWidth="1"/>
    <col min="10773" max="11008" width="8.88671875" style="3021"/>
    <col min="11009" max="11009" width="9.44140625" style="3021" customWidth="1"/>
    <col min="11010" max="11010" width="8.88671875" style="3021"/>
    <col min="11011" max="11013" width="12.88671875" style="3021" customWidth="1"/>
    <col min="11014" max="11014" width="47.44140625" style="3021" customWidth="1"/>
    <col min="11015" max="11015" width="13" style="3021" customWidth="1"/>
    <col min="11016" max="11017" width="8.88671875" style="3021"/>
    <col min="11018" max="11018" width="5.77734375" style="3021" customWidth="1"/>
    <col min="11019" max="11019" width="11.77734375" style="3021" customWidth="1"/>
    <col min="11020" max="11021" width="10.77734375" style="3021" customWidth="1"/>
    <col min="11022" max="11022" width="10" style="3021" customWidth="1"/>
    <col min="11023" max="11024" width="10.44140625" style="3021" bestFit="1" customWidth="1"/>
    <col min="11025" max="11025" width="10" style="3021" customWidth="1"/>
    <col min="11026" max="11026" width="10.109375" style="3021" customWidth="1"/>
    <col min="11027" max="11027" width="10" style="3021" customWidth="1"/>
    <col min="11028" max="11028" width="26.109375" style="3021" customWidth="1"/>
    <col min="11029" max="11264" width="8.88671875" style="3021"/>
    <col min="11265" max="11265" width="9.44140625" style="3021" customWidth="1"/>
    <col min="11266" max="11266" width="8.88671875" style="3021"/>
    <col min="11267" max="11269" width="12.88671875" style="3021" customWidth="1"/>
    <col min="11270" max="11270" width="47.44140625" style="3021" customWidth="1"/>
    <col min="11271" max="11271" width="13" style="3021" customWidth="1"/>
    <col min="11272" max="11273" width="8.88671875" style="3021"/>
    <col min="11274" max="11274" width="5.77734375" style="3021" customWidth="1"/>
    <col min="11275" max="11275" width="11.77734375" style="3021" customWidth="1"/>
    <col min="11276" max="11277" width="10.77734375" style="3021" customWidth="1"/>
    <col min="11278" max="11278" width="10" style="3021" customWidth="1"/>
    <col min="11279" max="11280" width="10.44140625" style="3021" bestFit="1" customWidth="1"/>
    <col min="11281" max="11281" width="10" style="3021" customWidth="1"/>
    <col min="11282" max="11282" width="10.109375" style="3021" customWidth="1"/>
    <col min="11283" max="11283" width="10" style="3021" customWidth="1"/>
    <col min="11284" max="11284" width="26.109375" style="3021" customWidth="1"/>
    <col min="11285" max="11520" width="8.88671875" style="3021"/>
    <col min="11521" max="11521" width="9.44140625" style="3021" customWidth="1"/>
    <col min="11522" max="11522" width="8.88671875" style="3021"/>
    <col min="11523" max="11525" width="12.88671875" style="3021" customWidth="1"/>
    <col min="11526" max="11526" width="47.44140625" style="3021" customWidth="1"/>
    <col min="11527" max="11527" width="13" style="3021" customWidth="1"/>
    <col min="11528" max="11529" width="8.88671875" style="3021"/>
    <col min="11530" max="11530" width="5.77734375" style="3021" customWidth="1"/>
    <col min="11531" max="11531" width="11.77734375" style="3021" customWidth="1"/>
    <col min="11532" max="11533" width="10.77734375" style="3021" customWidth="1"/>
    <col min="11534" max="11534" width="10" style="3021" customWidth="1"/>
    <col min="11535" max="11536" width="10.44140625" style="3021" bestFit="1" customWidth="1"/>
    <col min="11537" max="11537" width="10" style="3021" customWidth="1"/>
    <col min="11538" max="11538" width="10.109375" style="3021" customWidth="1"/>
    <col min="11539" max="11539" width="10" style="3021" customWidth="1"/>
    <col min="11540" max="11540" width="26.109375" style="3021" customWidth="1"/>
    <col min="11541" max="11776" width="8.88671875" style="3021"/>
    <col min="11777" max="11777" width="9.44140625" style="3021" customWidth="1"/>
    <col min="11778" max="11778" width="8.88671875" style="3021"/>
    <col min="11779" max="11781" width="12.88671875" style="3021" customWidth="1"/>
    <col min="11782" max="11782" width="47.44140625" style="3021" customWidth="1"/>
    <col min="11783" max="11783" width="13" style="3021" customWidth="1"/>
    <col min="11784" max="11785" width="8.88671875" style="3021"/>
    <col min="11786" max="11786" width="5.77734375" style="3021" customWidth="1"/>
    <col min="11787" max="11787" width="11.77734375" style="3021" customWidth="1"/>
    <col min="11788" max="11789" width="10.77734375" style="3021" customWidth="1"/>
    <col min="11790" max="11790" width="10" style="3021" customWidth="1"/>
    <col min="11791" max="11792" width="10.44140625" style="3021" bestFit="1" customWidth="1"/>
    <col min="11793" max="11793" width="10" style="3021" customWidth="1"/>
    <col min="11794" max="11794" width="10.109375" style="3021" customWidth="1"/>
    <col min="11795" max="11795" width="10" style="3021" customWidth="1"/>
    <col min="11796" max="11796" width="26.109375" style="3021" customWidth="1"/>
    <col min="11797" max="12032" width="8.88671875" style="3021"/>
    <col min="12033" max="12033" width="9.44140625" style="3021" customWidth="1"/>
    <col min="12034" max="12034" width="8.88671875" style="3021"/>
    <col min="12035" max="12037" width="12.88671875" style="3021" customWidth="1"/>
    <col min="12038" max="12038" width="47.44140625" style="3021" customWidth="1"/>
    <col min="12039" max="12039" width="13" style="3021" customWidth="1"/>
    <col min="12040" max="12041" width="8.88671875" style="3021"/>
    <col min="12042" max="12042" width="5.77734375" style="3021" customWidth="1"/>
    <col min="12043" max="12043" width="11.77734375" style="3021" customWidth="1"/>
    <col min="12044" max="12045" width="10.77734375" style="3021" customWidth="1"/>
    <col min="12046" max="12046" width="10" style="3021" customWidth="1"/>
    <col min="12047" max="12048" width="10.44140625" style="3021" bestFit="1" customWidth="1"/>
    <col min="12049" max="12049" width="10" style="3021" customWidth="1"/>
    <col min="12050" max="12050" width="10.109375" style="3021" customWidth="1"/>
    <col min="12051" max="12051" width="10" style="3021" customWidth="1"/>
    <col min="12052" max="12052" width="26.109375" style="3021" customWidth="1"/>
    <col min="12053" max="12288" width="8.88671875" style="3021"/>
    <col min="12289" max="12289" width="9.44140625" style="3021" customWidth="1"/>
    <col min="12290" max="12290" width="8.88671875" style="3021"/>
    <col min="12291" max="12293" width="12.88671875" style="3021" customWidth="1"/>
    <col min="12294" max="12294" width="47.44140625" style="3021" customWidth="1"/>
    <col min="12295" max="12295" width="13" style="3021" customWidth="1"/>
    <col min="12296" max="12297" width="8.88671875" style="3021"/>
    <col min="12298" max="12298" width="5.77734375" style="3021" customWidth="1"/>
    <col min="12299" max="12299" width="11.77734375" style="3021" customWidth="1"/>
    <col min="12300" max="12301" width="10.77734375" style="3021" customWidth="1"/>
    <col min="12302" max="12302" width="10" style="3021" customWidth="1"/>
    <col min="12303" max="12304" width="10.44140625" style="3021" bestFit="1" customWidth="1"/>
    <col min="12305" max="12305" width="10" style="3021" customWidth="1"/>
    <col min="12306" max="12306" width="10.109375" style="3021" customWidth="1"/>
    <col min="12307" max="12307" width="10" style="3021" customWidth="1"/>
    <col min="12308" max="12308" width="26.109375" style="3021" customWidth="1"/>
    <col min="12309" max="12544" width="8.88671875" style="3021"/>
    <col min="12545" max="12545" width="9.44140625" style="3021" customWidth="1"/>
    <col min="12546" max="12546" width="8.88671875" style="3021"/>
    <col min="12547" max="12549" width="12.88671875" style="3021" customWidth="1"/>
    <col min="12550" max="12550" width="47.44140625" style="3021" customWidth="1"/>
    <col min="12551" max="12551" width="13" style="3021" customWidth="1"/>
    <col min="12552" max="12553" width="8.88671875" style="3021"/>
    <col min="12554" max="12554" width="5.77734375" style="3021" customWidth="1"/>
    <col min="12555" max="12555" width="11.77734375" style="3021" customWidth="1"/>
    <col min="12556" max="12557" width="10.77734375" style="3021" customWidth="1"/>
    <col min="12558" max="12558" width="10" style="3021" customWidth="1"/>
    <col min="12559" max="12560" width="10.44140625" style="3021" bestFit="1" customWidth="1"/>
    <col min="12561" max="12561" width="10" style="3021" customWidth="1"/>
    <col min="12562" max="12562" width="10.109375" style="3021" customWidth="1"/>
    <col min="12563" max="12563" width="10" style="3021" customWidth="1"/>
    <col min="12564" max="12564" width="26.109375" style="3021" customWidth="1"/>
    <col min="12565" max="12800" width="8.88671875" style="3021"/>
    <col min="12801" max="12801" width="9.44140625" style="3021" customWidth="1"/>
    <col min="12802" max="12802" width="8.88671875" style="3021"/>
    <col min="12803" max="12805" width="12.88671875" style="3021" customWidth="1"/>
    <col min="12806" max="12806" width="47.44140625" style="3021" customWidth="1"/>
    <col min="12807" max="12807" width="13" style="3021" customWidth="1"/>
    <col min="12808" max="12809" width="8.88671875" style="3021"/>
    <col min="12810" max="12810" width="5.77734375" style="3021" customWidth="1"/>
    <col min="12811" max="12811" width="11.77734375" style="3021" customWidth="1"/>
    <col min="12812" max="12813" width="10.77734375" style="3021" customWidth="1"/>
    <col min="12814" max="12814" width="10" style="3021" customWidth="1"/>
    <col min="12815" max="12816" width="10.44140625" style="3021" bestFit="1" customWidth="1"/>
    <col min="12817" max="12817" width="10" style="3021" customWidth="1"/>
    <col min="12818" max="12818" width="10.109375" style="3021" customWidth="1"/>
    <col min="12819" max="12819" width="10" style="3021" customWidth="1"/>
    <col min="12820" max="12820" width="26.109375" style="3021" customWidth="1"/>
    <col min="12821" max="13056" width="8.88671875" style="3021"/>
    <col min="13057" max="13057" width="9.44140625" style="3021" customWidth="1"/>
    <col min="13058" max="13058" width="8.88671875" style="3021"/>
    <col min="13059" max="13061" width="12.88671875" style="3021" customWidth="1"/>
    <col min="13062" max="13062" width="47.44140625" style="3021" customWidth="1"/>
    <col min="13063" max="13063" width="13" style="3021" customWidth="1"/>
    <col min="13064" max="13065" width="8.88671875" style="3021"/>
    <col min="13066" max="13066" width="5.77734375" style="3021" customWidth="1"/>
    <col min="13067" max="13067" width="11.77734375" style="3021" customWidth="1"/>
    <col min="13068" max="13069" width="10.77734375" style="3021" customWidth="1"/>
    <col min="13070" max="13070" width="10" style="3021" customWidth="1"/>
    <col min="13071" max="13072" width="10.44140625" style="3021" bestFit="1" customWidth="1"/>
    <col min="13073" max="13073" width="10" style="3021" customWidth="1"/>
    <col min="13074" max="13074" width="10.109375" style="3021" customWidth="1"/>
    <col min="13075" max="13075" width="10" style="3021" customWidth="1"/>
    <col min="13076" max="13076" width="26.109375" style="3021" customWidth="1"/>
    <col min="13077" max="13312" width="8.88671875" style="3021"/>
    <col min="13313" max="13313" width="9.44140625" style="3021" customWidth="1"/>
    <col min="13314" max="13314" width="8.88671875" style="3021"/>
    <col min="13315" max="13317" width="12.88671875" style="3021" customWidth="1"/>
    <col min="13318" max="13318" width="47.44140625" style="3021" customWidth="1"/>
    <col min="13319" max="13319" width="13" style="3021" customWidth="1"/>
    <col min="13320" max="13321" width="8.88671875" style="3021"/>
    <col min="13322" max="13322" width="5.77734375" style="3021" customWidth="1"/>
    <col min="13323" max="13323" width="11.77734375" style="3021" customWidth="1"/>
    <col min="13324" max="13325" width="10.77734375" style="3021" customWidth="1"/>
    <col min="13326" max="13326" width="10" style="3021" customWidth="1"/>
    <col min="13327" max="13328" width="10.44140625" style="3021" bestFit="1" customWidth="1"/>
    <col min="13329" max="13329" width="10" style="3021" customWidth="1"/>
    <col min="13330" max="13330" width="10.109375" style="3021" customWidth="1"/>
    <col min="13331" max="13331" width="10" style="3021" customWidth="1"/>
    <col min="13332" max="13332" width="26.109375" style="3021" customWidth="1"/>
    <col min="13333" max="13568" width="8.88671875" style="3021"/>
    <col min="13569" max="13569" width="9.44140625" style="3021" customWidth="1"/>
    <col min="13570" max="13570" width="8.88671875" style="3021"/>
    <col min="13571" max="13573" width="12.88671875" style="3021" customWidth="1"/>
    <col min="13574" max="13574" width="47.44140625" style="3021" customWidth="1"/>
    <col min="13575" max="13575" width="13" style="3021" customWidth="1"/>
    <col min="13576" max="13577" width="8.88671875" style="3021"/>
    <col min="13578" max="13578" width="5.77734375" style="3021" customWidth="1"/>
    <col min="13579" max="13579" width="11.77734375" style="3021" customWidth="1"/>
    <col min="13580" max="13581" width="10.77734375" style="3021" customWidth="1"/>
    <col min="13582" max="13582" width="10" style="3021" customWidth="1"/>
    <col min="13583" max="13584" width="10.44140625" style="3021" bestFit="1" customWidth="1"/>
    <col min="13585" max="13585" width="10" style="3021" customWidth="1"/>
    <col min="13586" max="13586" width="10.109375" style="3021" customWidth="1"/>
    <col min="13587" max="13587" width="10" style="3021" customWidth="1"/>
    <col min="13588" max="13588" width="26.109375" style="3021" customWidth="1"/>
    <col min="13589" max="13824" width="8.88671875" style="3021"/>
    <col min="13825" max="13825" width="9.44140625" style="3021" customWidth="1"/>
    <col min="13826" max="13826" width="8.88671875" style="3021"/>
    <col min="13827" max="13829" width="12.88671875" style="3021" customWidth="1"/>
    <col min="13830" max="13830" width="47.44140625" style="3021" customWidth="1"/>
    <col min="13831" max="13831" width="13" style="3021" customWidth="1"/>
    <col min="13832" max="13833" width="8.88671875" style="3021"/>
    <col min="13834" max="13834" width="5.77734375" style="3021" customWidth="1"/>
    <col min="13835" max="13835" width="11.77734375" style="3021" customWidth="1"/>
    <col min="13836" max="13837" width="10.77734375" style="3021" customWidth="1"/>
    <col min="13838" max="13838" width="10" style="3021" customWidth="1"/>
    <col min="13839" max="13840" width="10.44140625" style="3021" bestFit="1" customWidth="1"/>
    <col min="13841" max="13841" width="10" style="3021" customWidth="1"/>
    <col min="13842" max="13842" width="10.109375" style="3021" customWidth="1"/>
    <col min="13843" max="13843" width="10" style="3021" customWidth="1"/>
    <col min="13844" max="13844" width="26.109375" style="3021" customWidth="1"/>
    <col min="13845" max="14080" width="8.88671875" style="3021"/>
    <col min="14081" max="14081" width="9.44140625" style="3021" customWidth="1"/>
    <col min="14082" max="14082" width="8.88671875" style="3021"/>
    <col min="14083" max="14085" width="12.88671875" style="3021" customWidth="1"/>
    <col min="14086" max="14086" width="47.44140625" style="3021" customWidth="1"/>
    <col min="14087" max="14087" width="13" style="3021" customWidth="1"/>
    <col min="14088" max="14089" width="8.88671875" style="3021"/>
    <col min="14090" max="14090" width="5.77734375" style="3021" customWidth="1"/>
    <col min="14091" max="14091" width="11.77734375" style="3021" customWidth="1"/>
    <col min="14092" max="14093" width="10.77734375" style="3021" customWidth="1"/>
    <col min="14094" max="14094" width="10" style="3021" customWidth="1"/>
    <col min="14095" max="14096" width="10.44140625" style="3021" bestFit="1" customWidth="1"/>
    <col min="14097" max="14097" width="10" style="3021" customWidth="1"/>
    <col min="14098" max="14098" width="10.109375" style="3021" customWidth="1"/>
    <col min="14099" max="14099" width="10" style="3021" customWidth="1"/>
    <col min="14100" max="14100" width="26.109375" style="3021" customWidth="1"/>
    <col min="14101" max="14336" width="8.88671875" style="3021"/>
    <col min="14337" max="14337" width="9.44140625" style="3021" customWidth="1"/>
    <col min="14338" max="14338" width="8.88671875" style="3021"/>
    <col min="14339" max="14341" width="12.88671875" style="3021" customWidth="1"/>
    <col min="14342" max="14342" width="47.44140625" style="3021" customWidth="1"/>
    <col min="14343" max="14343" width="13" style="3021" customWidth="1"/>
    <col min="14344" max="14345" width="8.88671875" style="3021"/>
    <col min="14346" max="14346" width="5.77734375" style="3021" customWidth="1"/>
    <col min="14347" max="14347" width="11.77734375" style="3021" customWidth="1"/>
    <col min="14348" max="14349" width="10.77734375" style="3021" customWidth="1"/>
    <col min="14350" max="14350" width="10" style="3021" customWidth="1"/>
    <col min="14351" max="14352" width="10.44140625" style="3021" bestFit="1" customWidth="1"/>
    <col min="14353" max="14353" width="10" style="3021" customWidth="1"/>
    <col min="14354" max="14354" width="10.109375" style="3021" customWidth="1"/>
    <col min="14355" max="14355" width="10" style="3021" customWidth="1"/>
    <col min="14356" max="14356" width="26.109375" style="3021" customWidth="1"/>
    <col min="14357" max="14592" width="8.88671875" style="3021"/>
    <col min="14593" max="14593" width="9.44140625" style="3021" customWidth="1"/>
    <col min="14594" max="14594" width="8.88671875" style="3021"/>
    <col min="14595" max="14597" width="12.88671875" style="3021" customWidth="1"/>
    <col min="14598" max="14598" width="47.44140625" style="3021" customWidth="1"/>
    <col min="14599" max="14599" width="13" style="3021" customWidth="1"/>
    <col min="14600" max="14601" width="8.88671875" style="3021"/>
    <col min="14602" max="14602" width="5.77734375" style="3021" customWidth="1"/>
    <col min="14603" max="14603" width="11.77734375" style="3021" customWidth="1"/>
    <col min="14604" max="14605" width="10.77734375" style="3021" customWidth="1"/>
    <col min="14606" max="14606" width="10" style="3021" customWidth="1"/>
    <col min="14607" max="14608" width="10.44140625" style="3021" bestFit="1" customWidth="1"/>
    <col min="14609" max="14609" width="10" style="3021" customWidth="1"/>
    <col min="14610" max="14610" width="10.109375" style="3021" customWidth="1"/>
    <col min="14611" max="14611" width="10" style="3021" customWidth="1"/>
    <col min="14612" max="14612" width="26.109375" style="3021" customWidth="1"/>
    <col min="14613" max="14848" width="8.88671875" style="3021"/>
    <col min="14849" max="14849" width="9.44140625" style="3021" customWidth="1"/>
    <col min="14850" max="14850" width="8.88671875" style="3021"/>
    <col min="14851" max="14853" width="12.88671875" style="3021" customWidth="1"/>
    <col min="14854" max="14854" width="47.44140625" style="3021" customWidth="1"/>
    <col min="14855" max="14855" width="13" style="3021" customWidth="1"/>
    <col min="14856" max="14857" width="8.88671875" style="3021"/>
    <col min="14858" max="14858" width="5.77734375" style="3021" customWidth="1"/>
    <col min="14859" max="14859" width="11.77734375" style="3021" customWidth="1"/>
    <col min="14860" max="14861" width="10.77734375" style="3021" customWidth="1"/>
    <col min="14862" max="14862" width="10" style="3021" customWidth="1"/>
    <col min="14863" max="14864" width="10.44140625" style="3021" bestFit="1" customWidth="1"/>
    <col min="14865" max="14865" width="10" style="3021" customWidth="1"/>
    <col min="14866" max="14866" width="10.109375" style="3021" customWidth="1"/>
    <col min="14867" max="14867" width="10" style="3021" customWidth="1"/>
    <col min="14868" max="14868" width="26.109375" style="3021" customWidth="1"/>
    <col min="14869" max="15104" width="8.88671875" style="3021"/>
    <col min="15105" max="15105" width="9.44140625" style="3021" customWidth="1"/>
    <col min="15106" max="15106" width="8.88671875" style="3021"/>
    <col min="15107" max="15109" width="12.88671875" style="3021" customWidth="1"/>
    <col min="15110" max="15110" width="47.44140625" style="3021" customWidth="1"/>
    <col min="15111" max="15111" width="13" style="3021" customWidth="1"/>
    <col min="15112" max="15113" width="8.88671875" style="3021"/>
    <col min="15114" max="15114" width="5.77734375" style="3021" customWidth="1"/>
    <col min="15115" max="15115" width="11.77734375" style="3021" customWidth="1"/>
    <col min="15116" max="15117" width="10.77734375" style="3021" customWidth="1"/>
    <col min="15118" max="15118" width="10" style="3021" customWidth="1"/>
    <col min="15119" max="15120" width="10.44140625" style="3021" bestFit="1" customWidth="1"/>
    <col min="15121" max="15121" width="10" style="3021" customWidth="1"/>
    <col min="15122" max="15122" width="10.109375" style="3021" customWidth="1"/>
    <col min="15123" max="15123" width="10" style="3021" customWidth="1"/>
    <col min="15124" max="15124" width="26.109375" style="3021" customWidth="1"/>
    <col min="15125" max="15360" width="8.88671875" style="3021"/>
    <col min="15361" max="15361" width="9.44140625" style="3021" customWidth="1"/>
    <col min="15362" max="15362" width="8.88671875" style="3021"/>
    <col min="15363" max="15365" width="12.88671875" style="3021" customWidth="1"/>
    <col min="15366" max="15366" width="47.44140625" style="3021" customWidth="1"/>
    <col min="15367" max="15367" width="13" style="3021" customWidth="1"/>
    <col min="15368" max="15369" width="8.88671875" style="3021"/>
    <col min="15370" max="15370" width="5.77734375" style="3021" customWidth="1"/>
    <col min="15371" max="15371" width="11.77734375" style="3021" customWidth="1"/>
    <col min="15372" max="15373" width="10.77734375" style="3021" customWidth="1"/>
    <col min="15374" max="15374" width="10" style="3021" customWidth="1"/>
    <col min="15375" max="15376" width="10.44140625" style="3021" bestFit="1" customWidth="1"/>
    <col min="15377" max="15377" width="10" style="3021" customWidth="1"/>
    <col min="15378" max="15378" width="10.109375" style="3021" customWidth="1"/>
    <col min="15379" max="15379" width="10" style="3021" customWidth="1"/>
    <col min="15380" max="15380" width="26.109375" style="3021" customWidth="1"/>
    <col min="15381" max="15616" width="8.88671875" style="3021"/>
    <col min="15617" max="15617" width="9.44140625" style="3021" customWidth="1"/>
    <col min="15618" max="15618" width="8.88671875" style="3021"/>
    <col min="15619" max="15621" width="12.88671875" style="3021" customWidth="1"/>
    <col min="15622" max="15622" width="47.44140625" style="3021" customWidth="1"/>
    <col min="15623" max="15623" width="13" style="3021" customWidth="1"/>
    <col min="15624" max="15625" width="8.88671875" style="3021"/>
    <col min="15626" max="15626" width="5.77734375" style="3021" customWidth="1"/>
    <col min="15627" max="15627" width="11.77734375" style="3021" customWidth="1"/>
    <col min="15628" max="15629" width="10.77734375" style="3021" customWidth="1"/>
    <col min="15630" max="15630" width="10" style="3021" customWidth="1"/>
    <col min="15631" max="15632" width="10.44140625" style="3021" bestFit="1" customWidth="1"/>
    <col min="15633" max="15633" width="10" style="3021" customWidth="1"/>
    <col min="15634" max="15634" width="10.109375" style="3021" customWidth="1"/>
    <col min="15635" max="15635" width="10" style="3021" customWidth="1"/>
    <col min="15636" max="15636" width="26.109375" style="3021" customWidth="1"/>
    <col min="15637" max="15872" width="8.88671875" style="3021"/>
    <col min="15873" max="15873" width="9.44140625" style="3021" customWidth="1"/>
    <col min="15874" max="15874" width="8.88671875" style="3021"/>
    <col min="15875" max="15877" width="12.88671875" style="3021" customWidth="1"/>
    <col min="15878" max="15878" width="47.44140625" style="3021" customWidth="1"/>
    <col min="15879" max="15879" width="13" style="3021" customWidth="1"/>
    <col min="15880" max="15881" width="8.88671875" style="3021"/>
    <col min="15882" max="15882" width="5.77734375" style="3021" customWidth="1"/>
    <col min="15883" max="15883" width="11.77734375" style="3021" customWidth="1"/>
    <col min="15884" max="15885" width="10.77734375" style="3021" customWidth="1"/>
    <col min="15886" max="15886" width="10" style="3021" customWidth="1"/>
    <col min="15887" max="15888" width="10.44140625" style="3021" bestFit="1" customWidth="1"/>
    <col min="15889" max="15889" width="10" style="3021" customWidth="1"/>
    <col min="15890" max="15890" width="10.109375" style="3021" customWidth="1"/>
    <col min="15891" max="15891" width="10" style="3021" customWidth="1"/>
    <col min="15892" max="15892" width="26.109375" style="3021" customWidth="1"/>
    <col min="15893" max="16128" width="8.88671875" style="3021"/>
    <col min="16129" max="16129" width="9.44140625" style="3021" customWidth="1"/>
    <col min="16130" max="16130" width="8.88671875" style="3021"/>
    <col min="16131" max="16133" width="12.88671875" style="3021" customWidth="1"/>
    <col min="16134" max="16134" width="47.44140625" style="3021" customWidth="1"/>
    <col min="16135" max="16135" width="13" style="3021" customWidth="1"/>
    <col min="16136" max="16137" width="8.88671875" style="3021"/>
    <col min="16138" max="16138" width="5.77734375" style="3021" customWidth="1"/>
    <col min="16139" max="16139" width="11.77734375" style="3021" customWidth="1"/>
    <col min="16140" max="16141" width="10.77734375" style="3021" customWidth="1"/>
    <col min="16142" max="16142" width="10" style="3021" customWidth="1"/>
    <col min="16143" max="16144" width="10.44140625" style="3021" bestFit="1" customWidth="1"/>
    <col min="16145" max="16145" width="10" style="3021" customWidth="1"/>
    <col min="16146" max="16146" width="10.109375" style="3021" customWidth="1"/>
    <col min="16147" max="16147" width="10" style="3021" customWidth="1"/>
    <col min="16148" max="16148" width="26.109375" style="3021" customWidth="1"/>
    <col min="16149" max="16384" width="8.88671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2" customHeight="1">
      <c r="A2" s="1519" t="s">
        <v>2817</v>
      </c>
      <c r="B2" s="3022" t="e">
        <f>C40</f>
        <v>#DIV/0!</v>
      </c>
      <c r="C2" s="3023" t="s">
        <v>2818</v>
      </c>
      <c r="D2" s="3023"/>
      <c r="E2" s="3024"/>
      <c r="F2" s="3025"/>
      <c r="G2" s="3026"/>
      <c r="H2" s="3027"/>
      <c r="I2" s="3028"/>
      <c r="J2" s="3488" t="s">
        <v>2819</v>
      </c>
      <c r="K2" s="3489"/>
      <c r="L2" s="3029" t="s">
        <v>2820</v>
      </c>
      <c r="M2" s="3029" t="s">
        <v>2821</v>
      </c>
      <c r="N2" s="3029" t="s">
        <v>2822</v>
      </c>
      <c r="O2" s="3029" t="s">
        <v>2823</v>
      </c>
      <c r="P2" s="3029" t="s">
        <v>2824</v>
      </c>
      <c r="Q2" s="3030" t="s">
        <v>2825</v>
      </c>
      <c r="R2" s="3031" t="s">
        <v>2826</v>
      </c>
      <c r="S2" s="3020"/>
      <c r="T2" s="3020"/>
      <c r="U2" s="3020"/>
      <c r="V2" s="3028"/>
    </row>
    <row r="3" spans="1:22" s="3032" customFormat="1" ht="13.2" customHeight="1">
      <c r="A3" s="3033" t="s">
        <v>2827</v>
      </c>
      <c r="B3" s="3034" t="e">
        <f>ROUND(B2*10000/B4,0)</f>
        <v>#DIV/0!</v>
      </c>
      <c r="C3" s="3023" t="s">
        <v>2828</v>
      </c>
      <c r="D3" s="3023"/>
      <c r="E3" s="3024"/>
      <c r="F3" s="3025"/>
      <c r="G3" s="3026"/>
      <c r="H3" s="3027"/>
      <c r="I3" s="3028"/>
      <c r="J3" s="3490" t="s">
        <v>2829</v>
      </c>
      <c r="K3" s="3491"/>
      <c r="L3" s="3035"/>
      <c r="M3" s="3035"/>
      <c r="N3" s="3035"/>
      <c r="O3" s="3035"/>
      <c r="P3" s="3035"/>
      <c r="Q3" s="3036"/>
      <c r="R3" s="3037">
        <f>SUM(L3:Q3)</f>
        <v>0</v>
      </c>
      <c r="S3" s="3020"/>
      <c r="T3" s="3020"/>
      <c r="U3" s="3020"/>
      <c r="V3" s="3028"/>
    </row>
    <row r="4" spans="1:22" s="3032" customFormat="1" ht="13.2" customHeight="1">
      <c r="A4" s="3038" t="s">
        <v>2830</v>
      </c>
      <c r="B4" s="3039"/>
      <c r="C4" s="3023"/>
      <c r="D4" s="3023"/>
      <c r="E4" s="3024"/>
      <c r="F4" s="3025"/>
      <c r="G4" s="3026"/>
      <c r="H4" s="3027"/>
      <c r="I4" s="3028"/>
      <c r="J4" s="3490" t="s">
        <v>2831</v>
      </c>
      <c r="K4" s="3491"/>
      <c r="L4" s="3040"/>
      <c r="M4" s="3040"/>
      <c r="N4" s="3040"/>
      <c r="O4" s="3040"/>
      <c r="P4" s="3040"/>
      <c r="Q4" s="3041"/>
      <c r="R4" s="3042">
        <f>SUM(L4:Q4)</f>
        <v>0</v>
      </c>
      <c r="S4" s="3020"/>
      <c r="T4" s="3020"/>
      <c r="U4" s="3020"/>
      <c r="V4" s="3028"/>
    </row>
    <row r="5" spans="1:22" s="3032" customFormat="1" ht="13.2"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2" customHeight="1" thickBot="1">
      <c r="A6" s="3496" t="s">
        <v>2835</v>
      </c>
      <c r="B6" s="3497"/>
      <c r="C6" s="3498"/>
      <c r="D6" s="3049"/>
      <c r="E6" s="3050"/>
      <c r="F6" s="3051"/>
      <c r="G6" s="3052"/>
      <c r="H6" s="3027"/>
      <c r="I6" s="3028"/>
      <c r="J6" s="3482">
        <v>1</v>
      </c>
      <c r="K6" s="3483"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2" customHeight="1">
      <c r="A7" s="3055" t="s">
        <v>2845</v>
      </c>
      <c r="B7" s="3056"/>
      <c r="C7" s="3057"/>
      <c r="D7" s="3058">
        <f>SUM(D9,D10,D11,D17,0)</f>
        <v>0</v>
      </c>
      <c r="E7" s="3059" t="e">
        <f>E9+E10+E11+E17</f>
        <v>#DIV/0!</v>
      </c>
      <c r="F7" s="3060"/>
      <c r="G7" s="3061"/>
      <c r="H7" s="3027"/>
      <c r="I7" s="3028"/>
      <c r="J7" s="3482"/>
      <c r="K7" s="3484"/>
      <c r="L7" s="3062" t="s">
        <v>2846</v>
      </c>
      <c r="M7" s="3063"/>
      <c r="N7" s="3039"/>
      <c r="O7" s="3064"/>
      <c r="P7" s="3064"/>
      <c r="Q7" s="3065">
        <v>365</v>
      </c>
      <c r="R7" s="3066">
        <f>ROUND(M7*N7*O7*P7*Q7/10000,0)</f>
        <v>0</v>
      </c>
      <c r="S7" s="3020"/>
      <c r="T7" s="3020" t="s">
        <v>2847</v>
      </c>
      <c r="U7" s="3020"/>
      <c r="V7" s="3028"/>
    </row>
    <row r="8" spans="1:22" s="3032" customFormat="1" ht="13.2" customHeight="1">
      <c r="A8" s="3067" t="s">
        <v>2848</v>
      </c>
      <c r="B8" s="3499" t="s">
        <v>2849</v>
      </c>
      <c r="C8" s="3500"/>
      <c r="D8" s="3068" t="s">
        <v>2850</v>
      </c>
      <c r="E8" s="3069" t="s">
        <v>2851</v>
      </c>
      <c r="F8" s="3070" t="s">
        <v>2852</v>
      </c>
      <c r="G8" s="3071"/>
      <c r="H8" s="3027"/>
      <c r="I8" s="3028"/>
      <c r="J8" s="3482"/>
      <c r="K8" s="3484"/>
      <c r="L8" s="3062" t="s">
        <v>2853</v>
      </c>
      <c r="M8" s="3063"/>
      <c r="N8" s="3039"/>
      <c r="O8" s="3064"/>
      <c r="P8" s="3064"/>
      <c r="Q8" s="3065">
        <v>365</v>
      </c>
      <c r="R8" s="3066">
        <f t="shared" ref="R8:R13" si="0">ROUND(M8*N8*O8*P8*Q8/10000,0)</f>
        <v>0</v>
      </c>
      <c r="S8" s="3020"/>
      <c r="T8" s="3020" t="s">
        <v>2854</v>
      </c>
      <c r="U8" s="3020"/>
      <c r="V8" s="3028"/>
    </row>
    <row r="9" spans="1:22" s="3032" customFormat="1" ht="13.2" customHeight="1">
      <c r="A9" s="3067">
        <v>1</v>
      </c>
      <c r="B9" s="3499" t="s">
        <v>2855</v>
      </c>
      <c r="C9" s="3500"/>
      <c r="D9" s="3068">
        <f>ROUND(D6*E9,0)</f>
        <v>0</v>
      </c>
      <c r="E9" s="3072"/>
      <c r="F9" s="3073" t="s">
        <v>2856</v>
      </c>
      <c r="G9" s="3052"/>
      <c r="H9" s="3027"/>
      <c r="I9" s="3028"/>
      <c r="J9" s="3482"/>
      <c r="K9" s="3484"/>
      <c r="L9" s="3062" t="s">
        <v>2857</v>
      </c>
      <c r="M9" s="3063"/>
      <c r="N9" s="3039"/>
      <c r="O9" s="3064"/>
      <c r="P9" s="3064"/>
      <c r="Q9" s="3065">
        <v>365</v>
      </c>
      <c r="R9" s="3066">
        <f t="shared" si="0"/>
        <v>0</v>
      </c>
      <c r="S9" s="3020"/>
      <c r="T9" s="3020"/>
      <c r="U9" s="3020"/>
      <c r="V9" s="3028"/>
    </row>
    <row r="10" spans="1:22" s="3032" customFormat="1" ht="13.2" customHeight="1">
      <c r="A10" s="3067">
        <v>2</v>
      </c>
      <c r="B10" s="3499" t="s">
        <v>2858</v>
      </c>
      <c r="C10" s="3500"/>
      <c r="D10" s="3068">
        <f>ROUND(D6*E10,0)</f>
        <v>0</v>
      </c>
      <c r="E10" s="3072"/>
      <c r="F10" s="3073" t="s">
        <v>2859</v>
      </c>
      <c r="G10" s="3052"/>
      <c r="H10" s="3027"/>
      <c r="I10" s="3028"/>
      <c r="J10" s="3482"/>
      <c r="K10" s="3484"/>
      <c r="L10" s="3062" t="s">
        <v>2860</v>
      </c>
      <c r="M10" s="3063"/>
      <c r="N10" s="3039"/>
      <c r="O10" s="3064"/>
      <c r="P10" s="3064"/>
      <c r="Q10" s="3065">
        <v>365</v>
      </c>
      <c r="R10" s="3066">
        <f t="shared" si="0"/>
        <v>0</v>
      </c>
      <c r="S10" s="3020"/>
      <c r="T10" s="3020"/>
      <c r="U10" s="3020"/>
      <c r="V10" s="3028"/>
    </row>
    <row r="11" spans="1:22" s="3032" customFormat="1" ht="13.2" customHeight="1">
      <c r="A11" s="3067">
        <v>3</v>
      </c>
      <c r="B11" s="3499" t="s">
        <v>2861</v>
      </c>
      <c r="C11" s="3500"/>
      <c r="D11" s="3068">
        <f>D12+D14+D15+D16</f>
        <v>0</v>
      </c>
      <c r="E11" s="3074" t="e">
        <f>D11/D6</f>
        <v>#DIV/0!</v>
      </c>
      <c r="F11" s="3070"/>
      <c r="G11" s="3071"/>
      <c r="H11" s="3027"/>
      <c r="I11" s="3028"/>
      <c r="J11" s="3482"/>
      <c r="K11" s="3484"/>
      <c r="L11" s="3062" t="s">
        <v>2862</v>
      </c>
      <c r="M11" s="3063"/>
      <c r="N11" s="3039"/>
      <c r="O11" s="3064"/>
      <c r="P11" s="3064"/>
      <c r="Q11" s="3065">
        <v>365</v>
      </c>
      <c r="R11" s="3066">
        <f t="shared" si="0"/>
        <v>0</v>
      </c>
      <c r="S11" s="3020"/>
      <c r="T11" s="3020"/>
      <c r="U11" s="3020"/>
      <c r="V11" s="3028"/>
    </row>
    <row r="12" spans="1:22" s="3032" customFormat="1" ht="13.2" customHeight="1">
      <c r="A12" s="3075" t="s">
        <v>2863</v>
      </c>
      <c r="B12" s="3492" t="s">
        <v>2864</v>
      </c>
      <c r="C12" s="3493"/>
      <c r="D12" s="3076">
        <f>ROUND(D13*1.2%*(1-30%),0)</f>
        <v>0</v>
      </c>
      <c r="E12" s="3077">
        <v>1.2E-2</v>
      </c>
      <c r="F12" s="3070" t="s">
        <v>2865</v>
      </c>
      <c r="G12" s="3071"/>
      <c r="H12" s="3027"/>
      <c r="I12" s="3028"/>
      <c r="J12" s="3482"/>
      <c r="K12" s="3484"/>
      <c r="L12" s="3062" t="s">
        <v>2866</v>
      </c>
      <c r="M12" s="3063"/>
      <c r="N12" s="3039"/>
      <c r="O12" s="3064"/>
      <c r="P12" s="3064"/>
      <c r="Q12" s="3065">
        <v>365</v>
      </c>
      <c r="R12" s="3066">
        <f t="shared" si="0"/>
        <v>0</v>
      </c>
      <c r="S12" s="3020"/>
      <c r="T12" s="3020"/>
      <c r="U12" s="3020"/>
      <c r="V12" s="3028"/>
    </row>
    <row r="13" spans="1:22" s="3032" customFormat="1" ht="13.2" customHeight="1">
      <c r="A13" s="3075"/>
      <c r="B13" s="3078"/>
      <c r="C13" s="3079" t="s">
        <v>2867</v>
      </c>
      <c r="D13" s="3080"/>
      <c r="E13" s="3081"/>
      <c r="F13" s="3070"/>
      <c r="G13" s="3071"/>
      <c r="H13" s="3027"/>
      <c r="I13" s="3028"/>
      <c r="J13" s="3482"/>
      <c r="K13" s="3484"/>
      <c r="L13" s="3062" t="s">
        <v>2868</v>
      </c>
      <c r="M13" s="3063"/>
      <c r="N13" s="3039"/>
      <c r="O13" s="3064"/>
      <c r="P13" s="3064"/>
      <c r="Q13" s="3065">
        <v>365</v>
      </c>
      <c r="R13" s="3066">
        <f t="shared" si="0"/>
        <v>0</v>
      </c>
      <c r="S13" s="3020"/>
      <c r="T13" s="3020"/>
      <c r="U13" s="3020"/>
      <c r="V13" s="3028"/>
    </row>
    <row r="14" spans="1:22" s="3032" customFormat="1" ht="13.2" customHeight="1">
      <c r="A14" s="3075" t="s">
        <v>2869</v>
      </c>
      <c r="B14" s="3492" t="s">
        <v>2870</v>
      </c>
      <c r="C14" s="3493"/>
      <c r="D14" s="3076">
        <f>ROUND(E14*B5/10000,0)</f>
        <v>0</v>
      </c>
      <c r="E14" s="3065"/>
      <c r="F14" s="3070" t="s">
        <v>2871</v>
      </c>
      <c r="G14" s="3071"/>
      <c r="H14" s="3027"/>
      <c r="I14" s="3028"/>
      <c r="J14" s="3482"/>
      <c r="K14" s="3485"/>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2" customHeight="1">
      <c r="A15" s="3075" t="s">
        <v>2873</v>
      </c>
      <c r="B15" s="3492" t="s">
        <v>2874</v>
      </c>
      <c r="C15" s="3493"/>
      <c r="D15" s="3076">
        <f>ROUND(D6*E15,0)</f>
        <v>0</v>
      </c>
      <c r="E15" s="3077">
        <v>5.5E-2</v>
      </c>
      <c r="F15" s="3070" t="s">
        <v>2875</v>
      </c>
      <c r="G15" s="3052"/>
      <c r="H15" s="3027"/>
      <c r="I15" s="3028"/>
      <c r="J15" s="3482">
        <v>2</v>
      </c>
      <c r="K15" s="3483"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2" customHeight="1">
      <c r="A16" s="3075" t="s">
        <v>2882</v>
      </c>
      <c r="B16" s="3492" t="s">
        <v>2883</v>
      </c>
      <c r="C16" s="3493"/>
      <c r="D16" s="3087">
        <f>D6*E16</f>
        <v>0</v>
      </c>
      <c r="E16" s="3088"/>
      <c r="F16" s="3073" t="s">
        <v>2884</v>
      </c>
      <c r="G16" s="3052"/>
      <c r="H16" s="3027"/>
      <c r="I16" s="3028"/>
      <c r="J16" s="3482"/>
      <c r="K16" s="3484"/>
      <c r="L16" s="3062" t="s">
        <v>2885</v>
      </c>
      <c r="M16" s="3063"/>
      <c r="N16" s="3063"/>
      <c r="O16" s="3064"/>
      <c r="P16" s="3065">
        <v>365</v>
      </c>
      <c r="Q16" s="3039"/>
      <c r="R16" s="3086">
        <f>ROUND(M16*N16*O16*P16/10000,0)</f>
        <v>0</v>
      </c>
      <c r="S16" s="3020"/>
      <c r="T16" s="3020"/>
      <c r="U16" s="3020"/>
      <c r="V16" s="3028"/>
    </row>
    <row r="17" spans="1:22" s="3032" customFormat="1" ht="13.2" customHeight="1" thickBot="1">
      <c r="A17" s="3089">
        <v>4</v>
      </c>
      <c r="B17" s="3494" t="s">
        <v>2886</v>
      </c>
      <c r="C17" s="3495"/>
      <c r="D17" s="3090">
        <f>ROUND(D6*E17,0)</f>
        <v>0</v>
      </c>
      <c r="E17" s="3091"/>
      <c r="F17" s="3092" t="s">
        <v>2887</v>
      </c>
      <c r="G17" s="3052"/>
      <c r="H17" s="3027"/>
      <c r="I17" s="3028"/>
      <c r="J17" s="3482"/>
      <c r="K17" s="3484"/>
      <c r="L17" s="3062" t="s">
        <v>2888</v>
      </c>
      <c r="M17" s="3063"/>
      <c r="N17" s="3063"/>
      <c r="O17" s="3064"/>
      <c r="P17" s="3065">
        <v>365</v>
      </c>
      <c r="Q17" s="3039"/>
      <c r="R17" s="3086">
        <f>ROUND(M17*N17*O17*P17/10000,0)</f>
        <v>0</v>
      </c>
      <c r="S17" s="3020"/>
      <c r="T17" s="3020"/>
      <c r="U17" s="3020"/>
      <c r="V17" s="3028"/>
    </row>
    <row r="18" spans="1:22" s="3032" customFormat="1" ht="13.2" customHeight="1" thickBot="1">
      <c r="A18" s="3055" t="s">
        <v>2889</v>
      </c>
      <c r="B18" s="3056"/>
      <c r="C18" s="3056"/>
      <c r="D18" s="3093">
        <f>ROUND(D6*E18,0)</f>
        <v>0</v>
      </c>
      <c r="E18" s="3094"/>
      <c r="F18" s="3095" t="s">
        <v>2890</v>
      </c>
      <c r="G18" s="3052"/>
      <c r="H18" s="3027"/>
      <c r="I18" s="3028"/>
      <c r="J18" s="3482"/>
      <c r="K18" s="3484"/>
      <c r="L18" s="3062" t="s">
        <v>2891</v>
      </c>
      <c r="M18" s="3063"/>
      <c r="N18" s="3063"/>
      <c r="O18" s="3064"/>
      <c r="P18" s="3065">
        <v>365</v>
      </c>
      <c r="Q18" s="3039"/>
      <c r="R18" s="3086">
        <f>ROUND(M18*N18*O18*P18/10000,0)</f>
        <v>0</v>
      </c>
      <c r="S18" s="3020"/>
      <c r="T18" s="3020"/>
      <c r="U18" s="3020"/>
      <c r="V18" s="3028"/>
    </row>
    <row r="19" spans="1:22" s="3032" customFormat="1" ht="13.2" customHeight="1" thickBot="1">
      <c r="A19" s="3096" t="s">
        <v>2892</v>
      </c>
      <c r="B19" s="3050"/>
      <c r="C19" s="3050"/>
      <c r="D19" s="3050"/>
      <c r="E19" s="3050"/>
      <c r="F19" s="3051"/>
      <c r="G19" s="3071"/>
      <c r="H19" s="3027"/>
      <c r="I19" s="3028"/>
      <c r="J19" s="3482"/>
      <c r="K19" s="3485"/>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2" customHeight="1">
      <c r="A20" s="3055"/>
      <c r="B20" s="3056"/>
      <c r="C20" s="3056"/>
      <c r="D20" s="3056"/>
      <c r="E20" s="3056"/>
      <c r="F20" s="3099"/>
      <c r="G20" s="3071"/>
      <c r="H20" s="3027"/>
      <c r="I20" s="3028"/>
      <c r="J20" s="3482">
        <v>3</v>
      </c>
      <c r="K20" s="3483"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2" customHeight="1">
      <c r="A21" s="3055"/>
      <c r="B21" s="3056"/>
      <c r="C21" s="3102" t="s">
        <v>2901</v>
      </c>
      <c r="D21" s="3103" t="s">
        <v>2902</v>
      </c>
      <c r="E21" s="3104" t="s">
        <v>2903</v>
      </c>
      <c r="F21" s="3099"/>
      <c r="G21" s="3071"/>
      <c r="H21" s="3027"/>
      <c r="I21" s="3028"/>
      <c r="J21" s="3482"/>
      <c r="K21" s="3484"/>
      <c r="L21" s="3062" t="s">
        <v>2904</v>
      </c>
      <c r="M21" s="3063"/>
      <c r="N21" s="3063"/>
      <c r="O21" s="3064"/>
      <c r="P21" s="3065">
        <v>365</v>
      </c>
      <c r="Q21" s="3039"/>
      <c r="R21" s="3105">
        <f>ROUND(M21*N21*O21*P21/10000,0)</f>
        <v>0</v>
      </c>
      <c r="S21" s="3101"/>
      <c r="T21" s="3101"/>
      <c r="U21" s="3101"/>
      <c r="V21" s="3028"/>
    </row>
    <row r="22" spans="1:22" s="3032" customFormat="1" ht="13.2" customHeight="1">
      <c r="A22" s="3055"/>
      <c r="B22" s="3056"/>
      <c r="C22" s="3106" t="s">
        <v>2905</v>
      </c>
      <c r="D22" s="3107" t="s">
        <v>2906</v>
      </c>
      <c r="E22" s="3108" t="s">
        <v>2907</v>
      </c>
      <c r="F22" s="3099"/>
      <c r="G22" s="3109"/>
      <c r="H22" s="3027"/>
      <c r="I22" s="3028"/>
      <c r="J22" s="3482"/>
      <c r="K22" s="3484"/>
      <c r="L22" s="3062" t="s">
        <v>2908</v>
      </c>
      <c r="M22" s="3063"/>
      <c r="N22" s="3063"/>
      <c r="O22" s="3064"/>
      <c r="P22" s="3065">
        <v>365</v>
      </c>
      <c r="Q22" s="3039"/>
      <c r="R22" s="3105">
        <f>ROUND(M22*N22*O22*P22/10000,0)</f>
        <v>0</v>
      </c>
      <c r="S22" s="3101"/>
      <c r="T22" s="3101"/>
      <c r="U22" s="3101"/>
      <c r="V22" s="3028"/>
    </row>
    <row r="23" spans="1:22" s="3032" customFormat="1" ht="13.2" customHeight="1">
      <c r="A23" s="3110">
        <v>1</v>
      </c>
      <c r="B23" s="3111" t="s">
        <v>2909</v>
      </c>
      <c r="C23" s="3112">
        <f>D6</f>
        <v>0</v>
      </c>
      <c r="D23" s="3113">
        <f>C23*(1+D24)</f>
        <v>0</v>
      </c>
      <c r="E23" s="3114">
        <f>D23*(1+E24)</f>
        <v>0</v>
      </c>
      <c r="F23" s="3115"/>
      <c r="G23" s="3116"/>
      <c r="H23" s="3027"/>
      <c r="I23" s="3028"/>
      <c r="J23" s="3482"/>
      <c r="K23" s="3484"/>
      <c r="L23" s="3062" t="s">
        <v>2910</v>
      </c>
      <c r="M23" s="3063"/>
      <c r="N23" s="3063"/>
      <c r="O23" s="3064"/>
      <c r="P23" s="3065">
        <v>365</v>
      </c>
      <c r="Q23" s="3039"/>
      <c r="R23" s="3105">
        <f>ROUND(M23*N23*O23*P23/10000,0)</f>
        <v>0</v>
      </c>
      <c r="S23" s="3020"/>
      <c r="T23" s="3020"/>
      <c r="U23" s="3020"/>
      <c r="V23" s="3028"/>
    </row>
    <row r="24" spans="1:22" s="3032" customFormat="1" ht="13.2" customHeight="1">
      <c r="A24" s="3117"/>
      <c r="B24" s="3118" t="s">
        <v>2911</v>
      </c>
      <c r="C24" s="3119"/>
      <c r="D24" s="3120"/>
      <c r="E24" s="3121"/>
      <c r="F24" s="3122"/>
      <c r="G24" s="3116"/>
      <c r="H24" s="3027"/>
      <c r="I24" s="3028"/>
      <c r="J24" s="3482"/>
      <c r="K24" s="3485"/>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2"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2" customHeight="1">
      <c r="A26" s="3110">
        <v>2</v>
      </c>
      <c r="B26" s="3111" t="s">
        <v>2913</v>
      </c>
      <c r="C26" s="3112">
        <f>D7</f>
        <v>0</v>
      </c>
      <c r="D26" s="3113">
        <f>D23*D27</f>
        <v>0</v>
      </c>
      <c r="E26" s="3114">
        <f>E23*E27</f>
        <v>0</v>
      </c>
      <c r="F26" s="3115"/>
      <c r="G26" s="3116"/>
      <c r="H26" s="3027"/>
      <c r="I26" s="3028"/>
      <c r="J26" s="3486">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2" customHeight="1">
      <c r="A27" s="3117"/>
      <c r="B27" s="3118" t="s">
        <v>2919</v>
      </c>
      <c r="C27" s="3136" t="e">
        <f>E7</f>
        <v>#DIV/0!</v>
      </c>
      <c r="D27" s="3120"/>
      <c r="E27" s="3121"/>
      <c r="F27" s="3122"/>
      <c r="G27" s="3116"/>
      <c r="H27" s="3137"/>
      <c r="I27" s="3128"/>
      <c r="J27" s="3487"/>
      <c r="K27" s="3138"/>
      <c r="L27" s="3139"/>
      <c r="M27" s="3140"/>
      <c r="N27" s="3141"/>
      <c r="O27" s="3141"/>
      <c r="P27" s="3141"/>
      <c r="Q27" s="3142"/>
      <c r="R27" s="3098">
        <f>ROUND(O27*N27*P27*(1-Q27)/10000,0)</f>
        <v>0</v>
      </c>
      <c r="S27" s="3020"/>
      <c r="T27" s="3020"/>
      <c r="U27" s="3020"/>
      <c r="V27" s="3028"/>
    </row>
    <row r="28" spans="1:22" s="3129" customFormat="1" ht="13.2"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2"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2"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2"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2" customHeight="1">
      <c r="A32" s="3110">
        <v>4</v>
      </c>
      <c r="B32" s="3111" t="s">
        <v>2927</v>
      </c>
      <c r="C32" s="3112">
        <f>C23-C26-C29</f>
        <v>0</v>
      </c>
      <c r="D32" s="3113">
        <f>D23-D26-D29</f>
        <v>0</v>
      </c>
      <c r="E32" s="3114">
        <f>E23-E26-E29</f>
        <v>0</v>
      </c>
      <c r="F32" s="3115"/>
      <c r="G32" s="3109"/>
      <c r="H32" s="3027"/>
      <c r="I32" s="3028"/>
      <c r="J32" s="3488" t="s">
        <v>2819</v>
      </c>
      <c r="K32" s="3489"/>
      <c r="L32" s="3029" t="s">
        <v>2820</v>
      </c>
      <c r="M32" s="3029" t="s">
        <v>2821</v>
      </c>
      <c r="N32" s="3029" t="s">
        <v>2822</v>
      </c>
      <c r="O32" s="3029" t="s">
        <v>2823</v>
      </c>
      <c r="P32" s="3029" t="s">
        <v>2824</v>
      </c>
      <c r="Q32" s="3030" t="s">
        <v>2825</v>
      </c>
      <c r="R32" s="3152" t="s">
        <v>2826</v>
      </c>
      <c r="S32" s="3101"/>
      <c r="T32" s="3020"/>
      <c r="U32" s="3020"/>
      <c r="V32" s="3128"/>
    </row>
    <row r="33" spans="1:23" s="3032" customFormat="1" ht="13.2" customHeight="1">
      <c r="A33" s="3110"/>
      <c r="B33" s="3111"/>
      <c r="C33" s="3112"/>
      <c r="D33" s="3153"/>
      <c r="E33" s="3154"/>
      <c r="F33" s="3115"/>
      <c r="G33" s="3109"/>
      <c r="H33" s="3137"/>
      <c r="I33" s="3128"/>
      <c r="J33" s="3490" t="s">
        <v>2829</v>
      </c>
      <c r="K33" s="3491"/>
      <c r="L33" s="3035"/>
      <c r="M33" s="3035"/>
      <c r="N33" s="3035"/>
      <c r="O33" s="3035"/>
      <c r="P33" s="3035"/>
      <c r="Q33" s="3036"/>
      <c r="R33" s="3155">
        <f>SUM(L33:Q33)</f>
        <v>0</v>
      </c>
      <c r="S33" s="3101"/>
      <c r="T33" s="3020"/>
      <c r="U33" s="3020"/>
      <c r="V33" s="3028"/>
    </row>
    <row r="34" spans="1:23" s="3032" customFormat="1" ht="13.2" customHeight="1">
      <c r="A34" s="3110">
        <v>5</v>
      </c>
      <c r="B34" s="3111" t="s">
        <v>2928</v>
      </c>
      <c r="C34" s="3156"/>
      <c r="D34" s="3157"/>
      <c r="E34" s="3158"/>
      <c r="F34" s="3115"/>
      <c r="G34" s="3109"/>
      <c r="H34" s="3137"/>
      <c r="I34" s="3128"/>
      <c r="J34" s="3490" t="s">
        <v>2831</v>
      </c>
      <c r="K34" s="3491"/>
      <c r="L34" s="3040"/>
      <c r="M34" s="3040"/>
      <c r="N34" s="3040"/>
      <c r="O34" s="3040"/>
      <c r="P34" s="3040"/>
      <c r="Q34" s="3041"/>
      <c r="R34" s="3159">
        <f>SUM(L34:Q34)</f>
        <v>0</v>
      </c>
      <c r="S34" s="3101"/>
      <c r="T34" s="3020"/>
      <c r="U34" s="3020" t="e">
        <f>ROUND(R35*10000/365/R33,1)</f>
        <v>#DIV/0!</v>
      </c>
      <c r="V34" s="3028"/>
    </row>
    <row r="35" spans="1:23" s="3032" customFormat="1" ht="13.2"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2" customHeight="1" thickBot="1">
      <c r="A36" s="3110">
        <v>7</v>
      </c>
      <c r="B36" s="3165" t="s">
        <v>2930</v>
      </c>
      <c r="C36" s="3166"/>
      <c r="D36" s="3167"/>
      <c r="E36" s="3168"/>
      <c r="F36" s="3169">
        <f>C36+D36+E36</f>
        <v>0</v>
      </c>
      <c r="G36" s="3109"/>
      <c r="H36" s="3027"/>
      <c r="I36" s="3028"/>
      <c r="J36" s="3482">
        <v>1</v>
      </c>
      <c r="K36" s="3483" t="s">
        <v>2931</v>
      </c>
      <c r="L36" s="3053"/>
      <c r="M36" s="3054"/>
      <c r="N36" s="3054"/>
      <c r="O36" s="3054"/>
      <c r="P36" s="3054"/>
      <c r="Q36" s="3054"/>
      <c r="R36" s="3037" t="s">
        <v>2843</v>
      </c>
      <c r="S36" s="3101"/>
      <c r="T36" s="3020" t="s">
        <v>2844</v>
      </c>
      <c r="U36" s="3020"/>
      <c r="V36" s="3028"/>
    </row>
    <row r="37" spans="1:23" s="3032" customFormat="1" ht="13.2" customHeight="1">
      <c r="A37" s="3110"/>
      <c r="B37" s="3111"/>
      <c r="C37" s="3111"/>
      <c r="D37" s="3111"/>
      <c r="E37" s="3111"/>
      <c r="F37" s="3115"/>
      <c r="G37" s="3109"/>
      <c r="H37" s="3027"/>
      <c r="I37" s="3028"/>
      <c r="J37" s="3482"/>
      <c r="K37" s="3484"/>
      <c r="L37" s="3062"/>
      <c r="M37" s="3063"/>
      <c r="N37" s="3039"/>
      <c r="O37" s="3064"/>
      <c r="P37" s="3064"/>
      <c r="Q37" s="3065"/>
      <c r="R37" s="3066"/>
      <c r="S37" s="3101"/>
      <c r="T37" s="3020" t="s">
        <v>2847</v>
      </c>
      <c r="U37" s="3020"/>
      <c r="V37" s="3028"/>
    </row>
    <row r="38" spans="1:23" s="3032" customFormat="1" ht="13.2" customHeight="1">
      <c r="A38" s="3110">
        <v>8</v>
      </c>
      <c r="B38" s="3111"/>
      <c r="C38" s="3068" t="e">
        <f>ROUND(C32*(1-((1+C35)/(1+C34))^C36)/(C34-C35),0)</f>
        <v>#DIV/0!</v>
      </c>
      <c r="D38" s="3068">
        <f>IF(D23=0,0,ROUND(D32*(1-((1+D35)/(1+D34))^D36)/(D34-D35),0))</f>
        <v>0</v>
      </c>
      <c r="E38" s="3068">
        <f>IF(E23=0,0,ROUND(E32*(1-((1+E35)/(1+E34))^E36)/(E34-E35),0))</f>
        <v>0</v>
      </c>
      <c r="F38" s="3115"/>
      <c r="G38" s="3109"/>
      <c r="H38" s="3027"/>
      <c r="I38" s="3028"/>
      <c r="J38" s="3482"/>
      <c r="K38" s="3484"/>
      <c r="L38" s="3062"/>
      <c r="M38" s="3063"/>
      <c r="N38" s="3039"/>
      <c r="O38" s="3064"/>
      <c r="P38" s="3064"/>
      <c r="Q38" s="3065"/>
      <c r="R38" s="3066"/>
      <c r="S38" s="3101"/>
      <c r="T38" s="3020" t="s">
        <v>2854</v>
      </c>
      <c r="U38" s="3020"/>
      <c r="V38" s="3028"/>
    </row>
    <row r="39" spans="1:23" s="3032" customFormat="1" ht="13.2" customHeight="1">
      <c r="A39" s="3110">
        <v>9</v>
      </c>
      <c r="B39" s="3111" t="s">
        <v>2932</v>
      </c>
      <c r="C39" s="3076" t="e">
        <f>C38</f>
        <v>#DIV/0!</v>
      </c>
      <c r="D39" s="3111">
        <f>D38/(1+D34)^C36</f>
        <v>0</v>
      </c>
      <c r="E39" s="3111">
        <f>E38/(1+E34)^(C36+D36)</f>
        <v>0</v>
      </c>
      <c r="F39" s="3115"/>
      <c r="G39" s="3170"/>
      <c r="H39" s="3027"/>
      <c r="I39" s="3028"/>
      <c r="J39" s="3482"/>
      <c r="K39" s="3484"/>
      <c r="L39" s="3062"/>
      <c r="M39" s="3063"/>
      <c r="N39" s="3039"/>
      <c r="O39" s="3064"/>
      <c r="P39" s="3064"/>
      <c r="Q39" s="3065"/>
      <c r="R39" s="3066"/>
      <c r="S39" s="3101"/>
      <c r="T39" s="3020"/>
      <c r="U39" s="3020"/>
      <c r="V39" s="3028"/>
    </row>
    <row r="40" spans="1:23" s="3032" customFormat="1" ht="13.2" customHeight="1">
      <c r="A40" s="3171">
        <v>10</v>
      </c>
      <c r="B40" s="3111" t="s">
        <v>2933</v>
      </c>
      <c r="C40" s="3172" t="e">
        <f>C39+D39+E39</f>
        <v>#DIV/0!</v>
      </c>
      <c r="D40" s="3173"/>
      <c r="E40" s="3173"/>
      <c r="F40" s="3174"/>
      <c r="G40" s="3109"/>
      <c r="H40" s="3027"/>
      <c r="I40" s="3028"/>
      <c r="J40" s="3482"/>
      <c r="K40" s="3485"/>
      <c r="L40" s="3082" t="s">
        <v>2872</v>
      </c>
      <c r="M40" s="3083"/>
      <c r="N40" s="3083"/>
      <c r="O40" s="3084"/>
      <c r="P40" s="3084"/>
      <c r="Q40" s="3085"/>
      <c r="R40" s="3031">
        <f>SUM(R37:R39)</f>
        <v>0</v>
      </c>
      <c r="S40" s="3101"/>
      <c r="T40" s="3020"/>
      <c r="U40" s="3020"/>
      <c r="V40" s="3028"/>
    </row>
    <row r="41" spans="1:23" s="3032" customFormat="1" ht="13.2"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2" customHeight="1">
      <c r="G42" s="3179"/>
      <c r="H42" s="3027"/>
      <c r="I42" s="3028"/>
      <c r="J42" s="3486">
        <v>3</v>
      </c>
      <c r="K42" s="3130" t="s">
        <v>2914</v>
      </c>
      <c r="L42" s="3131"/>
      <c r="M42" s="3132"/>
      <c r="N42" s="3133" t="s">
        <v>2915</v>
      </c>
      <c r="O42" s="3133" t="s">
        <v>2916</v>
      </c>
      <c r="P42" s="3134" t="s">
        <v>2917</v>
      </c>
      <c r="Q42" s="3134" t="s">
        <v>2918</v>
      </c>
      <c r="R42" s="3037" t="s">
        <v>2843</v>
      </c>
      <c r="S42" s="3135"/>
      <c r="T42" s="3135"/>
      <c r="U42" s="3020"/>
      <c r="V42" s="3028"/>
    </row>
    <row r="43" spans="1:23" ht="13.2" customHeight="1">
      <c r="A43" s="3032"/>
      <c r="B43" s="3032"/>
      <c r="C43" s="3032"/>
      <c r="D43" s="3032"/>
      <c r="E43" s="3032"/>
      <c r="F43" s="3032"/>
      <c r="I43" s="3015"/>
      <c r="J43" s="3487"/>
      <c r="K43" s="3138"/>
      <c r="L43" s="3139"/>
      <c r="M43" s="3140"/>
      <c r="N43" s="3063"/>
      <c r="O43" s="3063"/>
      <c r="P43" s="3063"/>
      <c r="Q43" s="3127"/>
      <c r="R43" s="3098">
        <f>ROUND(O43*N43*P43*(1-Q43)/10000,0)</f>
        <v>0</v>
      </c>
      <c r="S43" s="3101"/>
      <c r="T43" s="3020"/>
      <c r="V43" s="3181"/>
      <c r="W43" s="3182"/>
    </row>
    <row r="44" spans="1:23" ht="13.2"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8" sqref="H8"/>
    </sheetView>
  </sheetViews>
  <sheetFormatPr defaultColWidth="9" defaultRowHeight="13.8"/>
  <cols>
    <col min="1" max="1" width="23.6640625" style="1612" customWidth="1"/>
    <col min="2" max="2" width="12" style="1612" customWidth="1"/>
    <col min="3" max="3" width="9" style="1612"/>
    <col min="4" max="4" width="14.109375" style="1612" customWidth="1"/>
    <col min="5" max="5" width="9" style="1612"/>
    <col min="6" max="6" width="12.88671875" style="1612" customWidth="1"/>
    <col min="7" max="16384" width="9" style="1612"/>
  </cols>
  <sheetData>
    <row r="1" spans="1:22" ht="21.6">
      <c r="A1" s="2002" t="s">
        <v>2104</v>
      </c>
      <c r="B1" s="2003"/>
      <c r="C1" s="2003"/>
      <c r="D1" s="2003"/>
      <c r="E1" s="2004"/>
      <c r="F1" s="2884"/>
      <c r="G1" s="1624"/>
      <c r="H1" s="1624"/>
      <c r="I1" s="1624"/>
      <c r="J1" s="1624"/>
      <c r="K1" s="1624"/>
      <c r="L1" s="1624"/>
      <c r="M1" s="1624"/>
      <c r="N1" s="1624"/>
      <c r="O1" s="1624"/>
      <c r="P1" s="1624"/>
      <c r="Q1" s="1624"/>
      <c r="R1" s="1624"/>
      <c r="S1" s="1624"/>
    </row>
    <row r="2" spans="1:22" ht="15.6">
      <c r="A2" s="2005" t="s">
        <v>1905</v>
      </c>
      <c r="B2" s="2006">
        <f ca="1">SUMIF(B6:B13,"&lt;&gt;#ref!",B6:B13)</f>
        <v>151664</v>
      </c>
      <c r="C2" s="2007" t="s">
        <v>2097</v>
      </c>
      <c r="D2" s="2008" t="s">
        <v>2098</v>
      </c>
      <c r="E2" s="2781">
        <f>SUM(E6:E13)</f>
        <v>243924.88000000003</v>
      </c>
      <c r="F2" s="2884"/>
      <c r="G2" s="1624"/>
      <c r="H2" s="1624"/>
      <c r="I2" s="1624"/>
      <c r="J2" s="1624"/>
      <c r="K2" s="1624"/>
      <c r="L2" s="1624"/>
      <c r="M2" s="1624"/>
      <c r="N2" s="1624"/>
      <c r="O2" s="1624"/>
      <c r="P2" s="1624"/>
      <c r="Q2" s="1624"/>
      <c r="R2" s="1624"/>
      <c r="S2" s="1624"/>
    </row>
    <row r="3" spans="1:22" ht="15.6">
      <c r="A3" s="2005" t="s">
        <v>1119</v>
      </c>
      <c r="B3" s="2775">
        <f ca="1">ROUND(B2*10000/E2,0)</f>
        <v>6218</v>
      </c>
      <c r="C3" s="2007" t="s">
        <v>2105</v>
      </c>
      <c r="D3" s="2886"/>
      <c r="E3" s="2888"/>
      <c r="F3" s="2884"/>
      <c r="G3" s="1624"/>
      <c r="H3" s="1624"/>
      <c r="I3" s="1624"/>
      <c r="J3" s="1624"/>
      <c r="K3" s="1624"/>
      <c r="L3" s="1624"/>
      <c r="M3" s="1624"/>
      <c r="N3" s="1624"/>
      <c r="O3" s="1624"/>
      <c r="P3" s="1624"/>
      <c r="Q3" s="1624"/>
      <c r="R3" s="1624"/>
      <c r="S3" s="1624"/>
    </row>
    <row r="4" spans="1:22" ht="15.6">
      <c r="A4" s="2889"/>
      <c r="B4" s="2886"/>
      <c r="C4" s="2886"/>
      <c r="D4" s="2886"/>
      <c r="E4" s="2888"/>
      <c r="F4" s="2884"/>
      <c r="G4" s="1624"/>
      <c r="H4" s="1624"/>
      <c r="I4" s="1624"/>
      <c r="J4" s="1624"/>
      <c r="K4" s="1624"/>
      <c r="L4" s="1624"/>
      <c r="M4" s="1624"/>
      <c r="N4" s="1624"/>
      <c r="O4" s="1624"/>
      <c r="P4" s="1624"/>
      <c r="Q4" s="1624"/>
      <c r="R4" s="1624"/>
      <c r="S4" s="1624"/>
    </row>
    <row r="5" spans="1:22" ht="14.4">
      <c r="A5" s="2777" t="s">
        <v>2099</v>
      </c>
      <c r="B5" s="3501" t="s">
        <v>2100</v>
      </c>
      <c r="C5" s="3502"/>
      <c r="D5" s="2885"/>
      <c r="E5" s="2009" t="s">
        <v>2101</v>
      </c>
      <c r="F5" s="2010" t="s">
        <v>2102</v>
      </c>
      <c r="G5" s="1624"/>
      <c r="H5" s="3640" t="s">
        <v>3668</v>
      </c>
      <c r="I5" s="1624"/>
      <c r="J5" s="3640" t="s">
        <v>3674</v>
      </c>
      <c r="K5" s="1624"/>
      <c r="L5" s="1624"/>
      <c r="M5" s="1624"/>
      <c r="N5" s="1624"/>
      <c r="O5" s="1624"/>
      <c r="P5" s="1624"/>
      <c r="Q5" s="1624"/>
      <c r="R5" s="1624"/>
      <c r="S5" s="1624"/>
    </row>
    <row r="6" spans="1:22" ht="14.4">
      <c r="A6" s="2778" t="str">
        <f>'数据-取费表'!AN6</f>
        <v>收益法</v>
      </c>
      <c r="B6" s="2776">
        <f ca="1">IF(F6="是",'数据-取费表'!AO6,0)</f>
        <v>131274</v>
      </c>
      <c r="C6" s="2007" t="s">
        <v>2097</v>
      </c>
      <c r="D6" s="2886"/>
      <c r="E6" s="2780">
        <f>IF(OR(A6=0,F6="否"),0,'数据-取费表'!K6+'数据-取费表'!S6)</f>
        <v>181872.11000000002</v>
      </c>
      <c r="F6" s="2011" t="s">
        <v>2103</v>
      </c>
      <c r="G6" s="1624"/>
      <c r="H6" s="1624">
        <f ca="1">B6*10000/E6</f>
        <v>7217.9291261315429</v>
      </c>
      <c r="I6" s="1624"/>
      <c r="J6" s="1624">
        <f ca="1">B6/B2</f>
        <v>0.86555807574638677</v>
      </c>
      <c r="K6" s="1624"/>
      <c r="L6" s="1624"/>
      <c r="M6" s="1624"/>
      <c r="N6" s="1624"/>
      <c r="O6" s="1624"/>
      <c r="P6" s="1624"/>
      <c r="Q6" s="1624"/>
      <c r="R6" s="1624"/>
      <c r="S6" s="1624"/>
    </row>
    <row r="7" spans="1:22" ht="14.4">
      <c r="A7" s="2778" t="str">
        <f>'数据-取费表'!AN7</f>
        <v>收益法地下厂房</v>
      </c>
      <c r="B7" s="2776">
        <f ca="1">IF(F7="是",'数据-取费表'!AO7,0)</f>
        <v>12901</v>
      </c>
      <c r="C7" s="2007" t="s">
        <v>2097</v>
      </c>
      <c r="D7" s="2886"/>
      <c r="E7" s="2780">
        <f>IF(OR(A7=0,F7="否"),0,'数据-取费表'!K7+'数据-取费表'!S7)</f>
        <v>30778.92</v>
      </c>
      <c r="F7" s="2011" t="s">
        <v>2103</v>
      </c>
      <c r="G7" s="1624"/>
      <c r="H7" s="1624">
        <f t="shared" ref="H7:H8" ca="1" si="0">B7*10000/E7</f>
        <v>4191.5050950455707</v>
      </c>
      <c r="I7" s="1624"/>
      <c r="J7" s="1624">
        <f ca="1">B7/B2</f>
        <v>8.5063034075324395E-2</v>
      </c>
      <c r="K7" s="1624"/>
      <c r="L7" s="1624"/>
      <c r="M7" s="1624"/>
      <c r="N7" s="1624"/>
      <c r="O7" s="1624"/>
      <c r="P7" s="1624"/>
      <c r="Q7" s="1624"/>
      <c r="R7" s="1624"/>
      <c r="S7" s="1624"/>
    </row>
    <row r="8" spans="1:22" ht="14.4">
      <c r="A8" s="2778" t="str">
        <f>'数据-取费表'!AN8</f>
        <v>收益法地下车库</v>
      </c>
      <c r="B8" s="2776">
        <f ca="1">IF(F8="是",'数据-取费表'!AO8,0)</f>
        <v>7489</v>
      </c>
      <c r="C8" s="2007" t="s">
        <v>2097</v>
      </c>
      <c r="D8" s="2886"/>
      <c r="E8" s="2780">
        <f>IF(OR(A8=0,F8="否"),0,'数据-取费表'!K8+'数据-取费表'!S8)</f>
        <v>31273.85</v>
      </c>
      <c r="F8" s="2011" t="s">
        <v>2103</v>
      </c>
      <c r="G8" s="1624"/>
      <c r="H8" s="1624">
        <f t="shared" ca="1" si="0"/>
        <v>2394.6524012873374</v>
      </c>
      <c r="I8" s="1624"/>
      <c r="J8" s="1624">
        <f ca="1">1-J6-J7</f>
        <v>4.9378890178288837E-2</v>
      </c>
      <c r="K8" s="1624"/>
      <c r="L8" s="1624"/>
      <c r="M8" s="1624"/>
      <c r="N8" s="1624"/>
      <c r="O8" s="1624"/>
      <c r="P8" s="1624"/>
      <c r="Q8" s="1624"/>
      <c r="R8" s="1624"/>
      <c r="S8" s="1624"/>
    </row>
    <row r="9" spans="1:22" ht="14.4">
      <c r="A9" s="2778">
        <f>'数据-取费表'!AN9</f>
        <v>0</v>
      </c>
      <c r="B9" s="2776" t="e">
        <f ca="1">IF(F9="是",'数据-取费表'!AO9,0)</f>
        <v>#REF!</v>
      </c>
      <c r="C9" s="2007" t="s">
        <v>2097</v>
      </c>
      <c r="D9" s="2886"/>
      <c r="E9" s="2780">
        <f>IF(OR(A9=0,F9="否"),0,'数据-取费表'!K9+'数据-取费表'!S9)</f>
        <v>0</v>
      </c>
      <c r="F9" s="2011" t="s">
        <v>2103</v>
      </c>
      <c r="G9" s="1624"/>
      <c r="H9" s="1624"/>
      <c r="I9" s="1624"/>
      <c r="J9" s="1624"/>
      <c r="K9" s="1624"/>
      <c r="L9" s="1624"/>
      <c r="M9" s="1624"/>
      <c r="N9" s="1624"/>
      <c r="O9" s="1624"/>
      <c r="P9" s="1624"/>
      <c r="Q9" s="1624"/>
      <c r="R9" s="1624"/>
      <c r="S9" s="1624"/>
    </row>
    <row r="10" spans="1:22" ht="14.4">
      <c r="A10" s="2778">
        <f>'数据-取费表'!AN10</f>
        <v>0</v>
      </c>
      <c r="B10" s="2776" t="e">
        <f ca="1">IF(F10="是",'数据-取费表'!AO10,0)</f>
        <v>#REF!</v>
      </c>
      <c r="C10" s="2007" t="s">
        <v>2097</v>
      </c>
      <c r="D10" s="2886"/>
      <c r="E10" s="2780">
        <f>IF(OR(A10=0,F10="否"),0,'数据-取费表'!K10+'数据-取费表'!S10)</f>
        <v>0</v>
      </c>
      <c r="F10" s="2011" t="s">
        <v>2103</v>
      </c>
      <c r="G10" s="1624"/>
      <c r="H10" s="1624"/>
      <c r="I10" s="1624"/>
      <c r="J10" s="1624"/>
      <c r="K10" s="1624"/>
      <c r="L10" s="1624"/>
      <c r="M10" s="1624"/>
      <c r="N10" s="1624"/>
      <c r="O10" s="1624"/>
      <c r="P10" s="1624"/>
      <c r="Q10" s="1624"/>
      <c r="R10" s="1624"/>
      <c r="S10" s="1624"/>
    </row>
    <row r="11" spans="1:22" ht="14.4">
      <c r="A11" s="2778">
        <f>'数据-取费表'!AN11</f>
        <v>0</v>
      </c>
      <c r="B11" s="2776" t="e">
        <f ca="1">IF(F11="是",'数据-取费表'!AO11,0)</f>
        <v>#REF!</v>
      </c>
      <c r="C11" s="2007" t="s">
        <v>2097</v>
      </c>
      <c r="D11" s="2886"/>
      <c r="E11" s="2780">
        <f>IF(OR(A11=0,F11="否"),0,'数据-取费表'!K11+'数据-取费表'!S11)</f>
        <v>0</v>
      </c>
      <c r="F11" s="2011" t="s">
        <v>2103</v>
      </c>
      <c r="G11" s="1624"/>
      <c r="H11" s="1624"/>
      <c r="I11" s="1624"/>
      <c r="J11" s="1624"/>
      <c r="K11" s="1624"/>
      <c r="L11" s="1624"/>
      <c r="M11" s="1624"/>
      <c r="N11" s="1624"/>
      <c r="O11" s="1624"/>
      <c r="P11" s="1624"/>
      <c r="Q11" s="1624"/>
      <c r="R11" s="1624"/>
      <c r="S11" s="1624"/>
    </row>
    <row r="12" spans="1:22" ht="14.4">
      <c r="A12" s="2778">
        <f>'数据-取费表'!AN12</f>
        <v>0</v>
      </c>
      <c r="B12" s="2776" t="e">
        <f ca="1">IF(F12="是",'数据-取费表'!AO12,0)</f>
        <v>#REF!</v>
      </c>
      <c r="C12" s="2007" t="s">
        <v>2097</v>
      </c>
      <c r="D12" s="2886"/>
      <c r="E12" s="2780">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2097</v>
      </c>
      <c r="D13" s="2887"/>
      <c r="E13" s="2780">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2111</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243924.88</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4.4">
      <c r="A4" s="361" t="s">
        <v>2113</v>
      </c>
      <c r="B4" s="362"/>
      <c r="C4" s="3521" t="s">
        <v>2114</v>
      </c>
      <c r="D4" s="3522"/>
      <c r="E4" s="3523" t="s">
        <v>2115</v>
      </c>
      <c r="F4" s="3524"/>
      <c r="G4" s="3521" t="s">
        <v>2116</v>
      </c>
      <c r="H4" s="3522"/>
      <c r="I4" s="3521" t="s">
        <v>2117</v>
      </c>
      <c r="J4" s="3522"/>
      <c r="K4" s="2024" t="s">
        <v>2118</v>
      </c>
      <c r="L4" s="2892"/>
      <c r="M4" s="2893"/>
      <c r="N4" s="2893"/>
      <c r="O4" s="2893"/>
      <c r="P4" s="3525" t="s">
        <v>2119</v>
      </c>
      <c r="Q4" s="3526"/>
      <c r="R4" s="3531" t="s">
        <v>2115</v>
      </c>
      <c r="S4" s="3532"/>
      <c r="T4" s="3531" t="s">
        <v>2116</v>
      </c>
      <c r="U4" s="3532"/>
      <c r="V4" s="3537" t="s">
        <v>2117</v>
      </c>
      <c r="W4" s="3537"/>
      <c r="X4" s="1489"/>
      <c r="Y4" s="3531" t="s">
        <v>2119</v>
      </c>
      <c r="Z4" s="3532"/>
      <c r="AA4" s="3518" t="s">
        <v>2115</v>
      </c>
      <c r="AB4" s="3518" t="s">
        <v>2116</v>
      </c>
      <c r="AC4" s="3518" t="s">
        <v>2117</v>
      </c>
    </row>
    <row r="5" spans="1:29">
      <c r="A5" s="364"/>
      <c r="B5" s="365"/>
      <c r="C5" s="3540" t="s">
        <v>2120</v>
      </c>
      <c r="D5" s="3541"/>
      <c r="E5" s="3547" t="s">
        <v>2121</v>
      </c>
      <c r="F5" s="3548"/>
      <c r="G5" s="3540" t="s">
        <v>2122</v>
      </c>
      <c r="H5" s="3541"/>
      <c r="I5" s="3540" t="s">
        <v>2123</v>
      </c>
      <c r="J5" s="3541"/>
      <c r="K5" s="2025"/>
      <c r="L5" s="2892"/>
      <c r="M5" s="2893"/>
      <c r="N5" s="2893"/>
      <c r="O5" s="2893"/>
      <c r="P5" s="3527"/>
      <c r="Q5" s="3528"/>
      <c r="R5" s="3533"/>
      <c r="S5" s="3534"/>
      <c r="T5" s="3533"/>
      <c r="U5" s="3534"/>
      <c r="V5" s="3537"/>
      <c r="W5" s="3537"/>
      <c r="X5" s="1489"/>
      <c r="Y5" s="3533"/>
      <c r="Z5" s="3534"/>
      <c r="AA5" s="3519"/>
      <c r="AB5" s="3519"/>
      <c r="AC5" s="3519"/>
    </row>
    <row r="6" spans="1:29" ht="15" thickBot="1">
      <c r="A6" s="366"/>
      <c r="B6" s="367"/>
      <c r="C6" s="3538" t="s">
        <v>2124</v>
      </c>
      <c r="D6" s="3539"/>
      <c r="E6" s="3545" t="s">
        <v>2124</v>
      </c>
      <c r="F6" s="3546"/>
      <c r="G6" s="3538" t="s">
        <v>2124</v>
      </c>
      <c r="H6" s="3539"/>
      <c r="I6" s="3538" t="s">
        <v>2124</v>
      </c>
      <c r="J6" s="3539"/>
      <c r="K6" s="2025" t="s">
        <v>2125</v>
      </c>
      <c r="L6" s="2892"/>
      <c r="M6" s="2893"/>
      <c r="N6" s="2893"/>
      <c r="O6" s="2893"/>
      <c r="P6" s="3529"/>
      <c r="Q6" s="3530"/>
      <c r="R6" s="3533"/>
      <c r="S6" s="3534"/>
      <c r="T6" s="3535"/>
      <c r="U6" s="3536"/>
      <c r="V6" s="3537"/>
      <c r="W6" s="3537"/>
      <c r="X6" s="1489"/>
      <c r="Y6" s="3535"/>
      <c r="Z6" s="3536"/>
      <c r="AA6" s="3520"/>
      <c r="AB6" s="3520"/>
      <c r="AC6" s="3520"/>
    </row>
    <row r="7" spans="1:29" s="113" customFormat="1" ht="1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542" t="s">
        <v>2127</v>
      </c>
      <c r="Q7" s="3544"/>
      <c r="R7" s="710" t="s">
        <v>23</v>
      </c>
      <c r="S7" s="711">
        <f t="shared" ref="S7:S15" si="0">F7</f>
        <v>0</v>
      </c>
      <c r="T7" s="710" t="s">
        <v>23</v>
      </c>
      <c r="U7" s="711">
        <f t="shared" ref="U7:U15" si="1">H7</f>
        <v>0</v>
      </c>
      <c r="V7" s="710" t="s">
        <v>23</v>
      </c>
      <c r="W7" s="711">
        <f t="shared" ref="W7:W15" si="2">J7</f>
        <v>0</v>
      </c>
      <c r="X7" s="712"/>
      <c r="Y7" s="3542" t="s">
        <v>2127</v>
      </c>
      <c r="Z7" s="3543"/>
      <c r="AA7" s="713" t="e">
        <f>D7/F7</f>
        <v>#DIV/0!</v>
      </c>
      <c r="AB7" s="713" t="e">
        <f>D7/H7</f>
        <v>#DIV/0!</v>
      </c>
      <c r="AC7" s="713" t="e">
        <f>D7/J7</f>
        <v>#DIV/0!</v>
      </c>
    </row>
    <row r="8" spans="1:29" s="113" customFormat="1" ht="1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542" t="s">
        <v>2130</v>
      </c>
      <c r="Q8" s="3543"/>
      <c r="R8" s="710" t="s">
        <v>23</v>
      </c>
      <c r="S8" s="711">
        <f t="shared" si="0"/>
        <v>0</v>
      </c>
      <c r="T8" s="710" t="s">
        <v>23</v>
      </c>
      <c r="U8" s="711">
        <f t="shared" si="1"/>
        <v>0</v>
      </c>
      <c r="V8" s="710" t="s">
        <v>23</v>
      </c>
      <c r="W8" s="711">
        <f t="shared" si="2"/>
        <v>0</v>
      </c>
      <c r="X8" s="712"/>
      <c r="Y8" s="3542" t="s">
        <v>2130</v>
      </c>
      <c r="Z8" s="3543"/>
      <c r="AA8" s="713" t="e">
        <f t="shared" ref="AA8:AA19" si="3">D8/F8</f>
        <v>#DIV/0!</v>
      </c>
      <c r="AB8" s="713" t="e">
        <f t="shared" ref="AB8:AB19" si="4">D8/H8</f>
        <v>#DIV/0!</v>
      </c>
      <c r="AC8" s="713" t="e">
        <f t="shared" ref="AC8:AC19" si="5">D8/J8</f>
        <v>#DIV/0!</v>
      </c>
    </row>
    <row r="9" spans="1:29" s="113" customFormat="1" ht="14.4">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517" t="s">
        <v>2133</v>
      </c>
      <c r="Q9" s="1477" t="str">
        <f t="shared" ref="Q9:Q15" si="6">B9</f>
        <v>用途</v>
      </c>
      <c r="R9" s="710" t="s">
        <v>17</v>
      </c>
      <c r="S9" s="711">
        <f t="shared" si="0"/>
        <v>100</v>
      </c>
      <c r="T9" s="710" t="s">
        <v>17</v>
      </c>
      <c r="U9" s="711">
        <f t="shared" si="1"/>
        <v>100</v>
      </c>
      <c r="V9" s="710" t="s">
        <v>17</v>
      </c>
      <c r="W9" s="711">
        <f t="shared" si="2"/>
        <v>100</v>
      </c>
      <c r="X9" s="712"/>
      <c r="Y9" s="3378" t="s">
        <v>2134</v>
      </c>
      <c r="Z9" s="55" t="str">
        <f t="shared" ref="Z9:Z15" si="7">Q9</f>
        <v>用途</v>
      </c>
      <c r="AA9" s="713">
        <f t="shared" si="3"/>
        <v>1</v>
      </c>
      <c r="AB9" s="713">
        <f t="shared" si="4"/>
        <v>1</v>
      </c>
      <c r="AC9" s="713">
        <f t="shared" si="5"/>
        <v>1</v>
      </c>
    </row>
    <row r="10" spans="1:29" s="386" customFormat="1" ht="28.8">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517"/>
      <c r="Q10" s="147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517"/>
      <c r="Q11" s="147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517"/>
      <c r="Q12" s="147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517"/>
      <c r="Q13" s="147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6"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517"/>
      <c r="Q14" s="147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6.6">
      <c r="A15" s="399" t="s">
        <v>2137</v>
      </c>
      <c r="B15" s="65" t="s">
        <v>1700</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15" t="s">
        <v>2138</v>
      </c>
      <c r="Q15" s="1486" t="str">
        <f t="shared" si="6"/>
        <v>居住社区成熟度</v>
      </c>
      <c r="R15" s="714" t="s">
        <v>21</v>
      </c>
      <c r="S15" s="715">
        <f t="shared" si="0"/>
        <v>100</v>
      </c>
      <c r="T15" s="714" t="s">
        <v>21</v>
      </c>
      <c r="U15" s="715">
        <f t="shared" si="1"/>
        <v>100</v>
      </c>
      <c r="V15" s="714" t="s">
        <v>21</v>
      </c>
      <c r="W15" s="715">
        <f t="shared" si="2"/>
        <v>100</v>
      </c>
      <c r="X15" s="1489"/>
      <c r="Y15" s="3508"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16"/>
      <c r="Q16" s="1486"/>
      <c r="R16" s="714"/>
      <c r="S16" s="715"/>
      <c r="T16" s="714"/>
      <c r="U16" s="715"/>
      <c r="V16" s="714"/>
      <c r="W16" s="715"/>
      <c r="X16" s="1489"/>
      <c r="Y16" s="3509"/>
      <c r="Z16" s="1490"/>
      <c r="AA16" s="1487">
        <v>1</v>
      </c>
      <c r="AB16" s="1487">
        <v>1</v>
      </c>
      <c r="AC16" s="1487">
        <v>1</v>
      </c>
    </row>
    <row r="17" spans="1:29" ht="82.8">
      <c r="A17" s="387"/>
      <c r="B17" s="410" t="s">
        <v>1702</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16"/>
      <c r="Q17" s="1486" t="str">
        <f>B17</f>
        <v>交通便捷度</v>
      </c>
      <c r="R17" s="714" t="s">
        <v>21</v>
      </c>
      <c r="S17" s="715">
        <f>F17</f>
        <v>100</v>
      </c>
      <c r="T17" s="714" t="s">
        <v>21</v>
      </c>
      <c r="U17" s="715">
        <f>H17</f>
        <v>100</v>
      </c>
      <c r="V17" s="714" t="s">
        <v>21</v>
      </c>
      <c r="W17" s="715">
        <f>J17</f>
        <v>100</v>
      </c>
      <c r="X17" s="1489"/>
      <c r="Y17" s="3509"/>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16"/>
      <c r="Q18" s="1486"/>
      <c r="R18" s="714"/>
      <c r="S18" s="715"/>
      <c r="T18" s="714"/>
      <c r="U18" s="715"/>
      <c r="V18" s="714"/>
      <c r="W18" s="715"/>
      <c r="X18" s="1489"/>
      <c r="Y18" s="3509"/>
      <c r="Z18" s="1490"/>
      <c r="AA18" s="1487">
        <v>1</v>
      </c>
      <c r="AB18" s="1487">
        <v>1</v>
      </c>
      <c r="AC18" s="1487">
        <v>1</v>
      </c>
    </row>
    <row r="19" spans="1:29" ht="41.4">
      <c r="A19" s="387"/>
      <c r="B19" s="410" t="s">
        <v>1701</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16"/>
      <c r="Q19" s="1486" t="str">
        <f>B19</f>
        <v>公共配套设施</v>
      </c>
      <c r="R19" s="714" t="s">
        <v>21</v>
      </c>
      <c r="S19" s="715">
        <f>F19</f>
        <v>100</v>
      </c>
      <c r="T19" s="714" t="s">
        <v>21</v>
      </c>
      <c r="U19" s="715">
        <f>H19</f>
        <v>100</v>
      </c>
      <c r="V19" s="714" t="s">
        <v>21</v>
      </c>
      <c r="W19" s="715">
        <f>J19</f>
        <v>100</v>
      </c>
      <c r="X19" s="1489"/>
      <c r="Y19" s="3509"/>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16"/>
      <c r="Q20" s="1486"/>
      <c r="R20" s="714"/>
      <c r="S20" s="715"/>
      <c r="T20" s="714"/>
      <c r="U20" s="715"/>
      <c r="V20" s="714"/>
      <c r="W20" s="715"/>
      <c r="X20" s="1489"/>
      <c r="Y20" s="3509"/>
      <c r="Z20" s="1490"/>
      <c r="AA20" s="1487">
        <v>1</v>
      </c>
      <c r="AB20" s="1487">
        <v>1</v>
      </c>
      <c r="AC20" s="1487">
        <v>1</v>
      </c>
    </row>
    <row r="21" spans="1:29" ht="27.6">
      <c r="A21" s="387"/>
      <c r="B21" s="1246" t="s">
        <v>1703</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16"/>
      <c r="Q21" s="1486" t="str">
        <f>B21</f>
        <v>基础设施水平</v>
      </c>
      <c r="R21" s="714" t="s">
        <v>17</v>
      </c>
      <c r="S21" s="715">
        <f>F21</f>
        <v>100</v>
      </c>
      <c r="T21" s="714" t="s">
        <v>17</v>
      </c>
      <c r="U21" s="715">
        <f>H21</f>
        <v>100</v>
      </c>
      <c r="V21" s="714" t="s">
        <v>17</v>
      </c>
      <c r="W21" s="715">
        <f>J21</f>
        <v>100</v>
      </c>
      <c r="X21" s="1489"/>
      <c r="Y21" s="3509"/>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16"/>
      <c r="Q22" s="1486"/>
      <c r="R22" s="714"/>
      <c r="S22" s="715"/>
      <c r="T22" s="714"/>
      <c r="U22" s="715"/>
      <c r="V22" s="714"/>
      <c r="W22" s="715"/>
      <c r="X22" s="1489"/>
      <c r="Y22" s="3509"/>
      <c r="Z22" s="1490"/>
      <c r="AA22" s="1487">
        <v>1</v>
      </c>
      <c r="AB22" s="1487">
        <v>1</v>
      </c>
      <c r="AC22" s="1487">
        <v>1</v>
      </c>
    </row>
    <row r="23" spans="1:29" ht="55.2">
      <c r="A23" s="387"/>
      <c r="B23" s="410" t="s">
        <v>1704</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16"/>
      <c r="Q23" s="1486" t="str">
        <f>B23</f>
        <v>自然及人文环境</v>
      </c>
      <c r="R23" s="714" t="s">
        <v>21</v>
      </c>
      <c r="S23" s="715">
        <f>F23</f>
        <v>100</v>
      </c>
      <c r="T23" s="714" t="s">
        <v>21</v>
      </c>
      <c r="U23" s="715">
        <f>H23</f>
        <v>100</v>
      </c>
      <c r="V23" s="714" t="s">
        <v>21</v>
      </c>
      <c r="W23" s="715">
        <f>J23</f>
        <v>100</v>
      </c>
      <c r="X23" s="1489"/>
      <c r="Y23" s="3509"/>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16"/>
      <c r="Q24" s="1486"/>
      <c r="R24" s="714"/>
      <c r="S24" s="715"/>
      <c r="T24" s="714"/>
      <c r="U24" s="715"/>
      <c r="V24" s="714"/>
      <c r="W24" s="715"/>
      <c r="X24" s="1489"/>
      <c r="Y24" s="3509"/>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16"/>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09"/>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16"/>
      <c r="Q26" s="1486" t="str">
        <f t="shared" si="11"/>
        <v>朝向</v>
      </c>
      <c r="R26" s="714" t="s">
        <v>21</v>
      </c>
      <c r="S26" s="715">
        <f t="shared" si="12"/>
        <v>100</v>
      </c>
      <c r="T26" s="714" t="s">
        <v>21</v>
      </c>
      <c r="U26" s="715">
        <f t="shared" si="13"/>
        <v>100</v>
      </c>
      <c r="V26" s="714" t="s">
        <v>21</v>
      </c>
      <c r="W26" s="715">
        <f t="shared" si="14"/>
        <v>100</v>
      </c>
      <c r="X26" s="1489"/>
      <c r="Y26" s="3509"/>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16"/>
      <c r="Q27" s="1477">
        <f t="shared" si="11"/>
        <v>111</v>
      </c>
      <c r="R27" s="710" t="s">
        <v>21</v>
      </c>
      <c r="S27" s="711">
        <f t="shared" si="12"/>
        <v>100</v>
      </c>
      <c r="T27" s="710" t="s">
        <v>21</v>
      </c>
      <c r="U27" s="711">
        <f t="shared" si="13"/>
        <v>100</v>
      </c>
      <c r="V27" s="710" t="s">
        <v>21</v>
      </c>
      <c r="W27" s="711">
        <f t="shared" si="14"/>
        <v>100</v>
      </c>
      <c r="X27" s="712"/>
      <c r="Y27" s="3509"/>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16"/>
      <c r="Q28" s="1486">
        <f t="shared" si="11"/>
        <v>111</v>
      </c>
      <c r="R28" s="714" t="s">
        <v>21</v>
      </c>
      <c r="S28" s="715">
        <f t="shared" si="12"/>
        <v>100</v>
      </c>
      <c r="T28" s="714" t="s">
        <v>21</v>
      </c>
      <c r="U28" s="715">
        <f t="shared" si="13"/>
        <v>100</v>
      </c>
      <c r="V28" s="714" t="s">
        <v>21</v>
      </c>
      <c r="W28" s="715">
        <f t="shared" si="14"/>
        <v>100</v>
      </c>
      <c r="X28" s="1489"/>
      <c r="Y28" s="3509"/>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16"/>
      <c r="Q29" s="1486">
        <f t="shared" si="11"/>
        <v>111</v>
      </c>
      <c r="R29" s="714" t="s">
        <v>21</v>
      </c>
      <c r="S29" s="715">
        <f t="shared" si="12"/>
        <v>100</v>
      </c>
      <c r="T29" s="714" t="s">
        <v>21</v>
      </c>
      <c r="U29" s="715">
        <f t="shared" si="13"/>
        <v>100</v>
      </c>
      <c r="V29" s="714" t="s">
        <v>21</v>
      </c>
      <c r="W29" s="715">
        <f t="shared" si="14"/>
        <v>100</v>
      </c>
      <c r="X29" s="1489"/>
      <c r="Y29" s="3509"/>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16"/>
      <c r="Q30" s="1486">
        <f t="shared" si="11"/>
        <v>111</v>
      </c>
      <c r="R30" s="714" t="s">
        <v>21</v>
      </c>
      <c r="S30" s="715">
        <f t="shared" si="12"/>
        <v>100</v>
      </c>
      <c r="T30" s="714" t="s">
        <v>21</v>
      </c>
      <c r="U30" s="715">
        <f t="shared" si="13"/>
        <v>100</v>
      </c>
      <c r="V30" s="714" t="s">
        <v>21</v>
      </c>
      <c r="W30" s="715">
        <f t="shared" si="14"/>
        <v>100</v>
      </c>
      <c r="X30" s="1489"/>
      <c r="Y30" s="3509"/>
      <c r="Z30" s="1490">
        <f t="shared" si="18"/>
        <v>111</v>
      </c>
      <c r="AA30" s="1487">
        <f t="shared" si="15"/>
        <v>1</v>
      </c>
      <c r="AB30" s="1487">
        <f t="shared" si="16"/>
        <v>1</v>
      </c>
      <c r="AC30" s="1487">
        <f t="shared" si="17"/>
        <v>1</v>
      </c>
    </row>
    <row r="31" spans="1:29" ht="15.6"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16"/>
      <c r="Q31" s="1486">
        <f t="shared" si="11"/>
        <v>111</v>
      </c>
      <c r="R31" s="714" t="s">
        <v>21</v>
      </c>
      <c r="S31" s="715">
        <f t="shared" si="12"/>
        <v>100</v>
      </c>
      <c r="T31" s="714" t="s">
        <v>21</v>
      </c>
      <c r="U31" s="715">
        <f t="shared" si="13"/>
        <v>100</v>
      </c>
      <c r="V31" s="714" t="s">
        <v>21</v>
      </c>
      <c r="W31" s="715">
        <f t="shared" si="14"/>
        <v>100</v>
      </c>
      <c r="X31" s="1489"/>
      <c r="Y31" s="3509"/>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10" t="s">
        <v>2143</v>
      </c>
      <c r="Q32" s="1486" t="str">
        <f t="shared" si="11"/>
        <v>建筑类型</v>
      </c>
      <c r="R32" s="714" t="s">
        <v>21</v>
      </c>
      <c r="S32" s="715">
        <f t="shared" si="12"/>
        <v>100</v>
      </c>
      <c r="T32" s="714" t="s">
        <v>21</v>
      </c>
      <c r="U32" s="715">
        <f t="shared" si="13"/>
        <v>100</v>
      </c>
      <c r="V32" s="714" t="s">
        <v>21</v>
      </c>
      <c r="W32" s="715">
        <f t="shared" si="14"/>
        <v>100</v>
      </c>
      <c r="X32" s="1489"/>
      <c r="Y32" s="3513"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11"/>
      <c r="Q33" s="716" t="str">
        <f t="shared" si="11"/>
        <v>项目建筑规模</v>
      </c>
      <c r="R33" s="717" t="s">
        <v>21</v>
      </c>
      <c r="S33" s="718" t="e">
        <f t="shared" si="12"/>
        <v>#N/A</v>
      </c>
      <c r="T33" s="717" t="s">
        <v>21</v>
      </c>
      <c r="U33" s="718" t="e">
        <f t="shared" si="13"/>
        <v>#N/A</v>
      </c>
      <c r="V33" s="717" t="s">
        <v>21</v>
      </c>
      <c r="W33" s="718" t="e">
        <f t="shared" si="14"/>
        <v>#N/A</v>
      </c>
      <c r="X33" s="719"/>
      <c r="Y33" s="3513"/>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11"/>
      <c r="Q34" s="1486" t="str">
        <f t="shared" si="11"/>
        <v>建筑结构</v>
      </c>
      <c r="R34" s="714" t="s">
        <v>21</v>
      </c>
      <c r="S34" s="715">
        <f t="shared" si="12"/>
        <v>100</v>
      </c>
      <c r="T34" s="714" t="s">
        <v>21</v>
      </c>
      <c r="U34" s="715">
        <f t="shared" si="13"/>
        <v>100</v>
      </c>
      <c r="V34" s="714" t="s">
        <v>21</v>
      </c>
      <c r="W34" s="715">
        <f t="shared" si="14"/>
        <v>100</v>
      </c>
      <c r="X34" s="1489"/>
      <c r="Y34" s="3513"/>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11"/>
      <c r="Q35" s="1486" t="str">
        <f t="shared" si="11"/>
        <v>建筑品质</v>
      </c>
      <c r="R35" s="714" t="s">
        <v>21</v>
      </c>
      <c r="S35" s="715">
        <f t="shared" si="12"/>
        <v>100</v>
      </c>
      <c r="T35" s="714" t="s">
        <v>21</v>
      </c>
      <c r="U35" s="715">
        <f t="shared" si="13"/>
        <v>100</v>
      </c>
      <c r="V35" s="714" t="s">
        <v>21</v>
      </c>
      <c r="W35" s="715">
        <f t="shared" si="14"/>
        <v>100</v>
      </c>
      <c r="X35" s="1489"/>
      <c r="Y35" s="3513"/>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11"/>
      <c r="Q36" s="1486" t="str">
        <f t="shared" si="11"/>
        <v>公共部分装修</v>
      </c>
      <c r="R36" s="714" t="s">
        <v>21</v>
      </c>
      <c r="S36" s="715">
        <f t="shared" si="12"/>
        <v>100</v>
      </c>
      <c r="T36" s="714" t="s">
        <v>21</v>
      </c>
      <c r="U36" s="715">
        <f t="shared" si="13"/>
        <v>100</v>
      </c>
      <c r="V36" s="714" t="s">
        <v>21</v>
      </c>
      <c r="W36" s="715">
        <f t="shared" si="14"/>
        <v>100</v>
      </c>
      <c r="X36" s="1489"/>
      <c r="Y36" s="3513"/>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11"/>
      <c r="Q37" s="1477" t="str">
        <f t="shared" si="11"/>
        <v>成新度</v>
      </c>
      <c r="R37" s="710" t="s">
        <v>21</v>
      </c>
      <c r="S37" s="711" t="e">
        <f t="shared" si="12"/>
        <v>#N/A</v>
      </c>
      <c r="T37" s="710" t="s">
        <v>21</v>
      </c>
      <c r="U37" s="711" t="e">
        <f t="shared" si="13"/>
        <v>#N/A</v>
      </c>
      <c r="V37" s="710" t="s">
        <v>21</v>
      </c>
      <c r="W37" s="711" t="e">
        <f t="shared" si="14"/>
        <v>#N/A</v>
      </c>
      <c r="X37" s="712"/>
      <c r="Y37" s="3513"/>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11" t="s">
        <v>2143</v>
      </c>
      <c r="Q38" s="1486" t="str">
        <f t="shared" si="11"/>
        <v>物业管理</v>
      </c>
      <c r="R38" s="714" t="s">
        <v>21</v>
      </c>
      <c r="S38" s="715">
        <f t="shared" si="12"/>
        <v>100</v>
      </c>
      <c r="T38" s="714" t="s">
        <v>21</v>
      </c>
      <c r="U38" s="715">
        <f t="shared" si="13"/>
        <v>100</v>
      </c>
      <c r="V38" s="714" t="s">
        <v>21</v>
      </c>
      <c r="W38" s="715">
        <f t="shared" si="14"/>
        <v>100</v>
      </c>
      <c r="X38" s="1489"/>
      <c r="Y38" s="3513"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11"/>
      <c r="Q39" s="1486" t="str">
        <f t="shared" si="11"/>
        <v>市政基础设施</v>
      </c>
      <c r="R39" s="714" t="s">
        <v>21</v>
      </c>
      <c r="S39" s="715">
        <f t="shared" si="12"/>
        <v>100</v>
      </c>
      <c r="T39" s="714" t="s">
        <v>21</v>
      </c>
      <c r="U39" s="715">
        <f t="shared" si="13"/>
        <v>100</v>
      </c>
      <c r="V39" s="714" t="s">
        <v>21</v>
      </c>
      <c r="W39" s="715">
        <f t="shared" si="14"/>
        <v>100</v>
      </c>
      <c r="X39" s="1489"/>
      <c r="Y39" s="3513"/>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11"/>
      <c r="Q40" s="1486" t="str">
        <f t="shared" si="11"/>
        <v>房型</v>
      </c>
      <c r="R40" s="714" t="s">
        <v>21</v>
      </c>
      <c r="S40" s="715">
        <f t="shared" si="12"/>
        <v>100</v>
      </c>
      <c r="T40" s="714" t="s">
        <v>21</v>
      </c>
      <c r="U40" s="715">
        <f t="shared" si="13"/>
        <v>100</v>
      </c>
      <c r="V40" s="714" t="s">
        <v>21</v>
      </c>
      <c r="W40" s="715">
        <f t="shared" si="14"/>
        <v>100</v>
      </c>
      <c r="X40" s="1489"/>
      <c r="Y40" s="3513"/>
      <c r="Z40" s="1490" t="str">
        <f t="shared" si="18"/>
        <v>房型</v>
      </c>
      <c r="AA40" s="1487">
        <f t="shared" si="15"/>
        <v>1</v>
      </c>
      <c r="AB40" s="1487">
        <f t="shared" si="16"/>
        <v>1</v>
      </c>
      <c r="AC40" s="1487">
        <f t="shared" si="17"/>
        <v>1</v>
      </c>
    </row>
    <row r="41" spans="1:29" s="430" customFormat="1" ht="28.8">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11"/>
      <c r="Q41" s="716" t="str">
        <f t="shared" si="11"/>
        <v>单套/主力户型建筑面积</v>
      </c>
      <c r="R41" s="717" t="s">
        <v>21</v>
      </c>
      <c r="S41" s="718">
        <f t="shared" si="12"/>
        <v>100</v>
      </c>
      <c r="T41" s="717" t="s">
        <v>21</v>
      </c>
      <c r="U41" s="718">
        <f t="shared" si="13"/>
        <v>100</v>
      </c>
      <c r="V41" s="717" t="s">
        <v>21</v>
      </c>
      <c r="W41" s="718">
        <f t="shared" si="14"/>
        <v>100</v>
      </c>
      <c r="X41" s="719"/>
      <c r="Y41" s="3513"/>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11"/>
      <c r="Q42" s="1486" t="str">
        <f t="shared" si="11"/>
        <v>内部装修</v>
      </c>
      <c r="R42" s="714" t="s">
        <v>21</v>
      </c>
      <c r="S42" s="715">
        <f t="shared" si="12"/>
        <v>100</v>
      </c>
      <c r="T42" s="714" t="s">
        <v>21</v>
      </c>
      <c r="U42" s="715">
        <f t="shared" si="13"/>
        <v>100</v>
      </c>
      <c r="V42" s="714" t="s">
        <v>21</v>
      </c>
      <c r="W42" s="715">
        <f t="shared" si="14"/>
        <v>100</v>
      </c>
      <c r="X42" s="1489"/>
      <c r="Y42" s="3513"/>
      <c r="Z42" s="1490" t="str">
        <f t="shared" si="18"/>
        <v>内部装修</v>
      </c>
      <c r="AA42" s="1487">
        <f t="shared" si="15"/>
        <v>1</v>
      </c>
      <c r="AB42" s="1487">
        <f t="shared" si="16"/>
        <v>1</v>
      </c>
      <c r="AC42" s="1487">
        <f t="shared" si="17"/>
        <v>1</v>
      </c>
    </row>
    <row r="43" spans="1:29" ht="28.8">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11"/>
      <c r="Q43" s="1486" t="str">
        <f t="shared" si="11"/>
        <v>内部装修维护情况</v>
      </c>
      <c r="R43" s="714" t="s">
        <v>21</v>
      </c>
      <c r="S43" s="715">
        <f t="shared" si="12"/>
        <v>100</v>
      </c>
      <c r="T43" s="714" t="s">
        <v>21</v>
      </c>
      <c r="U43" s="715">
        <f t="shared" si="13"/>
        <v>100</v>
      </c>
      <c r="V43" s="714" t="s">
        <v>21</v>
      </c>
      <c r="W43" s="715">
        <f t="shared" si="14"/>
        <v>100</v>
      </c>
      <c r="X43" s="1489"/>
      <c r="Y43" s="3513"/>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11"/>
      <c r="Q44" s="1477">
        <f t="shared" si="11"/>
        <v>111</v>
      </c>
      <c r="R44" s="710" t="s">
        <v>21</v>
      </c>
      <c r="S44" s="711">
        <f t="shared" si="12"/>
        <v>100</v>
      </c>
      <c r="T44" s="710" t="s">
        <v>21</v>
      </c>
      <c r="U44" s="711">
        <f t="shared" si="13"/>
        <v>100</v>
      </c>
      <c r="V44" s="710" t="s">
        <v>21</v>
      </c>
      <c r="W44" s="711">
        <f t="shared" si="14"/>
        <v>100</v>
      </c>
      <c r="X44" s="712"/>
      <c r="Y44" s="351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11"/>
      <c r="Q45" s="1486">
        <f t="shared" si="11"/>
        <v>111</v>
      </c>
      <c r="R45" s="714" t="s">
        <v>21</v>
      </c>
      <c r="S45" s="715">
        <f t="shared" si="12"/>
        <v>100</v>
      </c>
      <c r="T45" s="714" t="s">
        <v>21</v>
      </c>
      <c r="U45" s="715">
        <f t="shared" si="13"/>
        <v>100</v>
      </c>
      <c r="V45" s="714" t="s">
        <v>21</v>
      </c>
      <c r="W45" s="715">
        <f t="shared" si="14"/>
        <v>100</v>
      </c>
      <c r="X45" s="1489"/>
      <c r="Y45" s="3513"/>
      <c r="Z45" s="1490">
        <f t="shared" si="18"/>
        <v>111</v>
      </c>
      <c r="AA45" s="1487">
        <f t="shared" si="15"/>
        <v>1</v>
      </c>
      <c r="AB45" s="1487">
        <f t="shared" si="16"/>
        <v>1</v>
      </c>
      <c r="AC45" s="1487">
        <f t="shared" si="17"/>
        <v>1</v>
      </c>
    </row>
    <row r="46" spans="1:29" ht="15.6"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12"/>
      <c r="Q46" s="1486">
        <f t="shared" si="11"/>
        <v>111</v>
      </c>
      <c r="R46" s="714" t="s">
        <v>20</v>
      </c>
      <c r="S46" s="715">
        <f t="shared" si="12"/>
        <v>100</v>
      </c>
      <c r="T46" s="714" t="s">
        <v>20</v>
      </c>
      <c r="U46" s="715">
        <f t="shared" si="13"/>
        <v>100</v>
      </c>
      <c r="V46" s="714" t="s">
        <v>20</v>
      </c>
      <c r="W46" s="715">
        <f t="shared" si="14"/>
        <v>100</v>
      </c>
      <c r="X46" s="1489"/>
      <c r="Y46" s="3514"/>
      <c r="Z46" s="1490">
        <f t="shared" si="18"/>
        <v>111</v>
      </c>
      <c r="AA46" s="1487">
        <f t="shared" si="15"/>
        <v>1</v>
      </c>
      <c r="AB46" s="1487">
        <f t="shared" si="16"/>
        <v>1</v>
      </c>
      <c r="AC46" s="1487">
        <f t="shared" si="17"/>
        <v>1</v>
      </c>
    </row>
    <row r="47" spans="1:29" ht="14.4">
      <c r="A47" s="438" t="s">
        <v>2155</v>
      </c>
      <c r="B47" s="439"/>
      <c r="C47" s="1269" t="s">
        <v>19</v>
      </c>
      <c r="D47" s="1270"/>
      <c r="E47" s="1271"/>
      <c r="F47" s="1272"/>
      <c r="G47" s="1273"/>
      <c r="H47" s="1274"/>
      <c r="I47" s="1271"/>
      <c r="J47" s="1274"/>
      <c r="K47" s="2049"/>
      <c r="L47" s="2901"/>
      <c r="M47" s="2902"/>
      <c r="N47" s="2893"/>
      <c r="O47" s="2902"/>
      <c r="P47" s="3506" t="str">
        <f>A47</f>
        <v>成交单价（元/平方米）</v>
      </c>
      <c r="Q47" s="3506"/>
      <c r="R47" s="3507">
        <f>E47</f>
        <v>0</v>
      </c>
      <c r="S47" s="3507"/>
      <c r="T47" s="3507">
        <f>G47</f>
        <v>0</v>
      </c>
      <c r="U47" s="3507"/>
      <c r="V47" s="3507">
        <f>I47</f>
        <v>0</v>
      </c>
      <c r="W47" s="3507"/>
      <c r="X47" s="699"/>
      <c r="Y47" s="721"/>
      <c r="Z47" s="699"/>
      <c r="AA47" s="699"/>
      <c r="AB47" s="699"/>
      <c r="AC47" s="699"/>
    </row>
    <row r="48" spans="1:29" ht="15" thickBot="1">
      <c r="A48" s="445" t="s">
        <v>2156</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 thickBot="1">
      <c r="A49" s="449" t="s">
        <v>2157</v>
      </c>
      <c r="B49" s="450"/>
      <c r="C49" s="1277" t="e">
        <f>R49</f>
        <v>#DIV/0!</v>
      </c>
      <c r="D49" s="1278"/>
      <c r="E49" s="1278"/>
      <c r="F49" s="1278"/>
      <c r="G49" s="1278"/>
      <c r="H49" s="1278"/>
      <c r="I49" s="1278"/>
      <c r="J49" s="1278"/>
      <c r="K49" s="2050"/>
      <c r="L49" s="2901"/>
      <c r="M49" s="2902"/>
      <c r="N49" s="2902"/>
      <c r="O49" s="2902"/>
      <c r="P49" s="3503" t="str">
        <f>A49</f>
        <v>估价对象XX用房的比较价值（楼面单价，元/平方米）</v>
      </c>
      <c r="Q49" s="3504"/>
      <c r="R49" s="3505" t="e">
        <f>IF(F1="售价",ROUND(IF(D48="简单平均",AVERAGE(R48:V48),R48*F48+T48*H48+V48*J48),0),ROUND(IF(D48="简单平均",AVERAGE(R48:V48),R48*F48+T48*H48+V48*J48),1))</f>
        <v>#DIV/0!</v>
      </c>
      <c r="S49" s="3505"/>
      <c r="T49" s="3505"/>
      <c r="U49" s="3505"/>
      <c r="V49" s="3505"/>
      <c r="W49" s="350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2.2" thickBot="1">
      <c r="A57" s="703" t="s">
        <v>2161</v>
      </c>
      <c r="B57" s="699"/>
      <c r="C57" s="704"/>
      <c r="D57" s="704"/>
      <c r="E57" s="704"/>
      <c r="F57" s="705"/>
      <c r="G57" s="705"/>
      <c r="H57" s="704"/>
      <c r="I57" s="704"/>
      <c r="J57" s="704"/>
      <c r="K57" s="1053"/>
      <c r="L57" s="1054"/>
      <c r="M57" s="1052"/>
      <c r="N57" s="1052"/>
      <c r="O57" s="1052"/>
      <c r="P57" s="2053"/>
      <c r="Q57" s="461"/>
    </row>
    <row r="58" spans="1:29" s="465" customFormat="1" ht="14.4">
      <c r="A58" s="462" t="s">
        <v>2162</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c r="A59" s="466"/>
      <c r="B59" s="2054"/>
      <c r="C59" s="1297">
        <v>100</v>
      </c>
      <c r="D59" s="468"/>
      <c r="E59" s="469"/>
      <c r="F59" s="469"/>
      <c r="G59" s="469"/>
      <c r="H59" s="469"/>
      <c r="I59" s="469"/>
      <c r="J59" s="469"/>
      <c r="K59" s="469"/>
      <c r="L59" s="469"/>
      <c r="M59" s="470"/>
      <c r="N59" s="469"/>
      <c r="O59" s="470"/>
      <c r="P59" s="2055"/>
    </row>
    <row r="60" spans="1:29" s="113" customFormat="1" ht="15" thickBot="1">
      <c r="A60" s="472" t="s">
        <v>2163</v>
      </c>
      <c r="B60" s="473"/>
      <c r="C60" s="474"/>
      <c r="D60" s="475"/>
      <c r="E60" s="475"/>
      <c r="F60" s="475"/>
      <c r="G60" s="475"/>
      <c r="H60" s="475"/>
      <c r="I60" s="475"/>
      <c r="J60" s="475"/>
      <c r="K60" s="475"/>
      <c r="L60" s="475"/>
      <c r="M60" s="476"/>
      <c r="N60" s="475"/>
      <c r="O60" s="476"/>
      <c r="P60" s="2055"/>
      <c r="Q60" s="461"/>
    </row>
    <row r="61" spans="1:29" s="113" customFormat="1" ht="14.4">
      <c r="A61" s="478" t="s">
        <v>2164</v>
      </c>
      <c r="B61" s="467"/>
      <c r="C61" s="479" t="s">
        <v>2165</v>
      </c>
      <c r="D61" s="480"/>
      <c r="E61" s="480"/>
      <c r="F61" s="480"/>
      <c r="G61" s="480"/>
      <c r="H61" s="480"/>
      <c r="I61" s="480"/>
      <c r="J61" s="480"/>
      <c r="K61" s="480"/>
      <c r="L61" s="481"/>
      <c r="M61" s="482"/>
      <c r="N61" s="1044"/>
      <c r="O61" s="1044"/>
      <c r="P61" s="2056"/>
      <c r="Q61" s="461"/>
    </row>
    <row r="62" spans="1:29" s="113" customFormat="1" ht="14.4" thickBot="1">
      <c r="A62" s="478"/>
      <c r="B62" s="467"/>
      <c r="C62" s="468">
        <v>100</v>
      </c>
      <c r="D62" s="469"/>
      <c r="E62" s="469"/>
      <c r="F62" s="469"/>
      <c r="G62" s="469"/>
      <c r="H62" s="469"/>
      <c r="I62" s="469"/>
      <c r="J62" s="469"/>
      <c r="K62" s="469"/>
      <c r="L62" s="469"/>
      <c r="M62" s="471"/>
      <c r="N62" s="1044"/>
      <c r="O62" s="1044"/>
      <c r="P62" s="2055"/>
      <c r="Q62" s="461"/>
    </row>
    <row r="63" spans="1:29" ht="14.4">
      <c r="A63" s="484" t="s">
        <v>2166</v>
      </c>
      <c r="B63" s="485" t="s">
        <v>2132</v>
      </c>
      <c r="C63" s="486">
        <f>C9</f>
        <v>0</v>
      </c>
      <c r="D63" s="487"/>
      <c r="E63" s="487"/>
      <c r="F63" s="487"/>
      <c r="G63" s="487"/>
      <c r="H63" s="487"/>
      <c r="I63" s="487"/>
      <c r="J63" s="487"/>
      <c r="K63" s="488"/>
      <c r="L63" s="489"/>
      <c r="M63" s="490"/>
      <c r="N63" s="1045"/>
      <c r="O63" s="1045"/>
      <c r="P63" s="2057"/>
      <c r="Q63" s="461"/>
    </row>
    <row r="64" spans="1:29" ht="14.4" thickBot="1">
      <c r="A64" s="491"/>
      <c r="B64" s="492"/>
      <c r="C64" s="493">
        <v>100</v>
      </c>
      <c r="D64" s="493"/>
      <c r="E64" s="493"/>
      <c r="F64" s="493"/>
      <c r="G64" s="493"/>
      <c r="H64" s="493"/>
      <c r="I64" s="493"/>
      <c r="J64" s="493"/>
      <c r="K64" s="493"/>
      <c r="L64" s="493"/>
      <c r="M64" s="494"/>
      <c r="N64" s="1046"/>
      <c r="O64" s="1046"/>
      <c r="P64" s="2057"/>
      <c r="Q64" s="461"/>
    </row>
    <row r="65" spans="1:17" ht="29.4"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c r="A68" s="491"/>
      <c r="B68" s="505"/>
      <c r="C68" s="506"/>
      <c r="D68" s="506"/>
      <c r="E68" s="506"/>
      <c r="F68" s="506"/>
      <c r="G68" s="506"/>
      <c r="H68" s="506"/>
      <c r="I68" s="506"/>
      <c r="J68" s="506"/>
      <c r="K68" s="507"/>
      <c r="L68" s="508"/>
      <c r="M68" s="509"/>
      <c r="N68" s="1045"/>
      <c r="O68" s="1045"/>
      <c r="P68" s="2057"/>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4.4" thickTop="1">
      <c r="A70" s="510"/>
      <c r="B70" s="495">
        <f>B12</f>
        <v>111</v>
      </c>
      <c r="C70" s="511"/>
      <c r="D70" s="511"/>
      <c r="E70" s="511"/>
      <c r="F70" s="511"/>
      <c r="G70" s="511"/>
      <c r="H70" s="512"/>
      <c r="I70" s="512"/>
      <c r="J70" s="512"/>
      <c r="K70" s="512"/>
      <c r="L70" s="513"/>
      <c r="M70" s="514"/>
      <c r="N70" s="1047"/>
      <c r="O70" s="1047"/>
      <c r="P70" s="2058"/>
      <c r="Q70" s="516"/>
    </row>
    <row r="71" spans="1:17" s="430" customFormat="1" ht="14.4" thickBot="1">
      <c r="A71" s="510"/>
      <c r="B71" s="500"/>
      <c r="C71" s="517"/>
      <c r="D71" s="493"/>
      <c r="E71" s="493"/>
      <c r="F71" s="493"/>
      <c r="G71" s="493"/>
      <c r="H71" s="493"/>
      <c r="I71" s="493"/>
      <c r="J71" s="493"/>
      <c r="K71" s="493"/>
      <c r="L71" s="493"/>
      <c r="M71" s="494"/>
      <c r="N71" s="1046"/>
      <c r="O71" s="1046"/>
      <c r="P71" s="2058"/>
      <c r="Q71" s="516"/>
    </row>
    <row r="72" spans="1:17" s="430" customFormat="1" ht="14.4" thickTop="1">
      <c r="A72" s="510"/>
      <c r="B72" s="495">
        <f>B13</f>
        <v>111</v>
      </c>
      <c r="C72" s="511"/>
      <c r="D72" s="511"/>
      <c r="E72" s="511"/>
      <c r="F72" s="511"/>
      <c r="G72" s="511"/>
      <c r="H72" s="512"/>
      <c r="I72" s="512"/>
      <c r="J72" s="512"/>
      <c r="K72" s="512"/>
      <c r="L72" s="513"/>
      <c r="M72" s="514"/>
      <c r="N72" s="1047"/>
      <c r="O72" s="1047"/>
      <c r="P72" s="2059"/>
      <c r="Q72" s="518"/>
    </row>
    <row r="73" spans="1:17" s="430" customFormat="1" ht="14.4" thickBot="1">
      <c r="A73" s="510"/>
      <c r="B73" s="500"/>
      <c r="C73" s="517"/>
      <c r="D73" s="517"/>
      <c r="E73" s="517"/>
      <c r="F73" s="517"/>
      <c r="G73" s="517"/>
      <c r="H73" s="519"/>
      <c r="I73" s="519"/>
      <c r="J73" s="519"/>
      <c r="K73" s="519"/>
      <c r="L73" s="519"/>
      <c r="M73" s="520"/>
      <c r="N73" s="1047"/>
      <c r="O73" s="1047"/>
      <c r="P73" s="2058"/>
      <c r="Q73" s="516"/>
    </row>
    <row r="74" spans="1:17" s="430" customFormat="1" ht="14.4" thickTop="1">
      <c r="A74" s="510"/>
      <c r="B74" s="503">
        <f>B14</f>
        <v>111</v>
      </c>
      <c r="C74" s="511"/>
      <c r="D74" s="511"/>
      <c r="E74" s="511"/>
      <c r="F74" s="511"/>
      <c r="G74" s="480"/>
      <c r="H74" s="521"/>
      <c r="I74" s="521"/>
      <c r="J74" s="521"/>
      <c r="K74" s="521"/>
      <c r="L74" s="522"/>
      <c r="M74" s="523"/>
      <c r="N74" s="1047"/>
      <c r="O74" s="1047"/>
      <c r="P74" s="2060"/>
      <c r="Q74" s="516"/>
    </row>
    <row r="75" spans="1:17" s="430" customFormat="1" ht="14.4" thickBot="1">
      <c r="A75" s="525"/>
      <c r="B75" s="526"/>
      <c r="C75" s="527"/>
      <c r="D75" s="527"/>
      <c r="E75" s="527"/>
      <c r="F75" s="527"/>
      <c r="G75" s="527"/>
      <c r="H75" s="528"/>
      <c r="I75" s="528"/>
      <c r="J75" s="528"/>
      <c r="K75" s="528"/>
      <c r="L75" s="528"/>
      <c r="M75" s="529"/>
      <c r="N75" s="1047"/>
      <c r="O75" s="1047"/>
      <c r="P75" s="2058"/>
      <c r="Q75" s="516"/>
    </row>
    <row r="76" spans="1:17" ht="14.4">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 thickTop="1">
      <c r="A82" s="491"/>
      <c r="B82" s="503" t="s">
        <v>1703</v>
      </c>
      <c r="C82" s="496" t="s">
        <v>2182</v>
      </c>
      <c r="D82" s="496" t="s">
        <v>2183</v>
      </c>
      <c r="E82" s="496" t="s">
        <v>2184</v>
      </c>
      <c r="F82" s="496" t="s">
        <v>2185</v>
      </c>
      <c r="G82" s="496" t="s">
        <v>2186</v>
      </c>
      <c r="H82" s="496"/>
      <c r="I82" s="496"/>
      <c r="J82" s="496"/>
      <c r="K82" s="496"/>
      <c r="L82" s="496"/>
      <c r="M82" s="1244"/>
      <c r="N82" s="1046"/>
      <c r="O82" s="1046"/>
      <c r="P82" s="2057"/>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 thickTop="1">
      <c r="A86" s="536"/>
      <c r="B86" s="495" t="s">
        <v>2188</v>
      </c>
      <c r="C86" s="511"/>
      <c r="D86" s="511"/>
      <c r="E86" s="511"/>
      <c r="F86" s="511"/>
      <c r="G86" s="511"/>
      <c r="H86" s="511"/>
      <c r="I86" s="511"/>
      <c r="J86" s="511"/>
      <c r="K86" s="511"/>
      <c r="L86" s="537"/>
      <c r="M86" s="538"/>
      <c r="N86" s="1044"/>
      <c r="O86" s="1044"/>
      <c r="P86" s="2057"/>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 thickTop="1">
      <c r="A88" s="536"/>
      <c r="B88" s="495" t="s">
        <v>2189</v>
      </c>
      <c r="C88" s="511"/>
      <c r="D88" s="511"/>
      <c r="E88" s="511"/>
      <c r="F88" s="2062"/>
      <c r="G88" s="511"/>
      <c r="H88" s="511"/>
      <c r="I88" s="511"/>
      <c r="J88" s="511"/>
      <c r="K88" s="511"/>
      <c r="L88" s="511"/>
      <c r="M88" s="538"/>
      <c r="N88" s="1044"/>
      <c r="O88" s="1044"/>
      <c r="P88" s="2057"/>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4.4" thickTop="1">
      <c r="A90" s="510"/>
      <c r="B90" s="495">
        <f>B27</f>
        <v>111</v>
      </c>
      <c r="C90" s="511"/>
      <c r="D90" s="511"/>
      <c r="E90" s="511"/>
      <c r="F90" s="511"/>
      <c r="G90" s="511"/>
      <c r="H90" s="512"/>
      <c r="I90" s="512"/>
      <c r="J90" s="512"/>
      <c r="K90" s="512"/>
      <c r="L90" s="513"/>
      <c r="M90" s="514"/>
      <c r="N90" s="1047"/>
      <c r="O90" s="1047"/>
      <c r="P90" s="2058"/>
      <c r="Q90" s="516"/>
    </row>
    <row r="91" spans="1:17" s="430" customFormat="1" ht="14.4" thickBot="1">
      <c r="A91" s="510"/>
      <c r="B91" s="500"/>
      <c r="C91" s="517"/>
      <c r="D91" s="517"/>
      <c r="E91" s="517"/>
      <c r="F91" s="517"/>
      <c r="G91" s="517"/>
      <c r="H91" s="519"/>
      <c r="I91" s="519"/>
      <c r="J91" s="519"/>
      <c r="K91" s="519"/>
      <c r="L91" s="519"/>
      <c r="M91" s="520"/>
      <c r="N91" s="1047"/>
      <c r="O91" s="1047"/>
      <c r="P91" s="2058"/>
      <c r="Q91" s="516"/>
    </row>
    <row r="92" spans="1:17" ht="14.4" thickTop="1">
      <c r="A92" s="491"/>
      <c r="B92" s="495">
        <f>B28</f>
        <v>111</v>
      </c>
      <c r="C92" s="511"/>
      <c r="D92" s="511"/>
      <c r="E92" s="511"/>
      <c r="F92" s="511"/>
      <c r="G92" s="540"/>
      <c r="H92" s="540"/>
      <c r="I92" s="540"/>
      <c r="J92" s="540"/>
      <c r="K92" s="541"/>
      <c r="L92" s="542"/>
      <c r="M92" s="543"/>
      <c r="N92" s="1045"/>
      <c r="O92" s="1045"/>
      <c r="P92" s="2057"/>
      <c r="Q92" s="461"/>
    </row>
    <row r="93" spans="1:17" ht="14.4" thickBot="1">
      <c r="A93" s="491"/>
      <c r="B93" s="500"/>
      <c r="C93" s="517"/>
      <c r="D93" s="493"/>
      <c r="E93" s="493"/>
      <c r="F93" s="493"/>
      <c r="G93" s="493"/>
      <c r="H93" s="493"/>
      <c r="I93" s="493"/>
      <c r="J93" s="493"/>
      <c r="K93" s="493"/>
      <c r="L93" s="493"/>
      <c r="M93" s="494"/>
      <c r="N93" s="1046"/>
      <c r="O93" s="1046"/>
      <c r="P93" s="2057"/>
      <c r="Q93" s="461"/>
    </row>
    <row r="94" spans="1:17" ht="14.4" thickTop="1">
      <c r="A94" s="491"/>
      <c r="B94" s="495">
        <f>B29</f>
        <v>111</v>
      </c>
      <c r="C94" s="511"/>
      <c r="D94" s="511"/>
      <c r="E94" s="511"/>
      <c r="F94" s="511"/>
      <c r="G94" s="540"/>
      <c r="H94" s="540"/>
      <c r="I94" s="540"/>
      <c r="J94" s="540"/>
      <c r="K94" s="541"/>
      <c r="L94" s="542"/>
      <c r="M94" s="543"/>
      <c r="N94" s="1045"/>
      <c r="O94" s="1045"/>
      <c r="P94" s="2057"/>
      <c r="Q94" s="461"/>
    </row>
    <row r="95" spans="1:17" ht="14.4" thickBot="1">
      <c r="A95" s="491"/>
      <c r="B95" s="500"/>
      <c r="C95" s="517"/>
      <c r="D95" s="517"/>
      <c r="E95" s="517"/>
      <c r="F95" s="517"/>
      <c r="G95" s="493"/>
      <c r="H95" s="493"/>
      <c r="I95" s="493"/>
      <c r="J95" s="493"/>
      <c r="K95" s="493"/>
      <c r="L95" s="493"/>
      <c r="M95" s="494"/>
      <c r="N95" s="1046"/>
      <c r="O95" s="1046"/>
      <c r="P95" s="2057"/>
      <c r="Q95" s="461"/>
    </row>
    <row r="96" spans="1:17" ht="14.4" thickTop="1">
      <c r="A96" s="491"/>
      <c r="B96" s="495">
        <f>B30</f>
        <v>111</v>
      </c>
      <c r="C96" s="511"/>
      <c r="D96" s="511"/>
      <c r="E96" s="511"/>
      <c r="F96" s="511"/>
      <c r="G96" s="540"/>
      <c r="H96" s="540"/>
      <c r="I96" s="540"/>
      <c r="J96" s="540"/>
      <c r="K96" s="541"/>
      <c r="L96" s="542"/>
      <c r="M96" s="543"/>
      <c r="N96" s="1045"/>
      <c r="O96" s="1045"/>
      <c r="P96" s="2057"/>
      <c r="Q96" s="461"/>
    </row>
    <row r="97" spans="1:17" ht="14.4" thickBot="1">
      <c r="A97" s="491"/>
      <c r="B97" s="500"/>
      <c r="C97" s="527"/>
      <c r="D97" s="527"/>
      <c r="E97" s="527"/>
      <c r="F97" s="527"/>
      <c r="G97" s="493"/>
      <c r="H97" s="493"/>
      <c r="I97" s="493"/>
      <c r="J97" s="493"/>
      <c r="K97" s="493"/>
      <c r="L97" s="493"/>
      <c r="M97" s="494"/>
      <c r="N97" s="1046"/>
      <c r="O97" s="1046"/>
      <c r="P97" s="2057"/>
      <c r="Q97" s="461"/>
    </row>
    <row r="98" spans="1:17" ht="14.4" thickTop="1">
      <c r="A98" s="491"/>
      <c r="B98" s="503">
        <f>B31</f>
        <v>111</v>
      </c>
      <c r="C98" s="544"/>
      <c r="D98" s="544"/>
      <c r="E98" s="544"/>
      <c r="F98" s="544"/>
      <c r="G98" s="544"/>
      <c r="H98" s="544"/>
      <c r="I98" s="544"/>
      <c r="J98" s="544"/>
      <c r="K98" s="545"/>
      <c r="L98" s="546"/>
      <c r="M98" s="547"/>
      <c r="N98" s="1045"/>
      <c r="O98" s="1045"/>
      <c r="P98" s="2057"/>
      <c r="Q98" s="461"/>
    </row>
    <row r="99" spans="1:17" ht="14.4" thickBot="1">
      <c r="A99" s="2063"/>
      <c r="B99" s="526"/>
      <c r="C99" s="548"/>
      <c r="D99" s="548"/>
      <c r="E99" s="548"/>
      <c r="F99" s="548"/>
      <c r="G99" s="548"/>
      <c r="H99" s="548"/>
      <c r="I99" s="548"/>
      <c r="J99" s="548"/>
      <c r="K99" s="548"/>
      <c r="L99" s="548"/>
      <c r="M99" s="549"/>
      <c r="N99" s="1046"/>
      <c r="O99" s="1046"/>
      <c r="P99" s="2057"/>
      <c r="Q99" s="461"/>
    </row>
    <row r="100" spans="1:17" ht="14.4">
      <c r="A100" s="484" t="s">
        <v>2141</v>
      </c>
      <c r="B100" s="485" t="s">
        <v>2190</v>
      </c>
      <c r="C100" s="487"/>
      <c r="D100" s="487"/>
      <c r="E100" s="487"/>
      <c r="F100" s="487"/>
      <c r="G100" s="487"/>
      <c r="H100" s="487"/>
      <c r="I100" s="487"/>
      <c r="J100" s="487"/>
      <c r="K100" s="488"/>
      <c r="L100" s="489"/>
      <c r="M100" s="490"/>
      <c r="N100" s="1045"/>
      <c r="O100" s="1045"/>
      <c r="P100" s="2057"/>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4.4"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9.4"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4.4"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29.4"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4.4" thickBot="1">
      <c r="A127" s="510"/>
      <c r="B127" s="500"/>
      <c r="C127" s="517"/>
      <c r="D127" s="493"/>
      <c r="E127" s="493"/>
      <c r="F127" s="493"/>
      <c r="G127" s="517"/>
      <c r="H127" s="519"/>
      <c r="I127" s="519"/>
      <c r="J127" s="519"/>
      <c r="K127" s="519"/>
      <c r="L127" s="519"/>
      <c r="M127" s="520"/>
      <c r="N127" s="1047"/>
      <c r="O127" s="1047"/>
      <c r="P127" s="2058"/>
      <c r="Q127" s="516"/>
    </row>
    <row r="128" spans="1:17" ht="14.4" thickTop="1">
      <c r="A128" s="556"/>
      <c r="B128" s="495">
        <f>B45</f>
        <v>111</v>
      </c>
      <c r="C128" s="511"/>
      <c r="D128" s="511"/>
      <c r="E128" s="511"/>
      <c r="F128" s="511"/>
      <c r="G128" s="540"/>
      <c r="H128" s="540"/>
      <c r="I128" s="540"/>
      <c r="J128" s="540"/>
      <c r="K128" s="541"/>
      <c r="L128" s="542"/>
      <c r="M128" s="543"/>
      <c r="N128" s="1045"/>
      <c r="O128" s="1045"/>
      <c r="P128" s="2057"/>
      <c r="Q128" s="461"/>
    </row>
    <row r="129" spans="1:17" ht="14.4" thickBot="1">
      <c r="A129" s="491"/>
      <c r="B129" s="500"/>
      <c r="C129" s="517"/>
      <c r="D129" s="517"/>
      <c r="E129" s="517"/>
      <c r="F129" s="517"/>
      <c r="G129" s="493"/>
      <c r="H129" s="493"/>
      <c r="I129" s="493"/>
      <c r="J129" s="493"/>
      <c r="K129" s="493"/>
      <c r="L129" s="493"/>
      <c r="M129" s="494"/>
      <c r="N129" s="1046"/>
      <c r="O129" s="1046"/>
      <c r="P129" s="2057"/>
      <c r="Q129" s="461"/>
    </row>
    <row r="130" spans="1:17" ht="14.4" thickTop="1">
      <c r="A130" s="556"/>
      <c r="B130" s="503">
        <f>B46</f>
        <v>111</v>
      </c>
      <c r="C130" s="511"/>
      <c r="D130" s="511"/>
      <c r="E130" s="511"/>
      <c r="F130" s="511"/>
      <c r="G130" s="544"/>
      <c r="H130" s="544"/>
      <c r="I130" s="544"/>
      <c r="J130" s="544"/>
      <c r="K130" s="480"/>
      <c r="L130" s="481"/>
      <c r="M130" s="547"/>
      <c r="N130" s="1045"/>
      <c r="O130" s="1045"/>
      <c r="P130" s="2057"/>
      <c r="Q130" s="461"/>
    </row>
    <row r="131" spans="1:17" ht="14.4"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6.2"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ht="14.4">
      <c r="B147" s="2064" t="s">
        <v>2218</v>
      </c>
    </row>
    <row r="148" spans="2:11" ht="14.4">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2" customWidth="1"/>
    <col min="2" max="16384" width="9" style="1612"/>
  </cols>
  <sheetData>
    <row r="1" spans="1:1" ht="22.8">
      <c r="A1" s="1611" t="s">
        <v>1335</v>
      </c>
    </row>
    <row r="2" spans="1:1">
      <c r="A2" s="1613"/>
    </row>
    <row r="3" spans="1:1" ht="17.399999999999999">
      <c r="A3" s="1614" t="str">
        <f>项目基本情况!B5&amp;"："</f>
        <v>：</v>
      </c>
    </row>
    <row r="4" spans="1:1" ht="17.399999999999999">
      <c r="A4" s="1615" t="str">
        <f>"受贵公司委托，我公司对"&amp;项目基本情况!S1&amp;"进行了预评估。"</f>
        <v>受贵公司委托，我公司对北京市房地产抵押价值进行了预评估。</v>
      </c>
    </row>
    <row r="5" spans="1:1" ht="17.399999999999999">
      <c r="A5" s="1616" t="s">
        <v>1336</v>
      </c>
    </row>
    <row r="6" spans="1:1" ht="17.399999999999999">
      <c r="A6" s="1617" t="s">
        <v>1337</v>
      </c>
    </row>
    <row r="7" spans="1:1" ht="52.2">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估价对象为北京市房地产，为所有。根据《国有土地使用证》[]，估价对象（分摊）出让国有建设用地使用权面积为118122.57平方米，建筑面积为243924.88平方米。</v>
      </c>
    </row>
    <row r="8" spans="1:1" ht="54.6">
      <c r="A8" s="1618" t="s">
        <v>1338</v>
      </c>
    </row>
    <row r="9" spans="1:1" ht="17.399999999999999">
      <c r="A9" s="1617" t="s">
        <v>1339</v>
      </c>
    </row>
    <row r="10" spans="1:1" ht="52.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估价对象为北京市房地产,属开发建设的，该项目尚在开发建设中。根据《国有土地使用证》[]，估价对象（分摊）出让国有建设用地使用权面积为118122.57平方米，规划建筑面积为243924.88平方米。</v>
      </c>
    </row>
    <row r="11" spans="1:1" ht="72">
      <c r="A11" s="1618" t="s">
        <v>1340</v>
      </c>
    </row>
    <row r="12" spans="1:1" ht="17.399999999999999">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0" t="s">
        <v>1342</v>
      </c>
    </row>
    <row r="15" spans="1:1" ht="17.399999999999999">
      <c r="A15" s="1621" t="str">
        <f>TEXT(项目基本情况!D3,"yyyy年m月d日;;")&amp;IF(项目基本情况!D3=项目基本情况!B3,"（评估专业人员实地查勘之日）","")</f>
        <v>2022年7月27日（评估专业人员实地查勘之日）</v>
      </c>
    </row>
    <row r="16" spans="1:1" ht="17.399999999999999">
      <c r="A16" s="1620" t="s">
        <v>1343</v>
      </c>
    </row>
    <row r="17" spans="1:1" ht="69.599999999999994">
      <c r="A17" s="1615" t="s">
        <v>1344</v>
      </c>
    </row>
    <row r="18" spans="1:1" ht="69.59999999999999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0" t="s">
        <v>1333</v>
      </c>
    </row>
    <row r="24" spans="1:1" ht="17.399999999999999">
      <c r="A24" s="1622" t="str">
        <f>"本次评估采用的主估价方法为"&amp;结果表!K4&amp;"和"&amp;结果表!L4&amp;"。"</f>
        <v>本次评估采用的主估价方法为成本法和收益法。</v>
      </c>
    </row>
    <row r="25" spans="1:1" ht="17.399999999999999">
      <c r="A25" s="1622"/>
    </row>
    <row r="26" spans="1:1" ht="17.399999999999999">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9" t="e">
        <f ca="1">IF(C2="——",ROUND(C49*D3/10000,0),ROUND(C49*D3/10000,0)-D2)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243924.88</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4.4">
      <c r="A4" s="361" t="s">
        <v>2223</v>
      </c>
      <c r="B4" s="362"/>
      <c r="C4" s="3521" t="s">
        <v>2224</v>
      </c>
      <c r="D4" s="3522"/>
      <c r="E4" s="3523" t="s">
        <v>2225</v>
      </c>
      <c r="F4" s="3524"/>
      <c r="G4" s="3521" t="s">
        <v>2226</v>
      </c>
      <c r="H4" s="3522"/>
      <c r="I4" s="3521" t="s">
        <v>2227</v>
      </c>
      <c r="J4" s="3522"/>
      <c r="K4" s="567" t="s">
        <v>2228</v>
      </c>
      <c r="L4" s="2892"/>
      <c r="M4" s="2893"/>
      <c r="N4" s="2893"/>
      <c r="O4" s="2893"/>
      <c r="P4" s="3525" t="s">
        <v>2229</v>
      </c>
      <c r="Q4" s="3526"/>
      <c r="R4" s="3531" t="s">
        <v>2225</v>
      </c>
      <c r="S4" s="3532"/>
      <c r="T4" s="3531" t="s">
        <v>2226</v>
      </c>
      <c r="U4" s="3532"/>
      <c r="V4" s="3537" t="s">
        <v>2227</v>
      </c>
      <c r="W4" s="3537"/>
      <c r="X4" s="1489"/>
      <c r="Y4" s="3531" t="s">
        <v>2229</v>
      </c>
      <c r="Z4" s="3532"/>
      <c r="AA4" s="3518" t="s">
        <v>2225</v>
      </c>
      <c r="AB4" s="3537" t="s">
        <v>2226</v>
      </c>
      <c r="AC4" s="3518" t="s">
        <v>2227</v>
      </c>
    </row>
    <row r="5" spans="1:29">
      <c r="A5" s="364"/>
      <c r="B5" s="365"/>
      <c r="C5" s="3540" t="s">
        <v>2120</v>
      </c>
      <c r="D5" s="3541"/>
      <c r="E5" s="3547" t="s">
        <v>2121</v>
      </c>
      <c r="F5" s="3548"/>
      <c r="G5" s="3540" t="s">
        <v>2122</v>
      </c>
      <c r="H5" s="3541"/>
      <c r="I5" s="3540" t="s">
        <v>2123</v>
      </c>
      <c r="J5" s="3541"/>
      <c r="K5" s="567"/>
      <c r="L5" s="2892"/>
      <c r="M5" s="2893"/>
      <c r="N5" s="2893"/>
      <c r="O5" s="2893"/>
      <c r="P5" s="3527"/>
      <c r="Q5" s="3528"/>
      <c r="R5" s="3533"/>
      <c r="S5" s="3534"/>
      <c r="T5" s="3533"/>
      <c r="U5" s="3534"/>
      <c r="V5" s="3537"/>
      <c r="W5" s="3537"/>
      <c r="X5" s="1489"/>
      <c r="Y5" s="3533"/>
      <c r="Z5" s="3534"/>
      <c r="AA5" s="3519"/>
      <c r="AB5" s="3537"/>
      <c r="AC5" s="3519"/>
    </row>
    <row r="6" spans="1:29" ht="15" thickBot="1">
      <c r="A6" s="366"/>
      <c r="B6" s="367"/>
      <c r="C6" s="3538" t="s">
        <v>2124</v>
      </c>
      <c r="D6" s="3539"/>
      <c r="E6" s="3545" t="s">
        <v>2124</v>
      </c>
      <c r="F6" s="3546"/>
      <c r="G6" s="3538" t="s">
        <v>2124</v>
      </c>
      <c r="H6" s="3539"/>
      <c r="I6" s="3538" t="s">
        <v>2124</v>
      </c>
      <c r="J6" s="3539"/>
      <c r="K6" s="567" t="s">
        <v>2125</v>
      </c>
      <c r="L6" s="2892"/>
      <c r="M6" s="2893"/>
      <c r="N6" s="2893"/>
      <c r="O6" s="2893"/>
      <c r="P6" s="3529"/>
      <c r="Q6" s="3530"/>
      <c r="R6" s="3533"/>
      <c r="S6" s="3534"/>
      <c r="T6" s="3535"/>
      <c r="U6" s="3536"/>
      <c r="V6" s="3537"/>
      <c r="W6" s="3537"/>
      <c r="X6" s="1489"/>
      <c r="Y6" s="3535"/>
      <c r="Z6" s="3536"/>
      <c r="AA6" s="3520"/>
      <c r="AB6" s="3537"/>
      <c r="AC6" s="3520"/>
    </row>
    <row r="7" spans="1:29" s="113" customFormat="1" ht="1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42" t="s">
        <v>2127</v>
      </c>
      <c r="Q7" s="3544"/>
      <c r="R7" s="710" t="s">
        <v>17</v>
      </c>
      <c r="S7" s="711">
        <f t="shared" ref="S7:S15" si="0">F7</f>
        <v>0</v>
      </c>
      <c r="T7" s="710" t="s">
        <v>17</v>
      </c>
      <c r="U7" s="711">
        <f t="shared" ref="U7:U15" si="1">H7</f>
        <v>0</v>
      </c>
      <c r="V7" s="710" t="s">
        <v>17</v>
      </c>
      <c r="W7" s="711">
        <f t="shared" ref="W7:W15" si="2">J7</f>
        <v>0</v>
      </c>
      <c r="X7" s="712"/>
      <c r="Y7" s="3542" t="s">
        <v>2127</v>
      </c>
      <c r="Z7" s="3543"/>
      <c r="AA7" s="713" t="e">
        <f>D7/F7</f>
        <v>#DIV/0!</v>
      </c>
      <c r="AB7" s="713" t="e">
        <f>D7/H7</f>
        <v>#DIV/0!</v>
      </c>
      <c r="AC7" s="713" t="e">
        <f>D7/J7</f>
        <v>#DIV/0!</v>
      </c>
    </row>
    <row r="8" spans="1:29" s="113" customFormat="1" ht="1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42" t="s">
        <v>2130</v>
      </c>
      <c r="Q8" s="3543"/>
      <c r="R8" s="710" t="s">
        <v>17</v>
      </c>
      <c r="S8" s="711">
        <f t="shared" si="0"/>
        <v>0</v>
      </c>
      <c r="T8" s="710" t="s">
        <v>17</v>
      </c>
      <c r="U8" s="711">
        <f t="shared" si="1"/>
        <v>0</v>
      </c>
      <c r="V8" s="710" t="s">
        <v>17</v>
      </c>
      <c r="W8" s="711">
        <f t="shared" si="2"/>
        <v>0</v>
      </c>
      <c r="X8" s="712"/>
      <c r="Y8" s="3542" t="s">
        <v>2130</v>
      </c>
      <c r="Z8" s="3543"/>
      <c r="AA8" s="713" t="e">
        <f t="shared" ref="AA8:AA46" si="3">D8/F8</f>
        <v>#DIV/0!</v>
      </c>
      <c r="AB8" s="713" t="e">
        <f t="shared" ref="AB8:AB46" si="4">D8/H8</f>
        <v>#DIV/0!</v>
      </c>
      <c r="AC8" s="713" t="e">
        <f t="shared" ref="AC8:AC46" si="5">D8/J8</f>
        <v>#DIV/0!</v>
      </c>
    </row>
    <row r="9" spans="1:29" s="113" customFormat="1" ht="14.4">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517" t="s">
        <v>2133</v>
      </c>
      <c r="Q9" s="1477" t="str">
        <f t="shared" ref="Q9:Q15" si="6">B9</f>
        <v>用途</v>
      </c>
      <c r="R9" s="710" t="s">
        <v>17</v>
      </c>
      <c r="S9" s="711">
        <f t="shared" si="0"/>
        <v>100</v>
      </c>
      <c r="T9" s="710" t="s">
        <v>17</v>
      </c>
      <c r="U9" s="711">
        <f t="shared" si="1"/>
        <v>100</v>
      </c>
      <c r="V9" s="710" t="s">
        <v>17</v>
      </c>
      <c r="W9" s="711">
        <f t="shared" si="2"/>
        <v>100</v>
      </c>
      <c r="X9" s="712"/>
      <c r="Y9" s="3378" t="s">
        <v>2134</v>
      </c>
      <c r="Z9" s="55" t="str">
        <f t="shared" ref="Z9:Z15" si="7">Q9</f>
        <v>用途</v>
      </c>
      <c r="AA9" s="713">
        <f t="shared" si="3"/>
        <v>1</v>
      </c>
      <c r="AB9" s="713">
        <f t="shared" si="4"/>
        <v>1</v>
      </c>
      <c r="AC9" s="713">
        <f t="shared" si="5"/>
        <v>1</v>
      </c>
    </row>
    <row r="10" spans="1:29" s="386" customFormat="1" ht="28.8">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517"/>
      <c r="Q10" s="147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517"/>
      <c r="Q11" s="147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517"/>
      <c r="Q12" s="147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517"/>
      <c r="Q13" s="147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6"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517"/>
      <c r="Q14" s="147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69">
      <c r="A15" s="399" t="s">
        <v>2137</v>
      </c>
      <c r="B15" s="65" t="s">
        <v>2231</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15" t="s">
        <v>2138</v>
      </c>
      <c r="Q15" s="1486" t="str">
        <f t="shared" si="6"/>
        <v>商业繁华度</v>
      </c>
      <c r="R15" s="714" t="s">
        <v>17</v>
      </c>
      <c r="S15" s="715">
        <f t="shared" si="0"/>
        <v>100</v>
      </c>
      <c r="T15" s="714" t="s">
        <v>17</v>
      </c>
      <c r="U15" s="715">
        <f t="shared" si="1"/>
        <v>100</v>
      </c>
      <c r="V15" s="714" t="s">
        <v>17</v>
      </c>
      <c r="W15" s="715">
        <f t="shared" si="2"/>
        <v>100</v>
      </c>
      <c r="X15" s="1489"/>
      <c r="Y15" s="3508"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16"/>
      <c r="Q16" s="1486"/>
      <c r="R16" s="714"/>
      <c r="S16" s="715"/>
      <c r="T16" s="714"/>
      <c r="U16" s="715"/>
      <c r="V16" s="714"/>
      <c r="W16" s="715"/>
      <c r="X16" s="1489"/>
      <c r="Y16" s="3509"/>
      <c r="Z16" s="1490"/>
      <c r="AA16" s="1487">
        <v>1</v>
      </c>
      <c r="AB16" s="1487">
        <v>1</v>
      </c>
      <c r="AC16" s="1487">
        <v>1</v>
      </c>
    </row>
    <row r="17" spans="1:29" ht="82.8">
      <c r="A17" s="387"/>
      <c r="B17" s="410" t="s">
        <v>1702</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16"/>
      <c r="Q17" s="1486" t="str">
        <f>B17</f>
        <v>交通便捷度</v>
      </c>
      <c r="R17" s="714" t="s">
        <v>17</v>
      </c>
      <c r="S17" s="715">
        <f>F17</f>
        <v>100</v>
      </c>
      <c r="T17" s="714" t="s">
        <v>17</v>
      </c>
      <c r="U17" s="715">
        <f>H17</f>
        <v>100</v>
      </c>
      <c r="V17" s="714" t="s">
        <v>17</v>
      </c>
      <c r="W17" s="715">
        <f>J17</f>
        <v>100</v>
      </c>
      <c r="X17" s="1489"/>
      <c r="Y17" s="3509"/>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16"/>
      <c r="Q18" s="1486"/>
      <c r="R18" s="714"/>
      <c r="S18" s="715"/>
      <c r="T18" s="714"/>
      <c r="U18" s="715"/>
      <c r="V18" s="714"/>
      <c r="W18" s="715"/>
      <c r="X18" s="1489"/>
      <c r="Y18" s="3509"/>
      <c r="Z18" s="1490"/>
      <c r="AA18" s="1487">
        <v>1</v>
      </c>
      <c r="AB18" s="1487">
        <v>1</v>
      </c>
      <c r="AC18" s="1487">
        <v>1</v>
      </c>
    </row>
    <row r="19" spans="1:29" ht="41.4">
      <c r="A19" s="387"/>
      <c r="B19" s="410" t="s">
        <v>2232</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16"/>
      <c r="Q19" s="1486" t="str">
        <f>B19</f>
        <v>公共配套设施</v>
      </c>
      <c r="R19" s="714" t="s">
        <v>17</v>
      </c>
      <c r="S19" s="715">
        <f>F19</f>
        <v>100</v>
      </c>
      <c r="T19" s="714" t="s">
        <v>17</v>
      </c>
      <c r="U19" s="715">
        <f>H19</f>
        <v>100</v>
      </c>
      <c r="V19" s="714" t="s">
        <v>17</v>
      </c>
      <c r="W19" s="715">
        <f>J19</f>
        <v>100</v>
      </c>
      <c r="X19" s="1489"/>
      <c r="Y19" s="3509"/>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16"/>
      <c r="Q20" s="1486"/>
      <c r="R20" s="714"/>
      <c r="S20" s="715"/>
      <c r="T20" s="714"/>
      <c r="U20" s="715"/>
      <c r="V20" s="714"/>
      <c r="W20" s="715"/>
      <c r="X20" s="1489"/>
      <c r="Y20" s="3509"/>
      <c r="Z20" s="1490"/>
      <c r="AA20" s="1487">
        <v>1</v>
      </c>
      <c r="AB20" s="1487">
        <v>1</v>
      </c>
      <c r="AC20" s="1487">
        <v>1</v>
      </c>
    </row>
    <row r="21" spans="1:29" ht="27.6">
      <c r="A21" s="387"/>
      <c r="B21" s="1246" t="s">
        <v>2233</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16"/>
      <c r="Q21" s="1486" t="str">
        <f>B21</f>
        <v>基础设施水平</v>
      </c>
      <c r="R21" s="714" t="s">
        <v>17</v>
      </c>
      <c r="S21" s="715">
        <f>F21</f>
        <v>100</v>
      </c>
      <c r="T21" s="714" t="s">
        <v>17</v>
      </c>
      <c r="U21" s="715">
        <f>H21</f>
        <v>100</v>
      </c>
      <c r="V21" s="714" t="s">
        <v>17</v>
      </c>
      <c r="W21" s="715">
        <f>J21</f>
        <v>100</v>
      </c>
      <c r="X21" s="1489"/>
      <c r="Y21" s="3509"/>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16"/>
      <c r="Q22" s="1486"/>
      <c r="R22" s="714"/>
      <c r="S22" s="715"/>
      <c r="T22" s="714"/>
      <c r="U22" s="715"/>
      <c r="V22" s="714"/>
      <c r="W22" s="715"/>
      <c r="X22" s="1489"/>
      <c r="Y22" s="3509"/>
      <c r="Z22" s="1490"/>
      <c r="AA22" s="1487">
        <v>1</v>
      </c>
      <c r="AB22" s="1487">
        <v>1</v>
      </c>
      <c r="AC22" s="1487">
        <v>1</v>
      </c>
    </row>
    <row r="23" spans="1:29" ht="55.2">
      <c r="A23" s="387"/>
      <c r="B23" s="410" t="s">
        <v>1704</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16"/>
      <c r="Q23" s="1486" t="str">
        <f>B23</f>
        <v>自然及人文环境</v>
      </c>
      <c r="R23" s="714" t="s">
        <v>17</v>
      </c>
      <c r="S23" s="715">
        <f>F23</f>
        <v>100</v>
      </c>
      <c r="T23" s="714" t="s">
        <v>17</v>
      </c>
      <c r="U23" s="715">
        <f>H23</f>
        <v>100</v>
      </c>
      <c r="V23" s="714" t="s">
        <v>17</v>
      </c>
      <c r="W23" s="715">
        <f>J23</f>
        <v>100</v>
      </c>
      <c r="X23" s="1489"/>
      <c r="Y23" s="3509"/>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16"/>
      <c r="Q24" s="1486"/>
      <c r="R24" s="714"/>
      <c r="S24" s="715"/>
      <c r="T24" s="714"/>
      <c r="U24" s="715"/>
      <c r="V24" s="714"/>
      <c r="W24" s="715"/>
      <c r="X24" s="1489"/>
      <c r="Y24" s="3509"/>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16"/>
      <c r="Q25" s="1486" t="str">
        <f t="shared" ref="Q25:Q46" si="11">B25</f>
        <v>临街状况</v>
      </c>
      <c r="R25" s="714" t="s">
        <v>17</v>
      </c>
      <c r="S25" s="715">
        <f>F25</f>
        <v>100</v>
      </c>
      <c r="T25" s="714" t="s">
        <v>17</v>
      </c>
      <c r="U25" s="715">
        <f>H25</f>
        <v>100</v>
      </c>
      <c r="V25" s="714" t="s">
        <v>17</v>
      </c>
      <c r="W25" s="715">
        <f>J25</f>
        <v>100</v>
      </c>
      <c r="X25" s="1489"/>
      <c r="Y25" s="3509"/>
      <c r="Z25" s="1490" t="str">
        <f>Q25</f>
        <v>临街状况</v>
      </c>
      <c r="AA25" s="1487">
        <f t="shared" si="3"/>
        <v>1</v>
      </c>
      <c r="AB25" s="1487">
        <f t="shared" si="4"/>
        <v>1</v>
      </c>
      <c r="AC25" s="1487">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16"/>
      <c r="Q26" s="1486" t="str">
        <f t="shared" si="11"/>
        <v>平面位置/可视性</v>
      </c>
      <c r="R26" s="714" t="s">
        <v>17</v>
      </c>
      <c r="S26" s="715">
        <f>F26</f>
        <v>100</v>
      </c>
      <c r="T26" s="714" t="s">
        <v>17</v>
      </c>
      <c r="U26" s="715">
        <f>H26</f>
        <v>100</v>
      </c>
      <c r="V26" s="714" t="s">
        <v>17</v>
      </c>
      <c r="W26" s="715">
        <f>J26</f>
        <v>100</v>
      </c>
      <c r="X26" s="1489"/>
      <c r="Y26" s="3509"/>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16"/>
      <c r="Q27" s="1477" t="str">
        <f t="shared" si="11"/>
        <v>人流量</v>
      </c>
      <c r="R27" s="710" t="s">
        <v>17</v>
      </c>
      <c r="S27" s="711">
        <f>F27</f>
        <v>100</v>
      </c>
      <c r="T27" s="710" t="s">
        <v>17</v>
      </c>
      <c r="U27" s="711">
        <f>H27</f>
        <v>100</v>
      </c>
      <c r="V27" s="710" t="s">
        <v>17</v>
      </c>
      <c r="W27" s="711">
        <f>J27</f>
        <v>100</v>
      </c>
      <c r="X27" s="712"/>
      <c r="Y27" s="3509"/>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16"/>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09"/>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16"/>
      <c r="Q29" s="1486">
        <f t="shared" si="11"/>
        <v>111</v>
      </c>
      <c r="R29" s="714" t="s">
        <v>17</v>
      </c>
      <c r="S29" s="715">
        <f t="shared" si="12"/>
        <v>100</v>
      </c>
      <c r="T29" s="714" t="s">
        <v>17</v>
      </c>
      <c r="U29" s="715">
        <f t="shared" si="13"/>
        <v>100</v>
      </c>
      <c r="V29" s="714" t="s">
        <v>17</v>
      </c>
      <c r="W29" s="715">
        <f t="shared" si="14"/>
        <v>100</v>
      </c>
      <c r="X29" s="1489"/>
      <c r="Y29" s="3509"/>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16"/>
      <c r="Q30" s="1486">
        <f t="shared" si="11"/>
        <v>111</v>
      </c>
      <c r="R30" s="714" t="s">
        <v>17</v>
      </c>
      <c r="S30" s="715">
        <f t="shared" si="12"/>
        <v>100</v>
      </c>
      <c r="T30" s="714" t="s">
        <v>17</v>
      </c>
      <c r="U30" s="715">
        <f t="shared" si="13"/>
        <v>100</v>
      </c>
      <c r="V30" s="714" t="s">
        <v>17</v>
      </c>
      <c r="W30" s="715">
        <f t="shared" si="14"/>
        <v>100</v>
      </c>
      <c r="X30" s="1489"/>
      <c r="Y30" s="3509"/>
      <c r="Z30" s="1490">
        <f t="shared" si="15"/>
        <v>111</v>
      </c>
      <c r="AA30" s="1487">
        <f t="shared" si="3"/>
        <v>1</v>
      </c>
      <c r="AB30" s="1487">
        <f t="shared" si="4"/>
        <v>1</v>
      </c>
      <c r="AC30" s="1487">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16"/>
      <c r="Q31" s="1486">
        <f t="shared" si="11"/>
        <v>111</v>
      </c>
      <c r="R31" s="714" t="s">
        <v>17</v>
      </c>
      <c r="S31" s="715">
        <f t="shared" si="12"/>
        <v>100</v>
      </c>
      <c r="T31" s="714" t="s">
        <v>17</v>
      </c>
      <c r="U31" s="715">
        <f t="shared" si="13"/>
        <v>100</v>
      </c>
      <c r="V31" s="714" t="s">
        <v>17</v>
      </c>
      <c r="W31" s="715">
        <f t="shared" si="14"/>
        <v>100</v>
      </c>
      <c r="X31" s="1489"/>
      <c r="Y31" s="3509"/>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10" t="s">
        <v>2143</v>
      </c>
      <c r="Q32" s="1486" t="str">
        <f t="shared" si="11"/>
        <v>商业类型</v>
      </c>
      <c r="R32" s="714" t="s">
        <v>17</v>
      </c>
      <c r="S32" s="715">
        <f t="shared" si="12"/>
        <v>100</v>
      </c>
      <c r="T32" s="714" t="s">
        <v>17</v>
      </c>
      <c r="U32" s="715">
        <f t="shared" si="13"/>
        <v>100</v>
      </c>
      <c r="V32" s="714" t="s">
        <v>17</v>
      </c>
      <c r="W32" s="715">
        <f t="shared" si="14"/>
        <v>100</v>
      </c>
      <c r="X32" s="1489"/>
      <c r="Y32" s="3513"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11"/>
      <c r="Q33" s="716" t="str">
        <f t="shared" si="11"/>
        <v>项目建筑规模</v>
      </c>
      <c r="R33" s="717" t="s">
        <v>17</v>
      </c>
      <c r="S33" s="718" t="e">
        <f t="shared" si="12"/>
        <v>#N/A</v>
      </c>
      <c r="T33" s="717" t="s">
        <v>17</v>
      </c>
      <c r="U33" s="718" t="e">
        <f t="shared" si="13"/>
        <v>#N/A</v>
      </c>
      <c r="V33" s="717" t="s">
        <v>17</v>
      </c>
      <c r="W33" s="718" t="e">
        <f t="shared" si="14"/>
        <v>#N/A</v>
      </c>
      <c r="X33" s="719"/>
      <c r="Y33" s="3513"/>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11"/>
      <c r="Q34" s="1486" t="str">
        <f t="shared" si="11"/>
        <v>建筑结构</v>
      </c>
      <c r="R34" s="714" t="s">
        <v>17</v>
      </c>
      <c r="S34" s="715">
        <f t="shared" si="12"/>
        <v>100</v>
      </c>
      <c r="T34" s="714" t="s">
        <v>17</v>
      </c>
      <c r="U34" s="715">
        <f t="shared" si="13"/>
        <v>100</v>
      </c>
      <c r="V34" s="714" t="s">
        <v>17</v>
      </c>
      <c r="W34" s="715">
        <f t="shared" si="14"/>
        <v>100</v>
      </c>
      <c r="X34" s="1489"/>
      <c r="Y34" s="3513"/>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11"/>
      <c r="Q35" s="1486" t="str">
        <f t="shared" si="11"/>
        <v>公共部分装修</v>
      </c>
      <c r="R35" s="714" t="s">
        <v>17</v>
      </c>
      <c r="S35" s="715">
        <f t="shared" si="12"/>
        <v>100</v>
      </c>
      <c r="T35" s="714" t="s">
        <v>17</v>
      </c>
      <c r="U35" s="715">
        <f t="shared" si="13"/>
        <v>100</v>
      </c>
      <c r="V35" s="714" t="s">
        <v>17</v>
      </c>
      <c r="W35" s="715">
        <f t="shared" si="14"/>
        <v>100</v>
      </c>
      <c r="X35" s="1489"/>
      <c r="Y35" s="3513"/>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11"/>
      <c r="Q36" s="1486" t="str">
        <f t="shared" si="11"/>
        <v>成新度</v>
      </c>
      <c r="R36" s="714" t="s">
        <v>17</v>
      </c>
      <c r="S36" s="715" t="e">
        <f t="shared" si="12"/>
        <v>#N/A</v>
      </c>
      <c r="T36" s="714" t="s">
        <v>17</v>
      </c>
      <c r="U36" s="715" t="e">
        <f t="shared" si="13"/>
        <v>#N/A</v>
      </c>
      <c r="V36" s="714" t="s">
        <v>17</v>
      </c>
      <c r="W36" s="715" t="e">
        <f t="shared" si="14"/>
        <v>#N/A</v>
      </c>
      <c r="X36" s="1489"/>
      <c r="Y36" s="3513"/>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11"/>
      <c r="Q37" s="1477" t="str">
        <f t="shared" si="11"/>
        <v>市政基础设施</v>
      </c>
      <c r="R37" s="710" t="s">
        <v>17</v>
      </c>
      <c r="S37" s="711">
        <f t="shared" si="12"/>
        <v>100</v>
      </c>
      <c r="T37" s="710" t="s">
        <v>17</v>
      </c>
      <c r="U37" s="711">
        <f t="shared" si="13"/>
        <v>100</v>
      </c>
      <c r="V37" s="710" t="s">
        <v>17</v>
      </c>
      <c r="W37" s="711">
        <f t="shared" si="14"/>
        <v>100</v>
      </c>
      <c r="X37" s="712"/>
      <c r="Y37" s="3513"/>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11" t="s">
        <v>2143</v>
      </c>
      <c r="Q38" s="1486" t="str">
        <f t="shared" si="11"/>
        <v>业态</v>
      </c>
      <c r="R38" s="714" t="s">
        <v>17</v>
      </c>
      <c r="S38" s="715">
        <f t="shared" si="12"/>
        <v>100</v>
      </c>
      <c r="T38" s="714" t="s">
        <v>17</v>
      </c>
      <c r="U38" s="715">
        <f t="shared" si="13"/>
        <v>100</v>
      </c>
      <c r="V38" s="714" t="s">
        <v>17</v>
      </c>
      <c r="W38" s="715">
        <f t="shared" si="14"/>
        <v>100</v>
      </c>
      <c r="X38" s="1489"/>
      <c r="Y38" s="3513"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11"/>
      <c r="Q39" s="1486" t="str">
        <f t="shared" si="11"/>
        <v>层高</v>
      </c>
      <c r="R39" s="714" t="s">
        <v>17</v>
      </c>
      <c r="S39" s="715">
        <f t="shared" si="12"/>
        <v>100</v>
      </c>
      <c r="T39" s="714" t="s">
        <v>17</v>
      </c>
      <c r="U39" s="715">
        <f t="shared" si="13"/>
        <v>100</v>
      </c>
      <c r="V39" s="714" t="s">
        <v>17</v>
      </c>
      <c r="W39" s="715">
        <f t="shared" si="14"/>
        <v>100</v>
      </c>
      <c r="X39" s="1489"/>
      <c r="Y39" s="3513"/>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11"/>
      <c r="Q40" s="1486" t="str">
        <f t="shared" si="11"/>
        <v>单套建筑面积</v>
      </c>
      <c r="R40" s="714" t="s">
        <v>17</v>
      </c>
      <c r="S40" s="715">
        <f t="shared" si="12"/>
        <v>100</v>
      </c>
      <c r="T40" s="714" t="s">
        <v>17</v>
      </c>
      <c r="U40" s="715">
        <f t="shared" si="13"/>
        <v>100</v>
      </c>
      <c r="V40" s="714" t="s">
        <v>17</v>
      </c>
      <c r="W40" s="715">
        <f t="shared" si="14"/>
        <v>100</v>
      </c>
      <c r="X40" s="1489"/>
      <c r="Y40" s="3513"/>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11"/>
      <c r="Q41" s="716" t="str">
        <f t="shared" si="11"/>
        <v>进深比</v>
      </c>
      <c r="R41" s="717" t="s">
        <v>17</v>
      </c>
      <c r="S41" s="718">
        <f t="shared" si="12"/>
        <v>100</v>
      </c>
      <c r="T41" s="717" t="s">
        <v>17</v>
      </c>
      <c r="U41" s="718">
        <f t="shared" si="13"/>
        <v>100</v>
      </c>
      <c r="V41" s="717" t="s">
        <v>17</v>
      </c>
      <c r="W41" s="718">
        <f t="shared" si="14"/>
        <v>100</v>
      </c>
      <c r="X41" s="719"/>
      <c r="Y41" s="3513"/>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11"/>
      <c r="Q42" s="1486" t="str">
        <f t="shared" si="11"/>
        <v>内部装修</v>
      </c>
      <c r="R42" s="714" t="s">
        <v>17</v>
      </c>
      <c r="S42" s="715">
        <f t="shared" si="12"/>
        <v>100</v>
      </c>
      <c r="T42" s="714" t="s">
        <v>17</v>
      </c>
      <c r="U42" s="715">
        <f t="shared" si="13"/>
        <v>100</v>
      </c>
      <c r="V42" s="714" t="s">
        <v>17</v>
      </c>
      <c r="W42" s="715">
        <f t="shared" si="14"/>
        <v>100</v>
      </c>
      <c r="X42" s="1489"/>
      <c r="Y42" s="3513"/>
      <c r="Z42" s="1490" t="str">
        <f t="shared" si="15"/>
        <v>内部装修</v>
      </c>
      <c r="AA42" s="1487">
        <f t="shared" si="3"/>
        <v>1</v>
      </c>
      <c r="AB42" s="1487">
        <f t="shared" si="4"/>
        <v>1</v>
      </c>
      <c r="AC42" s="1487">
        <f t="shared" si="5"/>
        <v>1</v>
      </c>
    </row>
    <row r="43" spans="1:29" ht="28.8">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11"/>
      <c r="Q43" s="1486" t="str">
        <f t="shared" si="11"/>
        <v>内部装修维护情况</v>
      </c>
      <c r="R43" s="714" t="s">
        <v>17</v>
      </c>
      <c r="S43" s="715">
        <f t="shared" si="12"/>
        <v>100</v>
      </c>
      <c r="T43" s="714" t="s">
        <v>17</v>
      </c>
      <c r="U43" s="715">
        <f t="shared" si="13"/>
        <v>100</v>
      </c>
      <c r="V43" s="714" t="s">
        <v>17</v>
      </c>
      <c r="W43" s="715">
        <f t="shared" si="14"/>
        <v>100</v>
      </c>
      <c r="X43" s="1489"/>
      <c r="Y43" s="3513"/>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11"/>
      <c r="Q44" s="1477">
        <f t="shared" si="11"/>
        <v>111</v>
      </c>
      <c r="R44" s="710" t="s">
        <v>17</v>
      </c>
      <c r="S44" s="711">
        <f t="shared" si="12"/>
        <v>100</v>
      </c>
      <c r="T44" s="710" t="s">
        <v>17</v>
      </c>
      <c r="U44" s="711">
        <f t="shared" si="13"/>
        <v>100</v>
      </c>
      <c r="V44" s="710" t="s">
        <v>17</v>
      </c>
      <c r="W44" s="711">
        <f t="shared" si="14"/>
        <v>100</v>
      </c>
      <c r="X44" s="712"/>
      <c r="Y44" s="351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11"/>
      <c r="Q45" s="1486">
        <f t="shared" si="11"/>
        <v>111</v>
      </c>
      <c r="R45" s="714" t="s">
        <v>17</v>
      </c>
      <c r="S45" s="715">
        <f t="shared" si="12"/>
        <v>100</v>
      </c>
      <c r="T45" s="714" t="s">
        <v>17</v>
      </c>
      <c r="U45" s="715">
        <f t="shared" si="13"/>
        <v>100</v>
      </c>
      <c r="V45" s="714" t="s">
        <v>17</v>
      </c>
      <c r="W45" s="715">
        <f t="shared" si="14"/>
        <v>100</v>
      </c>
      <c r="X45" s="1489"/>
      <c r="Y45" s="3513"/>
      <c r="Z45" s="1490">
        <f t="shared" si="15"/>
        <v>111</v>
      </c>
      <c r="AA45" s="1487">
        <f t="shared" si="3"/>
        <v>1</v>
      </c>
      <c r="AB45" s="1487">
        <f t="shared" si="4"/>
        <v>1</v>
      </c>
      <c r="AC45" s="1487">
        <f t="shared" si="5"/>
        <v>1</v>
      </c>
    </row>
    <row r="46" spans="1:29" ht="15.6"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12"/>
      <c r="Q46" s="1486">
        <f t="shared" si="11"/>
        <v>111</v>
      </c>
      <c r="R46" s="714" t="s">
        <v>17</v>
      </c>
      <c r="S46" s="715">
        <f t="shared" si="12"/>
        <v>100</v>
      </c>
      <c r="T46" s="714" t="s">
        <v>17</v>
      </c>
      <c r="U46" s="715">
        <f t="shared" si="13"/>
        <v>100</v>
      </c>
      <c r="V46" s="714" t="s">
        <v>17</v>
      </c>
      <c r="W46" s="715">
        <f t="shared" si="14"/>
        <v>100</v>
      </c>
      <c r="X46" s="1489"/>
      <c r="Y46" s="3514"/>
      <c r="Z46" s="1490">
        <f t="shared" si="15"/>
        <v>111</v>
      </c>
      <c r="AA46" s="1487">
        <f t="shared" si="3"/>
        <v>1</v>
      </c>
      <c r="AB46" s="1487">
        <f t="shared" si="4"/>
        <v>1</v>
      </c>
      <c r="AC46" s="1487">
        <f t="shared" si="5"/>
        <v>1</v>
      </c>
    </row>
    <row r="47" spans="1:29" ht="14.4">
      <c r="A47" s="438" t="s">
        <v>2155</v>
      </c>
      <c r="B47" s="439"/>
      <c r="C47" s="1269" t="s">
        <v>1</v>
      </c>
      <c r="D47" s="1270"/>
      <c r="E47" s="1271"/>
      <c r="F47" s="1272"/>
      <c r="G47" s="1273"/>
      <c r="H47" s="1274"/>
      <c r="I47" s="1271"/>
      <c r="J47" s="1274"/>
      <c r="K47" s="723"/>
      <c r="L47" s="2901"/>
      <c r="M47" s="2902"/>
      <c r="N47" s="2893"/>
      <c r="O47" s="2902"/>
      <c r="P47" s="3506" t="str">
        <f>A47</f>
        <v>成交单价（元/平方米）</v>
      </c>
      <c r="Q47" s="3506"/>
      <c r="R47" s="3537">
        <f>E47</f>
        <v>0</v>
      </c>
      <c r="S47" s="3537"/>
      <c r="T47" s="3537">
        <f>G47</f>
        <v>0</v>
      </c>
      <c r="U47" s="3537"/>
      <c r="V47" s="3537">
        <f>I47</f>
        <v>0</v>
      </c>
      <c r="W47" s="3537"/>
      <c r="X47" s="699"/>
      <c r="Y47" s="721"/>
      <c r="Z47" s="699"/>
      <c r="AA47" s="699"/>
      <c r="AB47" s="699"/>
      <c r="AC47" s="699"/>
    </row>
    <row r="48" spans="1:29" ht="15" thickBot="1">
      <c r="A48" s="445" t="s">
        <v>2247</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 thickBot="1">
      <c r="A49" s="449" t="s">
        <v>2248</v>
      </c>
      <c r="B49" s="450"/>
      <c r="C49" s="1278" t="e">
        <f>R49</f>
        <v>#DIV/0!</v>
      </c>
      <c r="D49" s="1278"/>
      <c r="E49" s="1278"/>
      <c r="F49" s="1278"/>
      <c r="G49" s="1278"/>
      <c r="H49" s="1278"/>
      <c r="I49" s="1278"/>
      <c r="J49" s="1278"/>
      <c r="K49" s="724"/>
      <c r="L49" s="2901"/>
      <c r="M49" s="2902"/>
      <c r="N49" s="2893"/>
      <c r="O49" s="2902"/>
      <c r="P49" s="3503" t="str">
        <f>A49</f>
        <v>估价对象XX用房的比较价值（楼面单价，元/平方米）</v>
      </c>
      <c r="Q49" s="3504"/>
      <c r="R49" s="3505" t="e">
        <f>IF(F1="售价",ROUND(IF(D48="简单平均",AVERAGE(R48:V48),R48*F48+T48*H48+V48*J48),0),ROUND(IF(D48="简单平均",AVERAGE(R48:V48),R48*F48+T48*H48+V48*J48),1))</f>
        <v>#DIV/0!</v>
      </c>
      <c r="S49" s="3505"/>
      <c r="T49" s="3505"/>
      <c r="U49" s="3505"/>
      <c r="V49" s="3505"/>
      <c r="W49" s="350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2.2" thickBot="1">
      <c r="A57" s="703" t="s">
        <v>2252</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4.4">
      <c r="A58" s="462" t="s">
        <v>2126</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7"/>
      <c r="Q58" s="2918"/>
      <c r="R58" s="2918"/>
      <c r="S58" s="2918"/>
      <c r="T58" s="2918"/>
      <c r="U58" s="2918"/>
      <c r="V58" s="2918"/>
      <c r="W58" s="2918"/>
      <c r="X58" s="2918"/>
      <c r="Y58" s="2918"/>
      <c r="Z58" s="2918"/>
      <c r="AA58" s="2918"/>
      <c r="AB58" s="2918"/>
      <c r="AC58" s="2918"/>
    </row>
    <row r="59" spans="1:29" s="113" customFormat="1">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 thickBot="1">
      <c r="A60" s="472" t="s">
        <v>2163</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4.4">
      <c r="A61" s="478" t="s">
        <v>2128</v>
      </c>
      <c r="B61" s="467"/>
      <c r="C61" s="479" t="s">
        <v>2230</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4.4"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ht="14.4">
      <c r="A63" s="484" t="s">
        <v>2166</v>
      </c>
      <c r="B63" s="485" t="s">
        <v>2132</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4.4"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9.4" thickTop="1">
      <c r="A65" s="491"/>
      <c r="B65" s="495" t="s">
        <v>2135</v>
      </c>
      <c r="C65" s="496" t="s">
        <v>2167</v>
      </c>
      <c r="D65" s="496" t="s">
        <v>2168</v>
      </c>
      <c r="E65" s="496" t="s">
        <v>2169</v>
      </c>
      <c r="F65" s="496" t="s">
        <v>2170</v>
      </c>
      <c r="G65" s="496" t="s">
        <v>2171</v>
      </c>
      <c r="H65" s="496" t="s">
        <v>2172</v>
      </c>
      <c r="I65" s="496" t="s">
        <v>2173</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4.4"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4.4"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4.4"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4.4"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4.4"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4.4"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ht="14.4">
      <c r="A76" s="484" t="s">
        <v>2137</v>
      </c>
      <c r="B76" s="485" t="s">
        <v>2174</v>
      </c>
      <c r="C76" s="530" t="s">
        <v>2175</v>
      </c>
      <c r="D76" s="530" t="s">
        <v>2176</v>
      </c>
      <c r="E76" s="530" t="s">
        <v>2177</v>
      </c>
      <c r="F76" s="530" t="s">
        <v>2178</v>
      </c>
      <c r="G76" s="530" t="s">
        <v>2179</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 thickTop="1">
      <c r="A78" s="491"/>
      <c r="B78" s="495" t="s">
        <v>2180</v>
      </c>
      <c r="C78" s="535" t="s">
        <v>2175</v>
      </c>
      <c r="D78" s="535" t="s">
        <v>2176</v>
      </c>
      <c r="E78" s="535" t="s">
        <v>2177</v>
      </c>
      <c r="F78" s="535" t="s">
        <v>2178</v>
      </c>
      <c r="G78" s="535" t="s">
        <v>2179</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 thickTop="1">
      <c r="A80" s="491"/>
      <c r="B80" s="495" t="s">
        <v>2181</v>
      </c>
      <c r="C80" s="535" t="s">
        <v>2175</v>
      </c>
      <c r="D80" s="535" t="s">
        <v>2176</v>
      </c>
      <c r="E80" s="535" t="s">
        <v>2177</v>
      </c>
      <c r="F80" s="535" t="s">
        <v>2178</v>
      </c>
      <c r="G80" s="535" t="s">
        <v>2179</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 thickTop="1">
      <c r="A82" s="491"/>
      <c r="B82" s="503" t="s">
        <v>2233</v>
      </c>
      <c r="C82" s="616" t="s">
        <v>2253</v>
      </c>
      <c r="D82" s="616" t="s">
        <v>2254</v>
      </c>
      <c r="E82" s="616" t="s">
        <v>2255</v>
      </c>
      <c r="F82" s="616" t="s">
        <v>2256</v>
      </c>
      <c r="G82" s="616" t="s">
        <v>2257</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 thickTop="1">
      <c r="A84" s="491"/>
      <c r="B84" s="495" t="s">
        <v>2187</v>
      </c>
      <c r="C84" s="535" t="s">
        <v>2175</v>
      </c>
      <c r="D84" s="535" t="s">
        <v>2176</v>
      </c>
      <c r="E84" s="535" t="s">
        <v>2177</v>
      </c>
      <c r="F84" s="535" t="s">
        <v>2178</v>
      </c>
      <c r="G84" s="535" t="s">
        <v>2179</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 thickTop="1">
      <c r="A86" s="536"/>
      <c r="B86" s="495" t="s">
        <v>2258</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4.4"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4.4"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4.4"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4.4"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4.4"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4.4"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4.4"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4.4"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4.4"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4.4"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4.4"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ht="14.4">
      <c r="A100" s="484" t="s">
        <v>2141</v>
      </c>
      <c r="B100" s="485" t="s">
        <v>2259</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4.4"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2192</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2194</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2196</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2260</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2261</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2262</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4.4"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2263</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2198</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29.4" thickTop="1">
      <c r="A124" s="556"/>
      <c r="B124" s="495" t="s">
        <v>2199</v>
      </c>
      <c r="C124" s="535" t="s">
        <v>2175</v>
      </c>
      <c r="D124" s="535" t="s">
        <v>2176</v>
      </c>
      <c r="E124" s="535" t="s">
        <v>2177</v>
      </c>
      <c r="F124" s="535" t="s">
        <v>2178</v>
      </c>
      <c r="G124" s="535" t="s">
        <v>2179</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4.4"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4.4"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4.4"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4.4"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4.4"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4.4"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2106</v>
      </c>
      <c r="B1" s="2092" t="s">
        <v>2264</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IF(C2="——",ROUND(C50*D3/10000,0),ROUND(C50*D3/10000,0)-D2)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2222</v>
      </c>
      <c r="D3" s="359">
        <f>IF(D1="",'数据-汇总表'!E3,SUMIF('数据-汇总表'!$C19:$C33,D1,'数据-汇总表'!$E19:$E33))</f>
        <v>243924.88</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4.4">
      <c r="A4" s="361" t="s">
        <v>2223</v>
      </c>
      <c r="B4" s="362"/>
      <c r="C4" s="3521" t="s">
        <v>2224</v>
      </c>
      <c r="D4" s="3522"/>
      <c r="E4" s="3523" t="s">
        <v>2225</v>
      </c>
      <c r="F4" s="3524"/>
      <c r="G4" s="3521" t="s">
        <v>2226</v>
      </c>
      <c r="H4" s="3522"/>
      <c r="I4" s="3521" t="s">
        <v>2227</v>
      </c>
      <c r="J4" s="3522"/>
      <c r="K4" s="567" t="s">
        <v>2228</v>
      </c>
      <c r="L4" s="2892"/>
      <c r="M4" s="2893"/>
      <c r="N4" s="2893"/>
      <c r="O4" s="2893"/>
      <c r="P4" s="3555" t="s">
        <v>2229</v>
      </c>
      <c r="Q4" s="3556"/>
      <c r="R4" s="3559" t="s">
        <v>2225</v>
      </c>
      <c r="S4" s="3560"/>
      <c r="T4" s="3559" t="s">
        <v>2226</v>
      </c>
      <c r="U4" s="3560"/>
      <c r="V4" s="3561" t="s">
        <v>2227</v>
      </c>
      <c r="W4" s="3561"/>
      <c r="X4" s="2093"/>
      <c r="Y4" s="3559" t="s">
        <v>2229</v>
      </c>
      <c r="Z4" s="3560"/>
      <c r="AA4" s="3563" t="s">
        <v>2225</v>
      </c>
      <c r="AB4" s="3563" t="s">
        <v>2226</v>
      </c>
      <c r="AC4" s="3552" t="s">
        <v>2227</v>
      </c>
    </row>
    <row r="5" spans="1:29">
      <c r="A5" s="364"/>
      <c r="B5" s="365"/>
      <c r="C5" s="3540" t="s">
        <v>2120</v>
      </c>
      <c r="D5" s="3541"/>
      <c r="E5" s="3547" t="s">
        <v>2121</v>
      </c>
      <c r="F5" s="3548"/>
      <c r="G5" s="3540" t="s">
        <v>2122</v>
      </c>
      <c r="H5" s="3541"/>
      <c r="I5" s="3540" t="s">
        <v>2123</v>
      </c>
      <c r="J5" s="3541"/>
      <c r="K5" s="567"/>
      <c r="L5" s="2892"/>
      <c r="M5" s="2893"/>
      <c r="N5" s="2893"/>
      <c r="O5" s="2893"/>
      <c r="P5" s="3557"/>
      <c r="Q5" s="3528"/>
      <c r="R5" s="3533"/>
      <c r="S5" s="3534"/>
      <c r="T5" s="3533"/>
      <c r="U5" s="3534"/>
      <c r="V5" s="3537"/>
      <c r="W5" s="3537"/>
      <c r="X5" s="1489"/>
      <c r="Y5" s="3533"/>
      <c r="Z5" s="3534"/>
      <c r="AA5" s="3519"/>
      <c r="AB5" s="3519"/>
      <c r="AC5" s="3553"/>
    </row>
    <row r="6" spans="1:29" ht="15" thickBot="1">
      <c r="A6" s="366"/>
      <c r="B6" s="367"/>
      <c r="C6" s="3538" t="s">
        <v>2124</v>
      </c>
      <c r="D6" s="3539"/>
      <c r="E6" s="3545" t="s">
        <v>2124</v>
      </c>
      <c r="F6" s="3546"/>
      <c r="G6" s="3538" t="s">
        <v>2124</v>
      </c>
      <c r="H6" s="3539"/>
      <c r="I6" s="3538" t="s">
        <v>2124</v>
      </c>
      <c r="J6" s="3539"/>
      <c r="K6" s="567" t="s">
        <v>2125</v>
      </c>
      <c r="L6" s="2892"/>
      <c r="M6" s="2893"/>
      <c r="N6" s="2893"/>
      <c r="O6" s="2893"/>
      <c r="P6" s="3558"/>
      <c r="Q6" s="3530"/>
      <c r="R6" s="3533"/>
      <c r="S6" s="3534"/>
      <c r="T6" s="3535"/>
      <c r="U6" s="3536"/>
      <c r="V6" s="3537"/>
      <c r="W6" s="3537"/>
      <c r="X6" s="1489"/>
      <c r="Y6" s="3535"/>
      <c r="Z6" s="3536"/>
      <c r="AA6" s="3520"/>
      <c r="AB6" s="3520"/>
      <c r="AC6" s="3554"/>
    </row>
    <row r="7" spans="1:29" s="113" customFormat="1" ht="15" thickBot="1">
      <c r="A7" s="368" t="s">
        <v>2126</v>
      </c>
      <c r="B7" s="369"/>
      <c r="C7" s="370">
        <f>'数据-取费表'!B2</f>
        <v>44769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62" t="s">
        <v>2127</v>
      </c>
      <c r="Q7" s="3544"/>
      <c r="R7" s="710" t="s">
        <v>17</v>
      </c>
      <c r="S7" s="711">
        <f t="shared" ref="S7:S15" si="0">F7</f>
        <v>0</v>
      </c>
      <c r="T7" s="710" t="s">
        <v>17</v>
      </c>
      <c r="U7" s="711">
        <f t="shared" ref="U7:U15" si="1">H7</f>
        <v>0</v>
      </c>
      <c r="V7" s="710" t="s">
        <v>17</v>
      </c>
      <c r="W7" s="711">
        <f t="shared" ref="W7:W15" si="2">J7</f>
        <v>0</v>
      </c>
      <c r="X7" s="712"/>
      <c r="Y7" s="3542" t="s">
        <v>2127</v>
      </c>
      <c r="Z7" s="3543"/>
      <c r="AA7" s="713" t="e">
        <f>D7/F7</f>
        <v>#DIV/0!</v>
      </c>
      <c r="AB7" s="713" t="e">
        <f>D7/H7</f>
        <v>#DIV/0!</v>
      </c>
      <c r="AC7" s="2094" t="e">
        <f>D7/J7</f>
        <v>#DIV/0!</v>
      </c>
    </row>
    <row r="8" spans="1:29" s="113" customFormat="1" ht="1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62" t="s">
        <v>2130</v>
      </c>
      <c r="Q8" s="3543"/>
      <c r="R8" s="710" t="s">
        <v>17</v>
      </c>
      <c r="S8" s="711">
        <f t="shared" si="0"/>
        <v>0</v>
      </c>
      <c r="T8" s="710" t="s">
        <v>17</v>
      </c>
      <c r="U8" s="711">
        <f t="shared" si="1"/>
        <v>0</v>
      </c>
      <c r="V8" s="710" t="s">
        <v>17</v>
      </c>
      <c r="W8" s="711">
        <f t="shared" si="2"/>
        <v>0</v>
      </c>
      <c r="X8" s="712"/>
      <c r="Y8" s="3542" t="s">
        <v>2130</v>
      </c>
      <c r="Z8" s="3543"/>
      <c r="AA8" s="713" t="e">
        <f t="shared" ref="AA8:AA47" si="3">D8/F8</f>
        <v>#DIV/0!</v>
      </c>
      <c r="AB8" s="713" t="e">
        <f t="shared" ref="AB8:AB47" si="4">D8/H8</f>
        <v>#DIV/0!</v>
      </c>
      <c r="AC8" s="2094" t="e">
        <f t="shared" ref="AC8:AC47" si="5">D8/J8</f>
        <v>#DIV/0!</v>
      </c>
    </row>
    <row r="9" spans="1:29" s="113" customFormat="1" ht="14.4">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517" t="s">
        <v>2133</v>
      </c>
      <c r="Q9" s="1477" t="str">
        <f t="shared" ref="Q9:Q15" si="6">B9</f>
        <v>用途</v>
      </c>
      <c r="R9" s="710" t="s">
        <v>17</v>
      </c>
      <c r="S9" s="711">
        <f t="shared" si="0"/>
        <v>100</v>
      </c>
      <c r="T9" s="710" t="s">
        <v>17</v>
      </c>
      <c r="U9" s="711">
        <f t="shared" si="1"/>
        <v>100</v>
      </c>
      <c r="V9" s="710" t="s">
        <v>17</v>
      </c>
      <c r="W9" s="711">
        <f t="shared" si="2"/>
        <v>100</v>
      </c>
      <c r="X9" s="712"/>
      <c r="Y9" s="3378" t="s">
        <v>2134</v>
      </c>
      <c r="Z9" s="55" t="str">
        <f t="shared" ref="Z9:Z15" si="7">Q9</f>
        <v>用途</v>
      </c>
      <c r="AA9" s="713">
        <f t="shared" si="3"/>
        <v>1</v>
      </c>
      <c r="AB9" s="713">
        <f t="shared" si="4"/>
        <v>1</v>
      </c>
      <c r="AC9" s="2094">
        <f t="shared" si="5"/>
        <v>1</v>
      </c>
    </row>
    <row r="10" spans="1:29" s="386" customFormat="1" ht="28.8">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517"/>
      <c r="Q10" s="147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094">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517"/>
      <c r="Q11" s="147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517"/>
      <c r="Q12" s="147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517"/>
      <c r="Q13" s="147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094">
        <f t="shared" si="5"/>
        <v>1</v>
      </c>
    </row>
    <row r="14" spans="1:29" ht="15.6"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517"/>
      <c r="Q14" s="147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094">
        <f t="shared" si="5"/>
        <v>1</v>
      </c>
    </row>
    <row r="15" spans="1:29" ht="69">
      <c r="A15" s="399" t="s">
        <v>2137</v>
      </c>
      <c r="B15" s="585" t="s">
        <v>2265</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15" t="s">
        <v>2138</v>
      </c>
      <c r="Q15" s="1486" t="str">
        <f t="shared" si="6"/>
        <v>办公集聚程度</v>
      </c>
      <c r="R15" s="714" t="s">
        <v>17</v>
      </c>
      <c r="S15" s="715">
        <f t="shared" si="0"/>
        <v>100</v>
      </c>
      <c r="T15" s="714" t="s">
        <v>17</v>
      </c>
      <c r="U15" s="715">
        <f t="shared" si="1"/>
        <v>100</v>
      </c>
      <c r="V15" s="714" t="s">
        <v>17</v>
      </c>
      <c r="W15" s="715">
        <f t="shared" si="2"/>
        <v>100</v>
      </c>
      <c r="X15" s="1489"/>
      <c r="Y15" s="3508" t="s">
        <v>2138</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16"/>
      <c r="Q16" s="1486"/>
      <c r="R16" s="714"/>
      <c r="S16" s="715"/>
      <c r="T16" s="714"/>
      <c r="U16" s="715"/>
      <c r="V16" s="714"/>
      <c r="W16" s="715"/>
      <c r="X16" s="1489"/>
      <c r="Y16" s="3509"/>
      <c r="Z16" s="1490"/>
      <c r="AA16" s="1487">
        <v>1</v>
      </c>
      <c r="AB16" s="1487">
        <v>1</v>
      </c>
      <c r="AC16" s="2097">
        <v>1</v>
      </c>
    </row>
    <row r="17" spans="1:29" ht="82.8">
      <c r="A17" s="387"/>
      <c r="B17" s="587" t="s">
        <v>1702</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16"/>
      <c r="Q17" s="1486" t="str">
        <f>B17</f>
        <v>交通便捷度</v>
      </c>
      <c r="R17" s="714" t="s">
        <v>17</v>
      </c>
      <c r="S17" s="715">
        <f>F17</f>
        <v>100</v>
      </c>
      <c r="T17" s="714" t="s">
        <v>17</v>
      </c>
      <c r="U17" s="715">
        <f>H17</f>
        <v>100</v>
      </c>
      <c r="V17" s="714" t="s">
        <v>17</v>
      </c>
      <c r="W17" s="715">
        <f>J17</f>
        <v>100</v>
      </c>
      <c r="X17" s="1489"/>
      <c r="Y17" s="3509"/>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16"/>
      <c r="Q18" s="1486"/>
      <c r="R18" s="714"/>
      <c r="S18" s="715"/>
      <c r="T18" s="714"/>
      <c r="U18" s="715"/>
      <c r="V18" s="714"/>
      <c r="W18" s="715"/>
      <c r="X18" s="1489"/>
      <c r="Y18" s="3509"/>
      <c r="Z18" s="1490"/>
      <c r="AA18" s="1487">
        <v>1</v>
      </c>
      <c r="AB18" s="1487">
        <v>1</v>
      </c>
      <c r="AC18" s="2097">
        <v>1</v>
      </c>
    </row>
    <row r="19" spans="1:29" ht="41.4">
      <c r="A19" s="387"/>
      <c r="B19" s="587" t="s">
        <v>2266</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16"/>
      <c r="Q19" s="1486" t="str">
        <f>B19</f>
        <v>公共配套设施</v>
      </c>
      <c r="R19" s="714" t="s">
        <v>17</v>
      </c>
      <c r="S19" s="715">
        <f>F19</f>
        <v>100</v>
      </c>
      <c r="T19" s="714" t="s">
        <v>17</v>
      </c>
      <c r="U19" s="715">
        <f>H19</f>
        <v>100</v>
      </c>
      <c r="V19" s="714" t="s">
        <v>17</v>
      </c>
      <c r="W19" s="715">
        <f>J19</f>
        <v>100</v>
      </c>
      <c r="X19" s="1489"/>
      <c r="Y19" s="3509"/>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16"/>
      <c r="Q20" s="1486"/>
      <c r="R20" s="714"/>
      <c r="S20" s="715"/>
      <c r="T20" s="714"/>
      <c r="U20" s="715"/>
      <c r="V20" s="714"/>
      <c r="W20" s="715"/>
      <c r="X20" s="1489"/>
      <c r="Y20" s="3509"/>
      <c r="Z20" s="1490"/>
      <c r="AA20" s="1487">
        <v>1</v>
      </c>
      <c r="AB20" s="1487">
        <v>1</v>
      </c>
      <c r="AC20" s="2097">
        <v>1</v>
      </c>
    </row>
    <row r="21" spans="1:29" ht="27.6">
      <c r="A21" s="387"/>
      <c r="B21" s="589" t="s">
        <v>2267</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16"/>
      <c r="Q21" s="1486" t="str">
        <f>B21</f>
        <v>基础设施水平</v>
      </c>
      <c r="R21" s="714" t="s">
        <v>17</v>
      </c>
      <c r="S21" s="715">
        <f>F21</f>
        <v>100</v>
      </c>
      <c r="T21" s="714" t="s">
        <v>17</v>
      </c>
      <c r="U21" s="715">
        <f>H21</f>
        <v>100</v>
      </c>
      <c r="V21" s="714" t="s">
        <v>17</v>
      </c>
      <c r="W21" s="715">
        <f>J21</f>
        <v>100</v>
      </c>
      <c r="X21" s="1489"/>
      <c r="Y21" s="3509"/>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16"/>
      <c r="Q22" s="1486"/>
      <c r="R22" s="714"/>
      <c r="S22" s="715"/>
      <c r="T22" s="714"/>
      <c r="U22" s="715"/>
      <c r="V22" s="714"/>
      <c r="W22" s="715"/>
      <c r="X22" s="1489"/>
      <c r="Y22" s="3509"/>
      <c r="Z22" s="1490"/>
      <c r="AA22" s="1487">
        <v>1</v>
      </c>
      <c r="AB22" s="1487">
        <v>1</v>
      </c>
      <c r="AC22" s="2097">
        <v>1</v>
      </c>
    </row>
    <row r="23" spans="1:29" ht="55.2">
      <c r="A23" s="387"/>
      <c r="B23" s="587" t="s">
        <v>2268</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16"/>
      <c r="Q23" s="1486" t="str">
        <f>B23</f>
        <v>环境质量</v>
      </c>
      <c r="R23" s="714" t="s">
        <v>17</v>
      </c>
      <c r="S23" s="715">
        <f>F23</f>
        <v>100</v>
      </c>
      <c r="T23" s="714" t="s">
        <v>17</v>
      </c>
      <c r="U23" s="715">
        <f>H23</f>
        <v>100</v>
      </c>
      <c r="V23" s="714" t="s">
        <v>17</v>
      </c>
      <c r="W23" s="715">
        <f>J23</f>
        <v>100</v>
      </c>
      <c r="X23" s="1489"/>
      <c r="Y23" s="3509"/>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16"/>
      <c r="Q24" s="1486"/>
      <c r="R24" s="714"/>
      <c r="S24" s="715"/>
      <c r="T24" s="714"/>
      <c r="U24" s="715"/>
      <c r="V24" s="714"/>
      <c r="W24" s="715"/>
      <c r="X24" s="1489"/>
      <c r="Y24" s="3509"/>
      <c r="Z24" s="1490"/>
      <c r="AA24" s="1487">
        <v>1</v>
      </c>
      <c r="AB24" s="1487">
        <v>1</v>
      </c>
      <c r="AC24" s="2097">
        <v>1</v>
      </c>
    </row>
    <row r="25" spans="1:29" ht="28.8">
      <c r="A25" s="364"/>
      <c r="B25" s="587" t="s">
        <v>2269</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16"/>
      <c r="Q25" s="1486" t="str">
        <f>B25</f>
        <v>毗邻道路的类型与等级</v>
      </c>
      <c r="R25" s="714" t="s">
        <v>17</v>
      </c>
      <c r="S25" s="715">
        <f>F25</f>
        <v>100</v>
      </c>
      <c r="T25" s="714" t="s">
        <v>17</v>
      </c>
      <c r="U25" s="715">
        <f>H25</f>
        <v>100</v>
      </c>
      <c r="V25" s="714" t="s">
        <v>17</v>
      </c>
      <c r="W25" s="715">
        <f>J25</f>
        <v>100</v>
      </c>
      <c r="X25" s="1489"/>
      <c r="Y25" s="3509"/>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16"/>
      <c r="Q26" s="1486"/>
      <c r="R26" s="714"/>
      <c r="S26" s="715"/>
      <c r="T26" s="714"/>
      <c r="U26" s="715"/>
      <c r="V26" s="714"/>
      <c r="W26" s="715"/>
      <c r="X26" s="1489"/>
      <c r="Y26" s="3509"/>
      <c r="Z26" s="1490"/>
      <c r="AA26" s="1487">
        <v>1</v>
      </c>
      <c r="AB26" s="1487">
        <v>1</v>
      </c>
      <c r="AC26" s="2097">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16"/>
      <c r="Q27" s="1486" t="str">
        <f t="shared" ref="Q27:Q47" si="11">B27</f>
        <v>楼层</v>
      </c>
      <c r="R27" s="714" t="s">
        <v>17</v>
      </c>
      <c r="S27" s="715">
        <f>F27</f>
        <v>100</v>
      </c>
      <c r="T27" s="714" t="s">
        <v>17</v>
      </c>
      <c r="U27" s="715">
        <f>H27</f>
        <v>100</v>
      </c>
      <c r="V27" s="714" t="s">
        <v>17</v>
      </c>
      <c r="W27" s="715">
        <f>J27</f>
        <v>100</v>
      </c>
      <c r="X27" s="1489"/>
      <c r="Y27" s="3509"/>
      <c r="Z27" s="1490" t="str">
        <f>Q27</f>
        <v>楼层</v>
      </c>
      <c r="AA27" s="1487">
        <f t="shared" si="3"/>
        <v>1</v>
      </c>
      <c r="AB27" s="1487">
        <f t="shared" si="4"/>
        <v>1</v>
      </c>
      <c r="AC27" s="2097">
        <f t="shared" si="5"/>
        <v>1</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16"/>
      <c r="Q28" s="1477" t="str">
        <f t="shared" si="11"/>
        <v>朝向</v>
      </c>
      <c r="R28" s="710" t="s">
        <v>17</v>
      </c>
      <c r="S28" s="711">
        <f>F28</f>
        <v>100</v>
      </c>
      <c r="T28" s="710" t="s">
        <v>17</v>
      </c>
      <c r="U28" s="711">
        <f>H28</f>
        <v>100</v>
      </c>
      <c r="V28" s="710" t="s">
        <v>17</v>
      </c>
      <c r="W28" s="711">
        <f>J28</f>
        <v>100</v>
      </c>
      <c r="X28" s="712"/>
      <c r="Y28" s="3509"/>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16"/>
      <c r="Q29" s="1486">
        <f t="shared" si="11"/>
        <v>111</v>
      </c>
      <c r="R29" s="714" t="s">
        <v>17</v>
      </c>
      <c r="S29" s="715">
        <f t="shared" ref="S29:S47" si="12">F29</f>
        <v>100</v>
      </c>
      <c r="T29" s="714" t="s">
        <v>17</v>
      </c>
      <c r="U29" s="715">
        <f t="shared" ref="U29:U47" si="13">H29</f>
        <v>100</v>
      </c>
      <c r="V29" s="714" t="s">
        <v>17</v>
      </c>
      <c r="W29" s="715">
        <f t="shared" ref="W29:W47" si="14">J29</f>
        <v>100</v>
      </c>
      <c r="X29" s="1489"/>
      <c r="Y29" s="3509"/>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16"/>
      <c r="Q30" s="1486">
        <f t="shared" si="11"/>
        <v>111</v>
      </c>
      <c r="R30" s="714" t="s">
        <v>17</v>
      </c>
      <c r="S30" s="715">
        <f t="shared" si="12"/>
        <v>100</v>
      </c>
      <c r="T30" s="714" t="s">
        <v>17</v>
      </c>
      <c r="U30" s="715">
        <f t="shared" si="13"/>
        <v>100</v>
      </c>
      <c r="V30" s="714" t="s">
        <v>17</v>
      </c>
      <c r="W30" s="715">
        <f t="shared" si="14"/>
        <v>100</v>
      </c>
      <c r="X30" s="1489"/>
      <c r="Y30" s="3509"/>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16"/>
      <c r="Q31" s="1486">
        <f t="shared" si="11"/>
        <v>111</v>
      </c>
      <c r="R31" s="714" t="s">
        <v>17</v>
      </c>
      <c r="S31" s="715">
        <f t="shared" si="12"/>
        <v>100</v>
      </c>
      <c r="T31" s="714" t="s">
        <v>17</v>
      </c>
      <c r="U31" s="715">
        <f t="shared" si="13"/>
        <v>100</v>
      </c>
      <c r="V31" s="714" t="s">
        <v>17</v>
      </c>
      <c r="W31" s="715">
        <f t="shared" si="14"/>
        <v>100</v>
      </c>
      <c r="X31" s="1489"/>
      <c r="Y31" s="3509"/>
      <c r="Z31" s="1490">
        <f t="shared" si="15"/>
        <v>111</v>
      </c>
      <c r="AA31" s="1487">
        <f t="shared" si="3"/>
        <v>1</v>
      </c>
      <c r="AB31" s="1487">
        <f t="shared" si="4"/>
        <v>1</v>
      </c>
      <c r="AC31" s="2097">
        <f t="shared" si="5"/>
        <v>1</v>
      </c>
    </row>
    <row r="32" spans="1:29" ht="15.6"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16"/>
      <c r="Q32" s="1486">
        <f t="shared" si="11"/>
        <v>111</v>
      </c>
      <c r="R32" s="714" t="s">
        <v>17</v>
      </c>
      <c r="S32" s="715">
        <f t="shared" si="12"/>
        <v>100</v>
      </c>
      <c r="T32" s="714" t="s">
        <v>17</v>
      </c>
      <c r="U32" s="715">
        <f t="shared" si="13"/>
        <v>100</v>
      </c>
      <c r="V32" s="714" t="s">
        <v>17</v>
      </c>
      <c r="W32" s="715">
        <f t="shared" si="14"/>
        <v>100</v>
      </c>
      <c r="X32" s="1489"/>
      <c r="Y32" s="3509"/>
      <c r="Z32" s="1490">
        <f t="shared" si="15"/>
        <v>111</v>
      </c>
      <c r="AA32" s="1487">
        <f t="shared" si="3"/>
        <v>1</v>
      </c>
      <c r="AB32" s="1487">
        <f t="shared" si="4"/>
        <v>1</v>
      </c>
      <c r="AC32" s="2097">
        <f t="shared" si="5"/>
        <v>1</v>
      </c>
    </row>
    <row r="33" spans="1:29" ht="15">
      <c r="A33" s="399" t="s">
        <v>2141</v>
      </c>
      <c r="B33" s="67" t="s">
        <v>2271</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10" t="s">
        <v>2143</v>
      </c>
      <c r="Q33" s="1486" t="str">
        <f t="shared" si="11"/>
        <v>建筑类型</v>
      </c>
      <c r="R33" s="714" t="s">
        <v>17</v>
      </c>
      <c r="S33" s="715">
        <f t="shared" si="12"/>
        <v>100</v>
      </c>
      <c r="T33" s="714" t="s">
        <v>17</v>
      </c>
      <c r="U33" s="715">
        <f t="shared" si="13"/>
        <v>100</v>
      </c>
      <c r="V33" s="714" t="s">
        <v>17</v>
      </c>
      <c r="W33" s="715">
        <f t="shared" si="14"/>
        <v>100</v>
      </c>
      <c r="X33" s="1489"/>
      <c r="Y33" s="3513" t="s">
        <v>2143</v>
      </c>
      <c r="Z33" s="1490" t="str">
        <f t="shared" si="15"/>
        <v>建筑类型</v>
      </c>
      <c r="AA33" s="1487">
        <f t="shared" si="3"/>
        <v>1</v>
      </c>
      <c r="AB33" s="1487">
        <f t="shared" si="4"/>
        <v>1</v>
      </c>
      <c r="AC33" s="2097">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11"/>
      <c r="Q34" s="716" t="str">
        <f t="shared" si="11"/>
        <v>项目建筑规模</v>
      </c>
      <c r="R34" s="717" t="s">
        <v>17</v>
      </c>
      <c r="S34" s="718" t="e">
        <f t="shared" si="12"/>
        <v>#N/A</v>
      </c>
      <c r="T34" s="717" t="s">
        <v>17</v>
      </c>
      <c r="U34" s="718" t="e">
        <f t="shared" si="13"/>
        <v>#N/A</v>
      </c>
      <c r="V34" s="717" t="s">
        <v>17</v>
      </c>
      <c r="W34" s="718" t="e">
        <f t="shared" si="14"/>
        <v>#N/A</v>
      </c>
      <c r="X34" s="719"/>
      <c r="Y34" s="3513"/>
      <c r="Z34" s="720" t="str">
        <f t="shared" si="15"/>
        <v>项目建筑规模</v>
      </c>
      <c r="AA34" s="1487" t="e">
        <f t="shared" si="3"/>
        <v>#N/A</v>
      </c>
      <c r="AB34" s="1487" t="e">
        <f t="shared" si="4"/>
        <v>#N/A</v>
      </c>
      <c r="AC34" s="2097"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11"/>
      <c r="Q35" s="1486" t="str">
        <f t="shared" si="11"/>
        <v>建筑结构</v>
      </c>
      <c r="R35" s="714" t="s">
        <v>17</v>
      </c>
      <c r="S35" s="715">
        <f t="shared" si="12"/>
        <v>100</v>
      </c>
      <c r="T35" s="714" t="s">
        <v>17</v>
      </c>
      <c r="U35" s="715">
        <f t="shared" si="13"/>
        <v>100</v>
      </c>
      <c r="V35" s="714" t="s">
        <v>17</v>
      </c>
      <c r="W35" s="715">
        <f t="shared" si="14"/>
        <v>100</v>
      </c>
      <c r="X35" s="1489"/>
      <c r="Y35" s="3513"/>
      <c r="Z35" s="1490" t="str">
        <f t="shared" si="15"/>
        <v>建筑结构</v>
      </c>
      <c r="AA35" s="1487">
        <f t="shared" si="3"/>
        <v>1</v>
      </c>
      <c r="AB35" s="1487">
        <f t="shared" si="4"/>
        <v>1</v>
      </c>
      <c r="AC35" s="2097">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11"/>
      <c r="Q36" s="1486" t="str">
        <f t="shared" si="11"/>
        <v>公共部分装修</v>
      </c>
      <c r="R36" s="714" t="s">
        <v>17</v>
      </c>
      <c r="S36" s="715">
        <f t="shared" si="12"/>
        <v>100</v>
      </c>
      <c r="T36" s="714" t="s">
        <v>17</v>
      </c>
      <c r="U36" s="715">
        <f t="shared" si="13"/>
        <v>100</v>
      </c>
      <c r="V36" s="714" t="s">
        <v>17</v>
      </c>
      <c r="W36" s="715">
        <f t="shared" si="14"/>
        <v>100</v>
      </c>
      <c r="X36" s="1489"/>
      <c r="Y36" s="3513"/>
      <c r="Z36" s="1490" t="str">
        <f t="shared" si="15"/>
        <v>公共部分装修</v>
      </c>
      <c r="AA36" s="1487">
        <f t="shared" si="3"/>
        <v>1</v>
      </c>
      <c r="AB36" s="1487">
        <f t="shared" si="4"/>
        <v>1</v>
      </c>
      <c r="AC36" s="2097">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11"/>
      <c r="Q37" s="1486" t="str">
        <f t="shared" si="11"/>
        <v>成新度</v>
      </c>
      <c r="R37" s="714" t="s">
        <v>17</v>
      </c>
      <c r="S37" s="715" t="e">
        <f t="shared" si="12"/>
        <v>#N/A</v>
      </c>
      <c r="T37" s="714" t="s">
        <v>17</v>
      </c>
      <c r="U37" s="715" t="e">
        <f t="shared" si="13"/>
        <v>#N/A</v>
      </c>
      <c r="V37" s="714" t="s">
        <v>17</v>
      </c>
      <c r="W37" s="715" t="e">
        <f t="shared" si="14"/>
        <v>#N/A</v>
      </c>
      <c r="X37" s="1489"/>
      <c r="Y37" s="3513"/>
      <c r="Z37" s="1490" t="str">
        <f t="shared" si="15"/>
        <v>成新度</v>
      </c>
      <c r="AA37" s="1487" t="e">
        <f t="shared" si="3"/>
        <v>#N/A</v>
      </c>
      <c r="AB37" s="1487" t="e">
        <f t="shared" si="4"/>
        <v>#N/A</v>
      </c>
      <c r="AC37" s="2097"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11"/>
      <c r="Q38" s="1477" t="str">
        <f t="shared" si="11"/>
        <v>写字楼等级</v>
      </c>
      <c r="R38" s="710" t="s">
        <v>17</v>
      </c>
      <c r="S38" s="711">
        <f t="shared" si="12"/>
        <v>100</v>
      </c>
      <c r="T38" s="710" t="s">
        <v>17</v>
      </c>
      <c r="U38" s="711">
        <f t="shared" si="13"/>
        <v>100</v>
      </c>
      <c r="V38" s="710" t="s">
        <v>17</v>
      </c>
      <c r="W38" s="711">
        <f t="shared" si="14"/>
        <v>100</v>
      </c>
      <c r="X38" s="712"/>
      <c r="Y38" s="3513"/>
      <c r="Z38" s="55" t="str">
        <f t="shared" si="15"/>
        <v>写字楼等级</v>
      </c>
      <c r="AA38" s="713">
        <f t="shared" si="3"/>
        <v>1</v>
      </c>
      <c r="AB38" s="713">
        <f t="shared" si="4"/>
        <v>1</v>
      </c>
      <c r="AC38" s="2094">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11" t="s">
        <v>2143</v>
      </c>
      <c r="Q39" s="1486" t="str">
        <f t="shared" si="11"/>
        <v>物业管理</v>
      </c>
      <c r="R39" s="714" t="s">
        <v>17</v>
      </c>
      <c r="S39" s="715">
        <f t="shared" si="12"/>
        <v>100</v>
      </c>
      <c r="T39" s="714" t="s">
        <v>17</v>
      </c>
      <c r="U39" s="715">
        <f t="shared" si="13"/>
        <v>100</v>
      </c>
      <c r="V39" s="714" t="s">
        <v>17</v>
      </c>
      <c r="W39" s="715">
        <f t="shared" si="14"/>
        <v>100</v>
      </c>
      <c r="X39" s="1489"/>
      <c r="Y39" s="3513" t="s">
        <v>2143</v>
      </c>
      <c r="Z39" s="1490" t="str">
        <f t="shared" si="15"/>
        <v>物业管理</v>
      </c>
      <c r="AA39" s="1487">
        <f t="shared" si="3"/>
        <v>1</v>
      </c>
      <c r="AB39" s="1487">
        <f t="shared" si="4"/>
        <v>1</v>
      </c>
      <c r="AC39" s="2097">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11"/>
      <c r="Q40" s="1486" t="str">
        <f t="shared" si="11"/>
        <v>市政基础设施</v>
      </c>
      <c r="R40" s="714" t="s">
        <v>17</v>
      </c>
      <c r="S40" s="715">
        <f t="shared" si="12"/>
        <v>100</v>
      </c>
      <c r="T40" s="714" t="s">
        <v>17</v>
      </c>
      <c r="U40" s="715">
        <f t="shared" si="13"/>
        <v>100</v>
      </c>
      <c r="V40" s="714" t="s">
        <v>17</v>
      </c>
      <c r="W40" s="715">
        <f t="shared" si="14"/>
        <v>100</v>
      </c>
      <c r="X40" s="1489"/>
      <c r="Y40" s="3513"/>
      <c r="Z40" s="1490" t="str">
        <f t="shared" si="15"/>
        <v>市政基础设施</v>
      </c>
      <c r="AA40" s="1487">
        <f t="shared" si="3"/>
        <v>1</v>
      </c>
      <c r="AB40" s="1487">
        <f t="shared" si="4"/>
        <v>1</v>
      </c>
      <c r="AC40" s="2097">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11"/>
      <c r="Q41" s="1486" t="str">
        <f t="shared" si="11"/>
        <v>层高</v>
      </c>
      <c r="R41" s="714" t="s">
        <v>17</v>
      </c>
      <c r="S41" s="715">
        <f t="shared" si="12"/>
        <v>100</v>
      </c>
      <c r="T41" s="714" t="s">
        <v>17</v>
      </c>
      <c r="U41" s="715">
        <f t="shared" si="13"/>
        <v>100</v>
      </c>
      <c r="V41" s="714" t="s">
        <v>17</v>
      </c>
      <c r="W41" s="715">
        <f t="shared" si="14"/>
        <v>100</v>
      </c>
      <c r="X41" s="1489"/>
      <c r="Y41" s="3513"/>
      <c r="Z41" s="1490" t="str">
        <f t="shared" si="15"/>
        <v>层高</v>
      </c>
      <c r="AA41" s="1487">
        <f t="shared" si="3"/>
        <v>1</v>
      </c>
      <c r="AB41" s="1487">
        <f t="shared" si="4"/>
        <v>1</v>
      </c>
      <c r="AC41" s="2097">
        <f t="shared" si="5"/>
        <v>1</v>
      </c>
    </row>
    <row r="42" spans="1:29" s="430" customFormat="1" ht="15">
      <c r="A42" s="427"/>
      <c r="B42" s="1488"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11"/>
      <c r="Q42" s="716" t="str">
        <f t="shared" si="11"/>
        <v>单套建筑面积</v>
      </c>
      <c r="R42" s="717" t="s">
        <v>17</v>
      </c>
      <c r="S42" s="718">
        <f t="shared" si="12"/>
        <v>100</v>
      </c>
      <c r="T42" s="717" t="s">
        <v>17</v>
      </c>
      <c r="U42" s="718">
        <f t="shared" si="13"/>
        <v>100</v>
      </c>
      <c r="V42" s="717" t="s">
        <v>17</v>
      </c>
      <c r="W42" s="718">
        <f t="shared" si="14"/>
        <v>100</v>
      </c>
      <c r="X42" s="719"/>
      <c r="Y42" s="3513"/>
      <c r="Z42" s="720" t="str">
        <f t="shared" si="15"/>
        <v>单套建筑面积</v>
      </c>
      <c r="AA42" s="1487">
        <f t="shared" si="3"/>
        <v>1</v>
      </c>
      <c r="AB42" s="1487">
        <f t="shared" si="4"/>
        <v>1</v>
      </c>
      <c r="AC42" s="2097">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11"/>
      <c r="Q43" s="1486" t="str">
        <f t="shared" si="11"/>
        <v>内部装修</v>
      </c>
      <c r="R43" s="714" t="s">
        <v>17</v>
      </c>
      <c r="S43" s="715">
        <f t="shared" si="12"/>
        <v>100</v>
      </c>
      <c r="T43" s="714" t="s">
        <v>17</v>
      </c>
      <c r="U43" s="715">
        <f t="shared" si="13"/>
        <v>100</v>
      </c>
      <c r="V43" s="714" t="s">
        <v>17</v>
      </c>
      <c r="W43" s="715">
        <f t="shared" si="14"/>
        <v>100</v>
      </c>
      <c r="X43" s="1489"/>
      <c r="Y43" s="3513"/>
      <c r="Z43" s="1490" t="str">
        <f t="shared" si="15"/>
        <v>内部装修</v>
      </c>
      <c r="AA43" s="1487">
        <f t="shared" si="3"/>
        <v>1</v>
      </c>
      <c r="AB43" s="1487">
        <f t="shared" si="4"/>
        <v>1</v>
      </c>
      <c r="AC43" s="2097">
        <f t="shared" si="5"/>
        <v>1</v>
      </c>
    </row>
    <row r="44" spans="1:29" ht="28.8">
      <c r="A44" s="431"/>
      <c r="B44" s="381" t="s">
        <v>2154</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11"/>
      <c r="Q44" s="1486" t="str">
        <f t="shared" si="11"/>
        <v>内部装修维护情况</v>
      </c>
      <c r="R44" s="714" t="s">
        <v>17</v>
      </c>
      <c r="S44" s="715">
        <f t="shared" si="12"/>
        <v>100</v>
      </c>
      <c r="T44" s="714" t="s">
        <v>17</v>
      </c>
      <c r="U44" s="715">
        <f t="shared" si="13"/>
        <v>100</v>
      </c>
      <c r="V44" s="714" t="s">
        <v>17</v>
      </c>
      <c r="W44" s="715">
        <f t="shared" si="14"/>
        <v>100</v>
      </c>
      <c r="X44" s="1489"/>
      <c r="Y44" s="3513"/>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11"/>
      <c r="Q45" s="1477">
        <f t="shared" si="11"/>
        <v>111</v>
      </c>
      <c r="R45" s="710" t="s">
        <v>17</v>
      </c>
      <c r="S45" s="711">
        <f t="shared" si="12"/>
        <v>100</v>
      </c>
      <c r="T45" s="710" t="s">
        <v>17</v>
      </c>
      <c r="U45" s="711">
        <f t="shared" si="13"/>
        <v>100</v>
      </c>
      <c r="V45" s="710" t="s">
        <v>17</v>
      </c>
      <c r="W45" s="711">
        <f t="shared" si="14"/>
        <v>100</v>
      </c>
      <c r="X45" s="712"/>
      <c r="Y45" s="3513"/>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11"/>
      <c r="Q46" s="1486">
        <f t="shared" si="11"/>
        <v>111</v>
      </c>
      <c r="R46" s="714" t="s">
        <v>17</v>
      </c>
      <c r="S46" s="715">
        <f t="shared" si="12"/>
        <v>100</v>
      </c>
      <c r="T46" s="714" t="s">
        <v>17</v>
      </c>
      <c r="U46" s="715">
        <f t="shared" si="13"/>
        <v>100</v>
      </c>
      <c r="V46" s="714" t="s">
        <v>17</v>
      </c>
      <c r="W46" s="715">
        <f t="shared" si="14"/>
        <v>100</v>
      </c>
      <c r="X46" s="1489"/>
      <c r="Y46" s="3513"/>
      <c r="Z46" s="1490">
        <f t="shared" si="15"/>
        <v>111</v>
      </c>
      <c r="AA46" s="1487">
        <f t="shared" si="3"/>
        <v>1</v>
      </c>
      <c r="AB46" s="1487">
        <f t="shared" si="4"/>
        <v>1</v>
      </c>
      <c r="AC46" s="2097">
        <f t="shared" si="5"/>
        <v>1</v>
      </c>
    </row>
    <row r="47" spans="1:29" ht="15.6"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12"/>
      <c r="Q47" s="1486">
        <f t="shared" si="11"/>
        <v>111</v>
      </c>
      <c r="R47" s="714" t="s">
        <v>17</v>
      </c>
      <c r="S47" s="715">
        <f t="shared" si="12"/>
        <v>100</v>
      </c>
      <c r="T47" s="714" t="s">
        <v>17</v>
      </c>
      <c r="U47" s="715">
        <f t="shared" si="13"/>
        <v>100</v>
      </c>
      <c r="V47" s="714" t="s">
        <v>17</v>
      </c>
      <c r="W47" s="715">
        <f t="shared" si="14"/>
        <v>100</v>
      </c>
      <c r="X47" s="1489"/>
      <c r="Y47" s="3514"/>
      <c r="Z47" s="1490">
        <f t="shared" si="15"/>
        <v>111</v>
      </c>
      <c r="AA47" s="1487">
        <f t="shared" si="3"/>
        <v>1</v>
      </c>
      <c r="AB47" s="1487">
        <f t="shared" si="4"/>
        <v>1</v>
      </c>
      <c r="AC47" s="2097">
        <f t="shared" si="5"/>
        <v>1</v>
      </c>
    </row>
    <row r="48" spans="1:29" ht="14.4">
      <c r="A48" s="438" t="s">
        <v>2155</v>
      </c>
      <c r="B48" s="439"/>
      <c r="C48" s="1269" t="s">
        <v>1</v>
      </c>
      <c r="D48" s="1270"/>
      <c r="E48" s="1271"/>
      <c r="F48" s="1272"/>
      <c r="G48" s="1273"/>
      <c r="H48" s="1274"/>
      <c r="I48" s="1271"/>
      <c r="J48" s="444"/>
      <c r="K48" s="723"/>
      <c r="L48" s="2901"/>
      <c r="M48" s="2893"/>
      <c r="N48" s="2893"/>
      <c r="O48" s="2893"/>
      <c r="P48" s="3517" t="str">
        <f>A48</f>
        <v>成交单价（元/平方米）</v>
      </c>
      <c r="Q48" s="3506"/>
      <c r="R48" s="3507">
        <f>E48</f>
        <v>0</v>
      </c>
      <c r="S48" s="3507"/>
      <c r="T48" s="3507">
        <f>G48</f>
        <v>0</v>
      </c>
      <c r="U48" s="3507"/>
      <c r="V48" s="3507">
        <f>I48</f>
        <v>0</v>
      </c>
      <c r="W48" s="3507"/>
      <c r="X48" s="405"/>
      <c r="Y48" s="721"/>
      <c r="Z48" s="405"/>
      <c r="AA48" s="405"/>
      <c r="AB48" s="405"/>
      <c r="AC48" s="586"/>
    </row>
    <row r="49" spans="1:29" ht="15" thickBot="1">
      <c r="A49" s="445" t="s">
        <v>2247</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517" t="str">
        <f>A49</f>
        <v>比较价值（元/平方米）</v>
      </c>
      <c r="Q49" s="3506"/>
      <c r="R49" s="3507" t="e">
        <f>IF(F1="售价",ROUND(PRODUCT(R48,AA7:AA47),0),ROUND(PRODUCT(R48,AA7:AA47),1))</f>
        <v>#DIV/0!</v>
      </c>
      <c r="S49" s="3507"/>
      <c r="T49" s="3507" t="e">
        <f>IF(F1="售价",ROUND(PRODUCT(T48,AB7:AB47),0),ROUND(PRODUCT(T48,AB7:AB47),1))</f>
        <v>#DIV/0!</v>
      </c>
      <c r="U49" s="3507"/>
      <c r="V49" s="3507" t="e">
        <f>IF(F1="售价",ROUND(PRODUCT(V48,AC7:AC47),0),ROUND(PRODUCT(V48,AC7:AC47),1))</f>
        <v>#DIV/0!</v>
      </c>
      <c r="W49" s="3507"/>
      <c r="X49" s="405"/>
      <c r="Y49" s="405"/>
      <c r="Z49" s="405"/>
      <c r="AA49" s="405"/>
      <c r="AB49" s="405"/>
      <c r="AC49" s="586"/>
    </row>
    <row r="50" spans="1:29" ht="15" thickBot="1">
      <c r="A50" s="449" t="s">
        <v>2248</v>
      </c>
      <c r="B50" s="450"/>
      <c r="C50" s="1278" t="e">
        <f>R50</f>
        <v>#DIV/0!</v>
      </c>
      <c r="D50" s="1278"/>
      <c r="E50" s="1278"/>
      <c r="F50" s="1278"/>
      <c r="G50" s="1278"/>
      <c r="H50" s="1278"/>
      <c r="I50" s="1278"/>
      <c r="J50" s="451"/>
      <c r="K50" s="724"/>
      <c r="L50" s="2901"/>
      <c r="M50" s="2893"/>
      <c r="N50" s="2893"/>
      <c r="O50" s="2893"/>
      <c r="P50" s="3549" t="str">
        <f>A50</f>
        <v>估价对象XX用房的比较价值（楼面单价，元/平方米）</v>
      </c>
      <c r="Q50" s="3550"/>
      <c r="R50" s="3551" t="e">
        <f>IF(F1="售价",ROUND(IF(D49="简单平均",AVERAGE(R49:V49),R49*F49+T49*H49+V49*J49),0),ROUND(IF(D49="简单平均",AVERAGE(R49:V49),R49*F49+T49*H49+V49*J49),1))</f>
        <v>#DIV/0!</v>
      </c>
      <c r="S50" s="3551"/>
      <c r="T50" s="3551"/>
      <c r="U50" s="3551"/>
      <c r="V50" s="3551"/>
      <c r="W50" s="3551"/>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2.2" thickBot="1">
      <c r="A58" s="703" t="s">
        <v>2252</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4.4">
      <c r="A59" s="462" t="s">
        <v>2126</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6"/>
      <c r="Q59" s="2918"/>
      <c r="R59" s="2918"/>
      <c r="S59" s="2918"/>
      <c r="T59" s="2918"/>
      <c r="U59" s="2918"/>
      <c r="V59" s="2918"/>
      <c r="W59" s="2918"/>
      <c r="X59" s="2918"/>
      <c r="Y59" s="2918"/>
      <c r="Z59" s="2918"/>
      <c r="AA59" s="2918"/>
      <c r="AB59" s="2918"/>
      <c r="AC59" s="2918"/>
    </row>
    <row r="60" spans="1:29" s="113" customFormat="1">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 thickBot="1">
      <c r="A61" s="472" t="s">
        <v>2163</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4.4">
      <c r="A62" s="478" t="s">
        <v>2128</v>
      </c>
      <c r="B62" s="467"/>
      <c r="C62" s="479" t="s">
        <v>2230</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4.4"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ht="14.4">
      <c r="A64" s="484" t="s">
        <v>2166</v>
      </c>
      <c r="B64" s="485" t="s">
        <v>2132</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4.4"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9.4" thickTop="1">
      <c r="A66" s="491"/>
      <c r="B66" s="495" t="s">
        <v>2135</v>
      </c>
      <c r="C66" s="496" t="s">
        <v>2167</v>
      </c>
      <c r="D66" s="496" t="s">
        <v>2168</v>
      </c>
      <c r="E66" s="496" t="s">
        <v>2169</v>
      </c>
      <c r="F66" s="496" t="s">
        <v>2170</v>
      </c>
      <c r="G66" s="496" t="s">
        <v>2171</v>
      </c>
      <c r="H66" s="496" t="s">
        <v>2172</v>
      </c>
      <c r="I66" s="496" t="s">
        <v>2173</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4.4"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4.4"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4.4"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4.4"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4.4"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4.4"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ht="14.4">
      <c r="A77" s="484" t="s">
        <v>2137</v>
      </c>
      <c r="B77" s="485" t="s">
        <v>2275</v>
      </c>
      <c r="C77" s="530" t="s">
        <v>2175</v>
      </c>
      <c r="D77" s="530" t="s">
        <v>2176</v>
      </c>
      <c r="E77" s="530" t="s">
        <v>2177</v>
      </c>
      <c r="F77" s="530" t="s">
        <v>2178</v>
      </c>
      <c r="G77" s="530" t="s">
        <v>2179</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 thickTop="1">
      <c r="A79" s="491"/>
      <c r="B79" s="495" t="s">
        <v>2180</v>
      </c>
      <c r="C79" s="535" t="s">
        <v>2175</v>
      </c>
      <c r="D79" s="535" t="s">
        <v>2176</v>
      </c>
      <c r="E79" s="535" t="s">
        <v>2177</v>
      </c>
      <c r="F79" s="535" t="s">
        <v>2178</v>
      </c>
      <c r="G79" s="535" t="s">
        <v>2179</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 thickTop="1">
      <c r="A81" s="491"/>
      <c r="B81" s="495" t="s">
        <v>2181</v>
      </c>
      <c r="C81" s="535" t="s">
        <v>2175</v>
      </c>
      <c r="D81" s="535" t="s">
        <v>2176</v>
      </c>
      <c r="E81" s="535" t="s">
        <v>2177</v>
      </c>
      <c r="F81" s="535" t="s">
        <v>2178</v>
      </c>
      <c r="G81" s="535" t="s">
        <v>2179</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 thickTop="1">
      <c r="A83" s="491"/>
      <c r="B83" s="503" t="s">
        <v>2267</v>
      </c>
      <c r="C83" s="616" t="s">
        <v>2253</v>
      </c>
      <c r="D83" s="616" t="s">
        <v>2254</v>
      </c>
      <c r="E83" s="616" t="s">
        <v>2255</v>
      </c>
      <c r="F83" s="616" t="s">
        <v>2256</v>
      </c>
      <c r="G83" s="616" t="s">
        <v>2257</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 thickTop="1">
      <c r="A85" s="491"/>
      <c r="B85" s="495" t="s">
        <v>2276</v>
      </c>
      <c r="C85" s="535" t="s">
        <v>2175</v>
      </c>
      <c r="D85" s="535" t="s">
        <v>2176</v>
      </c>
      <c r="E85" s="535" t="s">
        <v>2177</v>
      </c>
      <c r="F85" s="535" t="s">
        <v>2178</v>
      </c>
      <c r="G85" s="535" t="s">
        <v>2179</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9.4" thickTop="1">
      <c r="A87" s="536"/>
      <c r="B87" s="495" t="s">
        <v>2277</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4.4"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4.4"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4.4"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4.4"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4.4"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4.4"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4.4"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4.4"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4.4"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4.4"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ht="14.4">
      <c r="A101" s="484" t="s">
        <v>2141</v>
      </c>
      <c r="B101" s="485" t="s">
        <v>2190</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4.4"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2192</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2194</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2278</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2195</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2196</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2279</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2262</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4.4"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2198</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29.4" thickTop="1">
      <c r="A125" s="556"/>
      <c r="B125" s="495" t="s">
        <v>2199</v>
      </c>
      <c r="C125" s="535" t="s">
        <v>2175</v>
      </c>
      <c r="D125" s="535" t="s">
        <v>2176</v>
      </c>
      <c r="E125" s="535" t="s">
        <v>2177</v>
      </c>
      <c r="F125" s="535" t="s">
        <v>2178</v>
      </c>
      <c r="G125" s="535" t="s">
        <v>2179</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4.4"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4.4"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4.4"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4.4"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4.4"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4.4"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1" sqref="D1"/>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243924.88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2223</v>
      </c>
      <c r="B4" s="362"/>
      <c r="C4" s="3521" t="s">
        <v>2224</v>
      </c>
      <c r="D4" s="3522"/>
      <c r="E4" s="3523" t="s">
        <v>2225</v>
      </c>
      <c r="F4" s="3524"/>
      <c r="G4" s="3521" t="s">
        <v>2226</v>
      </c>
      <c r="H4" s="3522"/>
      <c r="I4" s="3521" t="s">
        <v>2227</v>
      </c>
      <c r="J4" s="3522"/>
      <c r="K4" s="567" t="s">
        <v>2228</v>
      </c>
      <c r="L4" s="1025"/>
      <c r="M4" s="1026"/>
      <c r="N4" s="1026"/>
      <c r="O4" s="1026"/>
      <c r="P4" s="3525" t="s">
        <v>2229</v>
      </c>
      <c r="Q4" s="3526"/>
      <c r="R4" s="3531" t="s">
        <v>2225</v>
      </c>
      <c r="S4" s="3532"/>
      <c r="T4" s="3531" t="s">
        <v>2226</v>
      </c>
      <c r="U4" s="3532"/>
      <c r="V4" s="3537" t="s">
        <v>2227</v>
      </c>
      <c r="W4" s="3537"/>
      <c r="X4" s="1489"/>
      <c r="Y4" s="3531" t="s">
        <v>2229</v>
      </c>
      <c r="Z4" s="3532"/>
      <c r="AA4" s="3518" t="s">
        <v>2225</v>
      </c>
      <c r="AB4" s="3519" t="s">
        <v>2226</v>
      </c>
      <c r="AC4" s="3518" t="s">
        <v>2227</v>
      </c>
    </row>
    <row r="5" spans="1:29">
      <c r="A5" s="364"/>
      <c r="B5" s="365"/>
      <c r="C5" s="3540" t="s">
        <v>2120</v>
      </c>
      <c r="D5" s="3541"/>
      <c r="E5" s="3547" t="s">
        <v>2121</v>
      </c>
      <c r="F5" s="3548"/>
      <c r="G5" s="3540" t="s">
        <v>2122</v>
      </c>
      <c r="H5" s="3541"/>
      <c r="I5" s="3540" t="s">
        <v>2123</v>
      </c>
      <c r="J5" s="3541"/>
      <c r="K5" s="567"/>
      <c r="L5" s="1025"/>
      <c r="M5" s="1026"/>
      <c r="N5" s="1026"/>
      <c r="O5" s="1026"/>
      <c r="P5" s="3527"/>
      <c r="Q5" s="3528"/>
      <c r="R5" s="3533"/>
      <c r="S5" s="3534"/>
      <c r="T5" s="3533"/>
      <c r="U5" s="3534"/>
      <c r="V5" s="3537"/>
      <c r="W5" s="3537"/>
      <c r="X5" s="1489"/>
      <c r="Y5" s="3533"/>
      <c r="Z5" s="3534"/>
      <c r="AA5" s="3519"/>
      <c r="AB5" s="3519"/>
      <c r="AC5" s="3519"/>
    </row>
    <row r="6" spans="1:29" ht="15" thickBot="1">
      <c r="A6" s="366"/>
      <c r="B6" s="367"/>
      <c r="C6" s="3538" t="s">
        <v>2124</v>
      </c>
      <c r="D6" s="3539"/>
      <c r="E6" s="3545" t="s">
        <v>2124</v>
      </c>
      <c r="F6" s="3546"/>
      <c r="G6" s="3538" t="s">
        <v>2124</v>
      </c>
      <c r="H6" s="3539"/>
      <c r="I6" s="3538" t="s">
        <v>2124</v>
      </c>
      <c r="J6" s="3539"/>
      <c r="K6" s="567" t="s">
        <v>2125</v>
      </c>
      <c r="L6" s="1025"/>
      <c r="M6" s="1026"/>
      <c r="N6" s="1026"/>
      <c r="O6" s="1026"/>
      <c r="P6" s="3529"/>
      <c r="Q6" s="3530"/>
      <c r="R6" s="3533"/>
      <c r="S6" s="3534"/>
      <c r="T6" s="3535"/>
      <c r="U6" s="3536"/>
      <c r="V6" s="3537"/>
      <c r="W6" s="3537"/>
      <c r="X6" s="1489"/>
      <c r="Y6" s="3535"/>
      <c r="Z6" s="3536"/>
      <c r="AA6" s="3520"/>
      <c r="AB6" s="3520"/>
      <c r="AC6" s="3520"/>
    </row>
    <row r="7" spans="1:29" s="113" customFormat="1" ht="15" thickBot="1">
      <c r="A7" s="368" t="s">
        <v>2126</v>
      </c>
      <c r="B7" s="369"/>
      <c r="C7" s="370">
        <f>'数据-取费表'!B2</f>
        <v>44769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42" t="s">
        <v>2127</v>
      </c>
      <c r="Q7" s="3544"/>
      <c r="R7" s="710" t="s">
        <v>17</v>
      </c>
      <c r="S7" s="711">
        <f t="shared" ref="S7:S15" si="0">F7</f>
        <v>0</v>
      </c>
      <c r="T7" s="710" t="s">
        <v>17</v>
      </c>
      <c r="U7" s="711">
        <f t="shared" ref="U7:U15" si="1">H7</f>
        <v>0</v>
      </c>
      <c r="V7" s="710" t="s">
        <v>17</v>
      </c>
      <c r="W7" s="711">
        <f t="shared" ref="W7:W15" si="2">J7</f>
        <v>0</v>
      </c>
      <c r="X7" s="712"/>
      <c r="Y7" s="3542" t="s">
        <v>2127</v>
      </c>
      <c r="Z7" s="3543"/>
      <c r="AA7" s="713" t="e">
        <f>D7/F7</f>
        <v>#DIV/0!</v>
      </c>
      <c r="AB7" s="713" t="e">
        <f>D7/H7</f>
        <v>#DIV/0!</v>
      </c>
      <c r="AC7" s="713" t="e">
        <f>D7/J7</f>
        <v>#DIV/0!</v>
      </c>
    </row>
    <row r="8" spans="1:29" s="113" customFormat="1" ht="1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42" t="s">
        <v>2130</v>
      </c>
      <c r="Q8" s="3543"/>
      <c r="R8" s="710" t="s">
        <v>17</v>
      </c>
      <c r="S8" s="711">
        <f t="shared" si="0"/>
        <v>0</v>
      </c>
      <c r="T8" s="710" t="s">
        <v>17</v>
      </c>
      <c r="U8" s="711">
        <f t="shared" si="1"/>
        <v>0</v>
      </c>
      <c r="V8" s="710" t="s">
        <v>17</v>
      </c>
      <c r="W8" s="711">
        <f t="shared" si="2"/>
        <v>0</v>
      </c>
      <c r="X8" s="712"/>
      <c r="Y8" s="3542" t="s">
        <v>2130</v>
      </c>
      <c r="Z8" s="3543"/>
      <c r="AA8" s="713" t="e">
        <f t="shared" ref="AA8:AA40" si="3">D8/F8</f>
        <v>#DIV/0!</v>
      </c>
      <c r="AB8" s="713" t="e">
        <f t="shared" ref="AB8:AB40" si="4">D8/H8</f>
        <v>#DIV/0!</v>
      </c>
      <c r="AC8" s="713" t="e">
        <f t="shared" ref="AC8:AC40" si="5">D8/J8</f>
        <v>#DIV/0!</v>
      </c>
    </row>
    <row r="9" spans="1:29" s="113" customFormat="1" ht="14.4">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6" t="s">
        <v>2133</v>
      </c>
      <c r="Q9" s="1477" t="str">
        <f t="shared" ref="Q9:Q15" si="6">B9</f>
        <v>用途</v>
      </c>
      <c r="R9" s="710" t="s">
        <v>17</v>
      </c>
      <c r="S9" s="711">
        <f t="shared" si="0"/>
        <v>100</v>
      </c>
      <c r="T9" s="710" t="s">
        <v>17</v>
      </c>
      <c r="U9" s="711">
        <f t="shared" si="1"/>
        <v>100</v>
      </c>
      <c r="V9" s="710" t="s">
        <v>17</v>
      </c>
      <c r="W9" s="711">
        <f t="shared" si="2"/>
        <v>100</v>
      </c>
      <c r="X9" s="712"/>
      <c r="Y9" s="3378" t="s">
        <v>2134</v>
      </c>
      <c r="Z9" s="55" t="str">
        <f t="shared" ref="Z9:Z15" si="7">Q9</f>
        <v>用途</v>
      </c>
      <c r="AA9" s="713">
        <f t="shared" si="3"/>
        <v>1</v>
      </c>
      <c r="AB9" s="713">
        <f t="shared" si="4"/>
        <v>1</v>
      </c>
      <c r="AC9" s="713">
        <f t="shared" si="5"/>
        <v>1</v>
      </c>
    </row>
    <row r="10" spans="1:29" s="386" customFormat="1" ht="28.8">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6"/>
      <c r="Q10" s="147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6"/>
      <c r="Q11" s="147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506"/>
      <c r="Q12" s="147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506"/>
      <c r="Q13" s="147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6"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506"/>
      <c r="Q14" s="147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69">
      <c r="A15" s="399" t="s">
        <v>2137</v>
      </c>
      <c r="B15" s="65" t="s">
        <v>2281</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8" t="s">
        <v>2138</v>
      </c>
      <c r="Q15" s="1486" t="str">
        <f t="shared" si="6"/>
        <v>产业集聚程度</v>
      </c>
      <c r="R15" s="714" t="s">
        <v>17</v>
      </c>
      <c r="S15" s="715">
        <f t="shared" si="0"/>
        <v>100</v>
      </c>
      <c r="T15" s="714" t="s">
        <v>17</v>
      </c>
      <c r="U15" s="715">
        <f t="shared" si="1"/>
        <v>100</v>
      </c>
      <c r="V15" s="714" t="s">
        <v>17</v>
      </c>
      <c r="W15" s="715">
        <f t="shared" si="2"/>
        <v>100</v>
      </c>
      <c r="X15" s="1489"/>
      <c r="Y15" s="3508"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09"/>
      <c r="Q16" s="1486"/>
      <c r="R16" s="714"/>
      <c r="S16" s="715"/>
      <c r="T16" s="714"/>
      <c r="U16" s="715"/>
      <c r="V16" s="714"/>
      <c r="W16" s="715"/>
      <c r="X16" s="1489"/>
      <c r="Y16" s="3509"/>
      <c r="Z16" s="1490"/>
      <c r="AA16" s="1487">
        <v>1</v>
      </c>
      <c r="AB16" s="1487">
        <v>1</v>
      </c>
      <c r="AC16" s="1487">
        <v>1</v>
      </c>
    </row>
    <row r="17" spans="1:29" ht="96.6">
      <c r="A17" s="387"/>
      <c r="B17" s="410" t="s">
        <v>1702</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9"/>
      <c r="Q17" s="1486" t="str">
        <f>B17</f>
        <v>交通便捷度</v>
      </c>
      <c r="R17" s="714" t="s">
        <v>17</v>
      </c>
      <c r="S17" s="715">
        <f>F17</f>
        <v>100</v>
      </c>
      <c r="T17" s="714" t="s">
        <v>17</v>
      </c>
      <c r="U17" s="715">
        <f>H17</f>
        <v>100</v>
      </c>
      <c r="V17" s="714" t="s">
        <v>17</v>
      </c>
      <c r="W17" s="715">
        <f>J17</f>
        <v>100</v>
      </c>
      <c r="X17" s="1489"/>
      <c r="Y17" s="3509"/>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509"/>
      <c r="Q18" s="1486"/>
      <c r="R18" s="714"/>
      <c r="S18" s="715"/>
      <c r="T18" s="714"/>
      <c r="U18" s="715"/>
      <c r="V18" s="714"/>
      <c r="W18" s="715"/>
      <c r="X18" s="1489"/>
      <c r="Y18" s="3509"/>
      <c r="Z18" s="1490"/>
      <c r="AA18" s="1487">
        <v>1</v>
      </c>
      <c r="AB18" s="1487">
        <v>1</v>
      </c>
      <c r="AC18" s="1487">
        <v>1</v>
      </c>
    </row>
    <row r="19" spans="1:29" ht="41.4">
      <c r="A19" s="387"/>
      <c r="B19" s="410" t="s">
        <v>2266</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9"/>
      <c r="Q19" s="1486" t="str">
        <f>B19</f>
        <v>公共配套设施</v>
      </c>
      <c r="R19" s="714" t="s">
        <v>17</v>
      </c>
      <c r="S19" s="715">
        <f>F19</f>
        <v>100</v>
      </c>
      <c r="T19" s="714" t="s">
        <v>17</v>
      </c>
      <c r="U19" s="715">
        <f>H19</f>
        <v>100</v>
      </c>
      <c r="V19" s="714" t="s">
        <v>17</v>
      </c>
      <c r="W19" s="715">
        <f>J19</f>
        <v>100</v>
      </c>
      <c r="X19" s="1489"/>
      <c r="Y19" s="3509"/>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509"/>
      <c r="Q20" s="1486"/>
      <c r="R20" s="714"/>
      <c r="S20" s="715"/>
      <c r="T20" s="714"/>
      <c r="U20" s="715"/>
      <c r="V20" s="714"/>
      <c r="W20" s="715"/>
      <c r="X20" s="1489"/>
      <c r="Y20" s="3509"/>
      <c r="Z20" s="1490"/>
      <c r="AA20" s="1487">
        <v>1</v>
      </c>
      <c r="AB20" s="1487">
        <v>1</v>
      </c>
      <c r="AC20" s="1487">
        <v>1</v>
      </c>
    </row>
    <row r="21" spans="1:29" ht="41.4">
      <c r="A21" s="387"/>
      <c r="B21" s="1246" t="s">
        <v>2267</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9"/>
      <c r="Q21" s="1486" t="str">
        <f>B21</f>
        <v>基础设施水平</v>
      </c>
      <c r="R21" s="714" t="s">
        <v>17</v>
      </c>
      <c r="S21" s="715">
        <f>F21</f>
        <v>100</v>
      </c>
      <c r="T21" s="714" t="s">
        <v>17</v>
      </c>
      <c r="U21" s="715">
        <f>H21</f>
        <v>100</v>
      </c>
      <c r="V21" s="714" t="s">
        <v>17</v>
      </c>
      <c r="W21" s="715">
        <f>J21</f>
        <v>100</v>
      </c>
      <c r="X21" s="1489"/>
      <c r="Y21" s="3509"/>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509"/>
      <c r="Q22" s="1486"/>
      <c r="R22" s="714"/>
      <c r="S22" s="715"/>
      <c r="T22" s="714"/>
      <c r="U22" s="715"/>
      <c r="V22" s="714"/>
      <c r="W22" s="715"/>
      <c r="X22" s="1489"/>
      <c r="Y22" s="3509"/>
      <c r="Z22" s="1490"/>
      <c r="AA22" s="1487">
        <v>1</v>
      </c>
      <c r="AB22" s="1487">
        <v>1</v>
      </c>
      <c r="AC22" s="1487">
        <v>1</v>
      </c>
    </row>
    <row r="23" spans="1:29" ht="82.8">
      <c r="A23" s="387"/>
      <c r="B23" s="410" t="s">
        <v>2268</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9"/>
      <c r="Q23" s="1486" t="str">
        <f>B23</f>
        <v>环境质量</v>
      </c>
      <c r="R23" s="714" t="s">
        <v>17</v>
      </c>
      <c r="S23" s="715">
        <f>F23</f>
        <v>100</v>
      </c>
      <c r="T23" s="714" t="s">
        <v>17</v>
      </c>
      <c r="U23" s="715">
        <f>H23</f>
        <v>100</v>
      </c>
      <c r="V23" s="714" t="s">
        <v>17</v>
      </c>
      <c r="W23" s="715">
        <f>J23</f>
        <v>100</v>
      </c>
      <c r="X23" s="1489"/>
      <c r="Y23" s="3509"/>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509"/>
      <c r="Q24" s="1486"/>
      <c r="R24" s="714"/>
      <c r="S24" s="715"/>
      <c r="T24" s="714"/>
      <c r="U24" s="715"/>
      <c r="V24" s="714"/>
      <c r="W24" s="715"/>
      <c r="X24" s="1489"/>
      <c r="Y24" s="3509"/>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9"/>
      <c r="Q25" s="1486">
        <f>B25</f>
        <v>111</v>
      </c>
      <c r="R25" s="714" t="s">
        <v>17</v>
      </c>
      <c r="S25" s="715">
        <f>F25</f>
        <v>100</v>
      </c>
      <c r="T25" s="714" t="s">
        <v>17</v>
      </c>
      <c r="U25" s="715">
        <f>H25</f>
        <v>100</v>
      </c>
      <c r="V25" s="714" t="s">
        <v>17</v>
      </c>
      <c r="W25" s="715">
        <f>J25</f>
        <v>100</v>
      </c>
      <c r="X25" s="1489"/>
      <c r="Y25" s="3509"/>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9"/>
      <c r="Q26" s="1486">
        <f t="shared" ref="Q26:Q40" si="11">B26</f>
        <v>111</v>
      </c>
      <c r="R26" s="714" t="s">
        <v>17</v>
      </c>
      <c r="S26" s="715">
        <f>F26</f>
        <v>100</v>
      </c>
      <c r="T26" s="714" t="s">
        <v>17</v>
      </c>
      <c r="U26" s="715">
        <f>H26</f>
        <v>100</v>
      </c>
      <c r="V26" s="714" t="s">
        <v>17</v>
      </c>
      <c r="W26" s="715">
        <f>J26</f>
        <v>100</v>
      </c>
      <c r="X26" s="1489"/>
      <c r="Y26" s="3509"/>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9"/>
      <c r="Q27" s="1477">
        <f t="shared" si="11"/>
        <v>111</v>
      </c>
      <c r="R27" s="710" t="s">
        <v>17</v>
      </c>
      <c r="S27" s="711">
        <f>F27</f>
        <v>100</v>
      </c>
      <c r="T27" s="710" t="s">
        <v>17</v>
      </c>
      <c r="U27" s="711">
        <f>H27</f>
        <v>100</v>
      </c>
      <c r="V27" s="710" t="s">
        <v>17</v>
      </c>
      <c r="W27" s="711">
        <f>J27</f>
        <v>100</v>
      </c>
      <c r="X27" s="712"/>
      <c r="Y27" s="3509"/>
      <c r="Z27" s="55">
        <f>Q27</f>
        <v>111</v>
      </c>
      <c r="AA27" s="1487">
        <f>D27/F27</f>
        <v>1</v>
      </c>
      <c r="AB27" s="1487">
        <f>D27/H27</f>
        <v>1</v>
      </c>
      <c r="AC27" s="1487">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9"/>
      <c r="Q28" s="1486">
        <f t="shared" si="11"/>
        <v>111</v>
      </c>
      <c r="R28" s="714" t="s">
        <v>17</v>
      </c>
      <c r="S28" s="715">
        <f t="shared" ref="S28:S40" si="12">F28</f>
        <v>100</v>
      </c>
      <c r="T28" s="714" t="s">
        <v>17</v>
      </c>
      <c r="U28" s="715">
        <f t="shared" ref="U28:U40" si="13">H28</f>
        <v>100</v>
      </c>
      <c r="V28" s="714" t="s">
        <v>17</v>
      </c>
      <c r="W28" s="715">
        <f t="shared" ref="W28:W40" si="14">J28</f>
        <v>100</v>
      </c>
      <c r="X28" s="1489"/>
      <c r="Y28" s="3509"/>
      <c r="Z28" s="1490">
        <f t="shared" ref="Z28:Z40" si="15">Q28</f>
        <v>111</v>
      </c>
      <c r="AA28" s="1487">
        <f t="shared" si="3"/>
        <v>1</v>
      </c>
      <c r="AB28" s="1487">
        <f t="shared" si="4"/>
        <v>1</v>
      </c>
      <c r="AC28" s="1487">
        <f t="shared" si="5"/>
        <v>1</v>
      </c>
    </row>
    <row r="29" spans="1:29" ht="30">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64" t="s">
        <v>2143</v>
      </c>
      <c r="Q29" s="1486" t="str">
        <f t="shared" si="11"/>
        <v>建筑类型</v>
      </c>
      <c r="R29" s="714" t="s">
        <v>17</v>
      </c>
      <c r="S29" s="715">
        <f t="shared" si="12"/>
        <v>100</v>
      </c>
      <c r="T29" s="714" t="s">
        <v>17</v>
      </c>
      <c r="U29" s="715">
        <f t="shared" si="13"/>
        <v>100</v>
      </c>
      <c r="V29" s="714" t="s">
        <v>17</v>
      </c>
      <c r="W29" s="715">
        <f t="shared" si="14"/>
        <v>100</v>
      </c>
      <c r="X29" s="1489"/>
      <c r="Y29" s="3513"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13"/>
      <c r="Q30" s="716" t="str">
        <f t="shared" si="11"/>
        <v>项目建筑规模</v>
      </c>
      <c r="R30" s="717" t="s">
        <v>17</v>
      </c>
      <c r="S30" s="718" t="e">
        <f t="shared" si="12"/>
        <v>#N/A</v>
      </c>
      <c r="T30" s="717" t="s">
        <v>17</v>
      </c>
      <c r="U30" s="718" t="e">
        <f t="shared" si="13"/>
        <v>#N/A</v>
      </c>
      <c r="V30" s="717" t="s">
        <v>17</v>
      </c>
      <c r="W30" s="718" t="e">
        <f t="shared" si="14"/>
        <v>#N/A</v>
      </c>
      <c r="X30" s="719"/>
      <c r="Y30" s="3513"/>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13"/>
      <c r="Q31" s="1486" t="str">
        <f t="shared" si="11"/>
        <v>建筑结构</v>
      </c>
      <c r="R31" s="714" t="s">
        <v>17</v>
      </c>
      <c r="S31" s="715">
        <f t="shared" si="12"/>
        <v>100</v>
      </c>
      <c r="T31" s="714" t="s">
        <v>17</v>
      </c>
      <c r="U31" s="715">
        <f t="shared" si="13"/>
        <v>100</v>
      </c>
      <c r="V31" s="714" t="s">
        <v>17</v>
      </c>
      <c r="W31" s="715">
        <f t="shared" si="14"/>
        <v>100</v>
      </c>
      <c r="X31" s="1489"/>
      <c r="Y31" s="3513"/>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13"/>
      <c r="Q32" s="1486" t="str">
        <f t="shared" si="11"/>
        <v>公共部分装修</v>
      </c>
      <c r="R32" s="714" t="s">
        <v>17</v>
      </c>
      <c r="S32" s="715">
        <f t="shared" si="12"/>
        <v>100</v>
      </c>
      <c r="T32" s="714" t="s">
        <v>17</v>
      </c>
      <c r="U32" s="715">
        <f t="shared" si="13"/>
        <v>100</v>
      </c>
      <c r="V32" s="714" t="s">
        <v>17</v>
      </c>
      <c r="W32" s="715">
        <f t="shared" si="14"/>
        <v>100</v>
      </c>
      <c r="X32" s="1489"/>
      <c r="Y32" s="3513"/>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13"/>
      <c r="Q33" s="1486" t="str">
        <f t="shared" si="11"/>
        <v>成新度</v>
      </c>
      <c r="R33" s="714" t="s">
        <v>17</v>
      </c>
      <c r="S33" s="715" t="e">
        <f t="shared" si="12"/>
        <v>#N/A</v>
      </c>
      <c r="T33" s="714" t="s">
        <v>17</v>
      </c>
      <c r="U33" s="715" t="e">
        <f t="shared" si="13"/>
        <v>#N/A</v>
      </c>
      <c r="V33" s="714" t="s">
        <v>17</v>
      </c>
      <c r="W33" s="715" t="e">
        <f t="shared" si="14"/>
        <v>#N/A</v>
      </c>
      <c r="X33" s="1489"/>
      <c r="Y33" s="3513"/>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13"/>
      <c r="Q34" s="1477" t="str">
        <f t="shared" si="11"/>
        <v>物业管理</v>
      </c>
      <c r="R34" s="710" t="s">
        <v>17</v>
      </c>
      <c r="S34" s="711">
        <f t="shared" si="12"/>
        <v>100</v>
      </c>
      <c r="T34" s="710" t="s">
        <v>17</v>
      </c>
      <c r="U34" s="711">
        <f t="shared" si="13"/>
        <v>100</v>
      </c>
      <c r="V34" s="710" t="s">
        <v>17</v>
      </c>
      <c r="W34" s="711">
        <f t="shared" si="14"/>
        <v>100</v>
      </c>
      <c r="X34" s="712"/>
      <c r="Y34" s="3513"/>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13" t="s">
        <v>2143</v>
      </c>
      <c r="Q35" s="1486" t="str">
        <f t="shared" si="11"/>
        <v>市政基础设施</v>
      </c>
      <c r="R35" s="714" t="s">
        <v>17</v>
      </c>
      <c r="S35" s="715">
        <f t="shared" si="12"/>
        <v>100</v>
      </c>
      <c r="T35" s="714" t="s">
        <v>17</v>
      </c>
      <c r="U35" s="715">
        <f t="shared" si="13"/>
        <v>100</v>
      </c>
      <c r="V35" s="714" t="s">
        <v>17</v>
      </c>
      <c r="W35" s="715">
        <f t="shared" si="14"/>
        <v>100</v>
      </c>
      <c r="X35" s="1489"/>
      <c r="Y35" s="3513"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13"/>
      <c r="Q36" s="1486" t="str">
        <f t="shared" si="11"/>
        <v>内部装修</v>
      </c>
      <c r="R36" s="714" t="s">
        <v>17</v>
      </c>
      <c r="S36" s="715">
        <f t="shared" si="12"/>
        <v>100</v>
      </c>
      <c r="T36" s="714" t="s">
        <v>17</v>
      </c>
      <c r="U36" s="715">
        <f t="shared" si="13"/>
        <v>100</v>
      </c>
      <c r="V36" s="714" t="s">
        <v>17</v>
      </c>
      <c r="W36" s="715">
        <f t="shared" si="14"/>
        <v>100</v>
      </c>
      <c r="X36" s="1489"/>
      <c r="Y36" s="3513"/>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13"/>
      <c r="Q37" s="1486" t="str">
        <f t="shared" si="11"/>
        <v>内部装修状况</v>
      </c>
      <c r="R37" s="714" t="s">
        <v>17</v>
      </c>
      <c r="S37" s="715">
        <f t="shared" si="12"/>
        <v>100</v>
      </c>
      <c r="T37" s="714" t="s">
        <v>17</v>
      </c>
      <c r="U37" s="715">
        <f t="shared" si="13"/>
        <v>100</v>
      </c>
      <c r="V37" s="714" t="s">
        <v>17</v>
      </c>
      <c r="W37" s="715">
        <f t="shared" si="14"/>
        <v>100</v>
      </c>
      <c r="X37" s="1489"/>
      <c r="Y37" s="3513"/>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13"/>
      <c r="Q38" s="716">
        <f t="shared" si="11"/>
        <v>111</v>
      </c>
      <c r="R38" s="717" t="s">
        <v>17</v>
      </c>
      <c r="S38" s="718">
        <f t="shared" si="12"/>
        <v>100</v>
      </c>
      <c r="T38" s="717" t="s">
        <v>17</v>
      </c>
      <c r="U38" s="718">
        <f t="shared" si="13"/>
        <v>100</v>
      </c>
      <c r="V38" s="717" t="s">
        <v>17</v>
      </c>
      <c r="W38" s="718">
        <f t="shared" si="14"/>
        <v>100</v>
      </c>
      <c r="X38" s="719"/>
      <c r="Y38" s="3513"/>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13"/>
      <c r="Q39" s="1486">
        <f t="shared" si="11"/>
        <v>111</v>
      </c>
      <c r="R39" s="714" t="s">
        <v>17</v>
      </c>
      <c r="S39" s="715">
        <f t="shared" si="12"/>
        <v>100</v>
      </c>
      <c r="T39" s="714" t="s">
        <v>17</v>
      </c>
      <c r="U39" s="715">
        <f t="shared" si="13"/>
        <v>100</v>
      </c>
      <c r="V39" s="714" t="s">
        <v>17</v>
      </c>
      <c r="W39" s="715">
        <f t="shared" si="14"/>
        <v>100</v>
      </c>
      <c r="X39" s="1489"/>
      <c r="Y39" s="3513"/>
      <c r="Z39" s="1490">
        <f t="shared" si="15"/>
        <v>111</v>
      </c>
      <c r="AA39" s="1487">
        <f t="shared" si="3"/>
        <v>1</v>
      </c>
      <c r="AB39" s="1487">
        <f t="shared" si="4"/>
        <v>1</v>
      </c>
      <c r="AC39" s="1487">
        <f t="shared" si="5"/>
        <v>1</v>
      </c>
    </row>
    <row r="40" spans="1:29" ht="15.6"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4"/>
      <c r="Q40" s="1486">
        <f t="shared" si="11"/>
        <v>111</v>
      </c>
      <c r="R40" s="714" t="s">
        <v>17</v>
      </c>
      <c r="S40" s="715">
        <f t="shared" si="12"/>
        <v>100</v>
      </c>
      <c r="T40" s="714" t="s">
        <v>17</v>
      </c>
      <c r="U40" s="715">
        <f t="shared" si="13"/>
        <v>100</v>
      </c>
      <c r="V40" s="714" t="s">
        <v>17</v>
      </c>
      <c r="W40" s="715">
        <f t="shared" si="14"/>
        <v>100</v>
      </c>
      <c r="X40" s="1489"/>
      <c r="Y40" s="3514"/>
      <c r="Z40" s="1490">
        <f t="shared" si="15"/>
        <v>111</v>
      </c>
      <c r="AA40" s="1487">
        <f t="shared" si="3"/>
        <v>1</v>
      </c>
      <c r="AB40" s="1487">
        <f t="shared" si="4"/>
        <v>1</v>
      </c>
      <c r="AC40" s="1487">
        <f t="shared" si="5"/>
        <v>1</v>
      </c>
    </row>
    <row r="41" spans="1:29" ht="14.4">
      <c r="A41" s="438" t="s">
        <v>2155</v>
      </c>
      <c r="B41" s="439"/>
      <c r="C41" s="1269" t="s">
        <v>1</v>
      </c>
      <c r="D41" s="1270"/>
      <c r="E41" s="1271"/>
      <c r="F41" s="1272"/>
      <c r="G41" s="1273"/>
      <c r="H41" s="1274"/>
      <c r="I41" s="1271"/>
      <c r="J41" s="1274"/>
      <c r="K41" s="723"/>
      <c r="L41" s="1038"/>
      <c r="M41" s="1039"/>
      <c r="N41" s="1026"/>
      <c r="O41" s="1039"/>
      <c r="P41" s="3506" t="str">
        <f>A41</f>
        <v>成交单价（元/平方米）</v>
      </c>
      <c r="Q41" s="3506"/>
      <c r="R41" s="3507">
        <f>E41</f>
        <v>0</v>
      </c>
      <c r="S41" s="3507"/>
      <c r="T41" s="3507">
        <f>G41</f>
        <v>0</v>
      </c>
      <c r="U41" s="3507"/>
      <c r="V41" s="3507">
        <f>I41</f>
        <v>0</v>
      </c>
      <c r="W41" s="3507"/>
      <c r="X41" s="699"/>
      <c r="Y41" s="721"/>
      <c r="Z41" s="699"/>
      <c r="AA41" s="699"/>
      <c r="AB41" s="699"/>
      <c r="AC41" s="699"/>
    </row>
    <row r="42" spans="1:29" ht="15" thickBot="1">
      <c r="A42" s="445" t="s">
        <v>2247</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506" t="str">
        <f>A42</f>
        <v>比较价值（元/平方米）</v>
      </c>
      <c r="Q42" s="3506"/>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699"/>
      <c r="Y42" s="699"/>
      <c r="Z42" s="699"/>
      <c r="AA42" s="699"/>
      <c r="AB42" s="699"/>
      <c r="AC42" s="699"/>
    </row>
    <row r="43" spans="1:29" ht="15" thickBot="1">
      <c r="A43" s="449" t="s">
        <v>2248</v>
      </c>
      <c r="B43" s="450"/>
      <c r="C43" s="1278" t="e">
        <f>R43</f>
        <v>#DIV/0!</v>
      </c>
      <c r="D43" s="1278"/>
      <c r="E43" s="1278"/>
      <c r="F43" s="1278"/>
      <c r="G43" s="1278"/>
      <c r="H43" s="1278"/>
      <c r="I43" s="1278"/>
      <c r="J43" s="1278"/>
      <c r="K43" s="724"/>
      <c r="L43" s="1038"/>
      <c r="M43" s="1039"/>
      <c r="N43" s="1039"/>
      <c r="O43" s="1039"/>
      <c r="P43" s="3503" t="str">
        <f>A43</f>
        <v>估价对象XX用房的比较价值（楼面单价，元/平方米）</v>
      </c>
      <c r="Q43" s="3504"/>
      <c r="R43" s="3505" t="e">
        <f>IF(F1="售价",ROUND(IF(D42="简单平均",AVERAGE(R42:V42),R42*F42+T42*H42+V42*J42),0),ROUND(IF(D42="简单平均",AVERAGE(R42:V42),R42*F42+T42*H42+V42*J42),1))</f>
        <v>#DIV/0!</v>
      </c>
      <c r="S43" s="3505"/>
      <c r="T43" s="3505"/>
      <c r="U43" s="3505"/>
      <c r="V43" s="3505"/>
      <c r="W43" s="3505"/>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2.2" thickBot="1">
      <c r="A51" s="703" t="s">
        <v>2252</v>
      </c>
      <c r="B51" s="699"/>
      <c r="C51" s="704"/>
      <c r="D51" s="704"/>
      <c r="E51" s="704"/>
      <c r="F51" s="705"/>
      <c r="G51" s="705"/>
      <c r="H51" s="704"/>
      <c r="I51" s="704"/>
      <c r="J51" s="704"/>
      <c r="K51" s="1053"/>
      <c r="L51" s="1054"/>
      <c r="M51" s="1052"/>
      <c r="N51" s="1052"/>
      <c r="O51" s="1052"/>
      <c r="P51" s="460"/>
      <c r="Q51" s="461"/>
    </row>
    <row r="52" spans="1:17" s="465" customFormat="1" ht="14.4">
      <c r="A52" s="462" t="s">
        <v>2126</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c r="A53" s="466"/>
      <c r="B53" s="467"/>
      <c r="C53" s="1297">
        <v>100</v>
      </c>
      <c r="D53" s="469"/>
      <c r="E53" s="469"/>
      <c r="F53" s="469"/>
      <c r="G53" s="469"/>
      <c r="H53" s="469"/>
      <c r="I53" s="469"/>
      <c r="J53" s="469"/>
      <c r="K53" s="469"/>
      <c r="L53" s="469"/>
      <c r="M53" s="470"/>
      <c r="N53" s="469"/>
      <c r="O53" s="471"/>
      <c r="P53" s="461"/>
    </row>
    <row r="54" spans="1:17" s="113" customFormat="1" ht="15" thickBot="1">
      <c r="A54" s="472" t="s">
        <v>2163</v>
      </c>
      <c r="B54" s="473"/>
      <c r="C54" s="474"/>
      <c r="D54" s="475"/>
      <c r="E54" s="475"/>
      <c r="F54" s="475"/>
      <c r="G54" s="475"/>
      <c r="H54" s="475"/>
      <c r="I54" s="475"/>
      <c r="J54" s="475"/>
      <c r="K54" s="475"/>
      <c r="L54" s="475"/>
      <c r="M54" s="476"/>
      <c r="N54" s="2947"/>
      <c r="O54" s="2948"/>
      <c r="P54" s="461"/>
      <c r="Q54" s="461"/>
    </row>
    <row r="55" spans="1:17" s="113" customFormat="1" ht="14.4">
      <c r="A55" s="478" t="s">
        <v>2128</v>
      </c>
      <c r="B55" s="467"/>
      <c r="C55" s="479" t="s">
        <v>2230</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2166</v>
      </c>
      <c r="B57" s="485" t="s">
        <v>2132</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3"/>
      <c r="B87" s="526"/>
      <c r="C87" s="527"/>
      <c r="D87" s="527"/>
      <c r="E87" s="527"/>
      <c r="F87" s="527"/>
      <c r="G87" s="548"/>
      <c r="H87" s="548"/>
      <c r="I87" s="548"/>
      <c r="J87" s="548"/>
      <c r="K87" s="548"/>
      <c r="L87" s="548"/>
      <c r="M87" s="549"/>
      <c r="N87" s="1046"/>
      <c r="O87" s="1046"/>
      <c r="P87" s="45"/>
      <c r="Q87" s="461"/>
    </row>
    <row r="88" spans="1:17" ht="14.4">
      <c r="A88" s="484" t="s">
        <v>2141</v>
      </c>
      <c r="B88" s="485" t="s">
        <v>2190</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9"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4.4">
      <c r="A4" s="361" t="s">
        <v>2223</v>
      </c>
      <c r="B4" s="362"/>
      <c r="C4" s="3521" t="s">
        <v>2224</v>
      </c>
      <c r="D4" s="3522"/>
      <c r="E4" s="3523" t="s">
        <v>2225</v>
      </c>
      <c r="F4" s="3524"/>
      <c r="G4" s="3521" t="s">
        <v>2226</v>
      </c>
      <c r="H4" s="3522"/>
      <c r="I4" s="3521" t="s">
        <v>2227</v>
      </c>
      <c r="J4" s="3522"/>
      <c r="K4" s="567" t="s">
        <v>2228</v>
      </c>
      <c r="L4" s="2892"/>
      <c r="M4" s="2893"/>
      <c r="N4" s="2893"/>
      <c r="O4" s="2893"/>
      <c r="P4" s="3525" t="s">
        <v>2229</v>
      </c>
      <c r="Q4" s="3526"/>
      <c r="R4" s="3531" t="s">
        <v>2225</v>
      </c>
      <c r="S4" s="3532"/>
      <c r="T4" s="3531" t="s">
        <v>2226</v>
      </c>
      <c r="U4" s="3532"/>
      <c r="V4" s="3537" t="s">
        <v>2227</v>
      </c>
      <c r="W4" s="3537"/>
      <c r="X4" s="1489"/>
      <c r="Y4" s="3531" t="s">
        <v>2229</v>
      </c>
      <c r="Z4" s="3532"/>
      <c r="AA4" s="3518" t="s">
        <v>2225</v>
      </c>
      <c r="AB4" s="3519" t="s">
        <v>2226</v>
      </c>
      <c r="AC4" s="3518" t="s">
        <v>2227</v>
      </c>
    </row>
    <row r="5" spans="1:29">
      <c r="A5" s="364"/>
      <c r="B5" s="365"/>
      <c r="C5" s="3540" t="s">
        <v>2120</v>
      </c>
      <c r="D5" s="3541"/>
      <c r="E5" s="3547" t="s">
        <v>2121</v>
      </c>
      <c r="F5" s="3548"/>
      <c r="G5" s="3540" t="s">
        <v>2122</v>
      </c>
      <c r="H5" s="3541"/>
      <c r="I5" s="3540" t="s">
        <v>2123</v>
      </c>
      <c r="J5" s="3541"/>
      <c r="K5" s="567"/>
      <c r="L5" s="2892"/>
      <c r="M5" s="2893"/>
      <c r="N5" s="2893"/>
      <c r="O5" s="2893"/>
      <c r="P5" s="3527"/>
      <c r="Q5" s="3528"/>
      <c r="R5" s="3533"/>
      <c r="S5" s="3534"/>
      <c r="T5" s="3533"/>
      <c r="U5" s="3534"/>
      <c r="V5" s="3537"/>
      <c r="W5" s="3537"/>
      <c r="X5" s="1489"/>
      <c r="Y5" s="3533"/>
      <c r="Z5" s="3534"/>
      <c r="AA5" s="3519"/>
      <c r="AB5" s="3519"/>
      <c r="AC5" s="3519"/>
    </row>
    <row r="6" spans="1:29" ht="15" thickBot="1">
      <c r="A6" s="366"/>
      <c r="B6" s="367"/>
      <c r="C6" s="3538" t="s">
        <v>2124</v>
      </c>
      <c r="D6" s="3539"/>
      <c r="E6" s="3545" t="s">
        <v>2124</v>
      </c>
      <c r="F6" s="3546"/>
      <c r="G6" s="3538" t="s">
        <v>2124</v>
      </c>
      <c r="H6" s="3539"/>
      <c r="I6" s="3538" t="s">
        <v>2124</v>
      </c>
      <c r="J6" s="3539"/>
      <c r="K6" s="567" t="s">
        <v>2125</v>
      </c>
      <c r="L6" s="2892"/>
      <c r="M6" s="2893"/>
      <c r="N6" s="2893"/>
      <c r="O6" s="2893"/>
      <c r="P6" s="3529"/>
      <c r="Q6" s="3530"/>
      <c r="R6" s="3533"/>
      <c r="S6" s="3534"/>
      <c r="T6" s="3535"/>
      <c r="U6" s="3536"/>
      <c r="V6" s="3537"/>
      <c r="W6" s="3537"/>
      <c r="X6" s="1489"/>
      <c r="Y6" s="3535"/>
      <c r="Z6" s="3536"/>
      <c r="AA6" s="3520"/>
      <c r="AB6" s="3520"/>
      <c r="AC6" s="3520"/>
    </row>
    <row r="7" spans="1:29" s="113" customFormat="1" ht="15" thickBot="1">
      <c r="A7" s="368" t="s">
        <v>2126</v>
      </c>
      <c r="B7" s="369"/>
      <c r="C7" s="370">
        <f>'数据-取费表'!B2</f>
        <v>44769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42" t="s">
        <v>2127</v>
      </c>
      <c r="Q7" s="3544"/>
      <c r="R7" s="710" t="s">
        <v>17</v>
      </c>
      <c r="S7" s="711">
        <f t="shared" ref="S7:S14" si="0">F7</f>
        <v>0</v>
      </c>
      <c r="T7" s="710" t="s">
        <v>17</v>
      </c>
      <c r="U7" s="711">
        <f t="shared" ref="U7:U14" si="1">H7</f>
        <v>0</v>
      </c>
      <c r="V7" s="710" t="s">
        <v>17</v>
      </c>
      <c r="W7" s="711">
        <f t="shared" ref="W7:W14" si="2">J7</f>
        <v>0</v>
      </c>
      <c r="X7" s="712"/>
      <c r="Y7" s="3542" t="s">
        <v>2127</v>
      </c>
      <c r="Z7" s="3543"/>
      <c r="AA7" s="713" t="e">
        <f>D7/F7</f>
        <v>#DIV/0!</v>
      </c>
      <c r="AB7" s="713" t="e">
        <f>D7/H7</f>
        <v>#DIV/0!</v>
      </c>
      <c r="AC7" s="713" t="e">
        <f>D7/J7</f>
        <v>#DIV/0!</v>
      </c>
    </row>
    <row r="8" spans="1:29" s="113" customFormat="1" ht="1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42" t="s">
        <v>2130</v>
      </c>
      <c r="Q8" s="3543"/>
      <c r="R8" s="710" t="s">
        <v>17</v>
      </c>
      <c r="S8" s="711">
        <f t="shared" si="0"/>
        <v>0</v>
      </c>
      <c r="T8" s="710" t="s">
        <v>17</v>
      </c>
      <c r="U8" s="711">
        <f t="shared" si="1"/>
        <v>0</v>
      </c>
      <c r="V8" s="710" t="s">
        <v>17</v>
      </c>
      <c r="W8" s="711">
        <f t="shared" si="2"/>
        <v>0</v>
      </c>
      <c r="X8" s="712"/>
      <c r="Y8" s="3542" t="s">
        <v>2130</v>
      </c>
      <c r="Z8" s="3543"/>
      <c r="AA8" s="713" t="e">
        <f t="shared" ref="AA8:AA36" si="3">D8/F8</f>
        <v>#DIV/0!</v>
      </c>
      <c r="AB8" s="713" t="e">
        <f t="shared" ref="AB8:AB36" si="4">D8/H8</f>
        <v>#DIV/0!</v>
      </c>
      <c r="AC8" s="713" t="e">
        <f t="shared" ref="AC8:AC36" si="5">D8/J8</f>
        <v>#DIV/0!</v>
      </c>
    </row>
    <row r="9" spans="1:29" s="113" customFormat="1" ht="14.4">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506" t="s">
        <v>2133</v>
      </c>
      <c r="Q9" s="1477" t="str">
        <f t="shared" ref="Q9:Q14" si="6">B9</f>
        <v>用途</v>
      </c>
      <c r="R9" s="710" t="s">
        <v>17</v>
      </c>
      <c r="S9" s="711">
        <f t="shared" si="0"/>
        <v>100</v>
      </c>
      <c r="T9" s="710" t="s">
        <v>17</v>
      </c>
      <c r="U9" s="711">
        <f t="shared" si="1"/>
        <v>100</v>
      </c>
      <c r="V9" s="710" t="s">
        <v>17</v>
      </c>
      <c r="W9" s="711">
        <f t="shared" si="2"/>
        <v>100</v>
      </c>
      <c r="X9" s="712"/>
      <c r="Y9" s="3378" t="s">
        <v>2134</v>
      </c>
      <c r="Z9" s="55" t="str">
        <f t="shared" ref="Z9:Z14" si="7">Q9</f>
        <v>用途</v>
      </c>
      <c r="AA9" s="713">
        <f t="shared" si="3"/>
        <v>1</v>
      </c>
      <c r="AB9" s="713">
        <f t="shared" si="4"/>
        <v>1</v>
      </c>
      <c r="AC9" s="713">
        <f t="shared" si="5"/>
        <v>1</v>
      </c>
    </row>
    <row r="10" spans="1:29" s="386" customFormat="1" ht="28.8">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506"/>
      <c r="Q10" s="147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06"/>
      <c r="Q11" s="147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06"/>
      <c r="Q12" s="147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06"/>
      <c r="Q13" s="147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96.6">
      <c r="A14" s="361" t="s">
        <v>2137</v>
      </c>
      <c r="B14" s="585" t="s">
        <v>2287</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08" t="s">
        <v>2138</v>
      </c>
      <c r="Q14" s="1486" t="str">
        <f t="shared" si="6"/>
        <v>交通便捷度</v>
      </c>
      <c r="R14" s="714" t="s">
        <v>17</v>
      </c>
      <c r="S14" s="715">
        <f t="shared" si="0"/>
        <v>100</v>
      </c>
      <c r="T14" s="714" t="s">
        <v>17</v>
      </c>
      <c r="U14" s="715">
        <f t="shared" si="1"/>
        <v>100</v>
      </c>
      <c r="V14" s="714" t="s">
        <v>17</v>
      </c>
      <c r="W14" s="715">
        <f t="shared" si="2"/>
        <v>100</v>
      </c>
      <c r="X14" s="1489"/>
      <c r="Y14" s="3508"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509"/>
      <c r="Q15" s="1486"/>
      <c r="R15" s="714"/>
      <c r="S15" s="715"/>
      <c r="T15" s="714"/>
      <c r="U15" s="715"/>
      <c r="V15" s="714"/>
      <c r="W15" s="715"/>
      <c r="X15" s="1489"/>
      <c r="Y15" s="3509"/>
      <c r="Z15" s="1490"/>
      <c r="AA15" s="1487">
        <v>1</v>
      </c>
      <c r="AB15" s="1487">
        <v>1</v>
      </c>
      <c r="AC15" s="1487">
        <v>1</v>
      </c>
    </row>
    <row r="16" spans="1:29" ht="41.4">
      <c r="A16" s="364"/>
      <c r="B16" s="587" t="s">
        <v>2266</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09"/>
      <c r="Q16" s="1486" t="str">
        <f>B16</f>
        <v>公共配套设施</v>
      </c>
      <c r="R16" s="714" t="s">
        <v>17</v>
      </c>
      <c r="S16" s="715">
        <f>F16</f>
        <v>100</v>
      </c>
      <c r="T16" s="714" t="s">
        <v>17</v>
      </c>
      <c r="U16" s="715">
        <f>H16</f>
        <v>100</v>
      </c>
      <c r="V16" s="714" t="s">
        <v>17</v>
      </c>
      <c r="W16" s="715">
        <f>J16</f>
        <v>100</v>
      </c>
      <c r="X16" s="1489"/>
      <c r="Y16" s="3509"/>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509"/>
      <c r="Q17" s="1486"/>
      <c r="R17" s="714"/>
      <c r="S17" s="715"/>
      <c r="T17" s="714"/>
      <c r="U17" s="715"/>
      <c r="V17" s="714"/>
      <c r="W17" s="715"/>
      <c r="X17" s="1489"/>
      <c r="Y17" s="3509"/>
      <c r="Z17" s="1490"/>
      <c r="AA17" s="1487">
        <v>1</v>
      </c>
      <c r="AB17" s="1487">
        <v>1</v>
      </c>
      <c r="AC17" s="1487">
        <v>1</v>
      </c>
    </row>
    <row r="18" spans="1:29" ht="41.4">
      <c r="A18" s="364"/>
      <c r="B18" s="589" t="s">
        <v>2267</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09"/>
      <c r="Q18" s="1486" t="str">
        <f>B18</f>
        <v>基础设施水平</v>
      </c>
      <c r="R18" s="714" t="s">
        <v>17</v>
      </c>
      <c r="S18" s="715">
        <f>F18</f>
        <v>100</v>
      </c>
      <c r="T18" s="714" t="s">
        <v>17</v>
      </c>
      <c r="U18" s="715">
        <f>H18</f>
        <v>100</v>
      </c>
      <c r="V18" s="714" t="s">
        <v>17</v>
      </c>
      <c r="W18" s="715">
        <f>J18</f>
        <v>100</v>
      </c>
      <c r="X18" s="1489"/>
      <c r="Y18" s="3509"/>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509"/>
      <c r="Q19" s="1486"/>
      <c r="R19" s="714"/>
      <c r="S19" s="715"/>
      <c r="T19" s="714"/>
      <c r="U19" s="715"/>
      <c r="V19" s="714"/>
      <c r="W19" s="715"/>
      <c r="X19" s="1489"/>
      <c r="Y19" s="3509"/>
      <c r="Z19" s="1490"/>
      <c r="AA19" s="1487">
        <v>1</v>
      </c>
      <c r="AB19" s="1487">
        <v>1</v>
      </c>
      <c r="AC19" s="1487">
        <v>1</v>
      </c>
    </row>
    <row r="20" spans="1:29" ht="55.2">
      <c r="A20" s="364"/>
      <c r="B20" s="587" t="s">
        <v>2288</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09"/>
      <c r="Q20" s="1486" t="str">
        <f>B20</f>
        <v>自然及人文环境</v>
      </c>
      <c r="R20" s="714" t="s">
        <v>17</v>
      </c>
      <c r="S20" s="715">
        <f>F20</f>
        <v>100</v>
      </c>
      <c r="T20" s="714" t="s">
        <v>17</v>
      </c>
      <c r="U20" s="715">
        <f>H20</f>
        <v>100</v>
      </c>
      <c r="V20" s="714" t="s">
        <v>17</v>
      </c>
      <c r="W20" s="715">
        <f>J20</f>
        <v>100</v>
      </c>
      <c r="X20" s="1489"/>
      <c r="Y20" s="3509"/>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509"/>
      <c r="Q21" s="1486"/>
      <c r="R21" s="714"/>
      <c r="S21" s="715"/>
      <c r="T21" s="714"/>
      <c r="U21" s="715"/>
      <c r="V21" s="714"/>
      <c r="W21" s="715"/>
      <c r="X21" s="1489"/>
      <c r="Y21" s="3509"/>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09"/>
      <c r="Q22" s="1486" t="str">
        <f>B22</f>
        <v>楼层</v>
      </c>
      <c r="R22" s="714" t="s">
        <v>17</v>
      </c>
      <c r="S22" s="715">
        <f>F22</f>
        <v>100</v>
      </c>
      <c r="T22" s="714" t="s">
        <v>17</v>
      </c>
      <c r="U22" s="715">
        <f>H22</f>
        <v>100</v>
      </c>
      <c r="V22" s="714" t="s">
        <v>17</v>
      </c>
      <c r="W22" s="715">
        <f>J22</f>
        <v>100</v>
      </c>
      <c r="X22" s="1489"/>
      <c r="Y22" s="3509"/>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09"/>
      <c r="Q23" s="1486">
        <f>B23</f>
        <v>111</v>
      </c>
      <c r="R23" s="714" t="s">
        <v>17</v>
      </c>
      <c r="S23" s="715">
        <f>F23</f>
        <v>100</v>
      </c>
      <c r="T23" s="714" t="s">
        <v>17</v>
      </c>
      <c r="U23" s="715">
        <f>H23</f>
        <v>100</v>
      </c>
      <c r="V23" s="714" t="s">
        <v>17</v>
      </c>
      <c r="W23" s="715">
        <f>J23</f>
        <v>100</v>
      </c>
      <c r="X23" s="1489"/>
      <c r="Y23" s="3509"/>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09"/>
      <c r="Q24" s="1486">
        <f t="shared" ref="Q24:Q36" si="11">B24</f>
        <v>111</v>
      </c>
      <c r="R24" s="714" t="s">
        <v>17</v>
      </c>
      <c r="S24" s="715">
        <f>F24</f>
        <v>100</v>
      </c>
      <c r="T24" s="714" t="s">
        <v>17</v>
      </c>
      <c r="U24" s="715">
        <f>H24</f>
        <v>100</v>
      </c>
      <c r="V24" s="714" t="s">
        <v>17</v>
      </c>
      <c r="W24" s="715">
        <f>J24</f>
        <v>100</v>
      </c>
      <c r="X24" s="1489"/>
      <c r="Y24" s="3509"/>
      <c r="Z24" s="1490">
        <f>Q24</f>
        <v>111</v>
      </c>
      <c r="AA24" s="1487">
        <f t="shared" si="3"/>
        <v>1</v>
      </c>
      <c r="AB24" s="1487">
        <f t="shared" si="4"/>
        <v>1</v>
      </c>
      <c r="AC24" s="148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09"/>
      <c r="Q25" s="1477">
        <f t="shared" si="11"/>
        <v>111</v>
      </c>
      <c r="R25" s="710" t="s">
        <v>17</v>
      </c>
      <c r="S25" s="711">
        <f>F25</f>
        <v>100</v>
      </c>
      <c r="T25" s="710" t="s">
        <v>17</v>
      </c>
      <c r="U25" s="711">
        <f>H25</f>
        <v>100</v>
      </c>
      <c r="V25" s="710" t="s">
        <v>17</v>
      </c>
      <c r="W25" s="711">
        <f>J25</f>
        <v>100</v>
      </c>
      <c r="X25" s="712"/>
      <c r="Y25" s="3509"/>
      <c r="Z25" s="55">
        <f>Q25</f>
        <v>111</v>
      </c>
      <c r="AA25" s="1487">
        <f>D25/F25</f>
        <v>1</v>
      </c>
      <c r="AB25" s="1487">
        <f>D25/H25</f>
        <v>1</v>
      </c>
      <c r="AC25" s="1487">
        <f>D25/J25</f>
        <v>1</v>
      </c>
    </row>
    <row r="26" spans="1:29" ht="30">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64"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13"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13"/>
      <c r="Q27" s="716" t="str">
        <f t="shared" si="11"/>
        <v>项目停车位配比</v>
      </c>
      <c r="R27" s="717" t="s">
        <v>17</v>
      </c>
      <c r="S27" s="718">
        <f t="shared" si="12"/>
        <v>100</v>
      </c>
      <c r="T27" s="717" t="s">
        <v>17</v>
      </c>
      <c r="U27" s="718">
        <f t="shared" si="13"/>
        <v>100</v>
      </c>
      <c r="V27" s="717" t="s">
        <v>17</v>
      </c>
      <c r="W27" s="718">
        <f t="shared" si="14"/>
        <v>100</v>
      </c>
      <c r="X27" s="719"/>
      <c r="Y27" s="3513"/>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13"/>
      <c r="Q28" s="1486" t="str">
        <f t="shared" si="11"/>
        <v>公共部分装修</v>
      </c>
      <c r="R28" s="714" t="s">
        <v>17</v>
      </c>
      <c r="S28" s="715">
        <f t="shared" si="12"/>
        <v>100</v>
      </c>
      <c r="T28" s="714" t="s">
        <v>17</v>
      </c>
      <c r="U28" s="715">
        <f t="shared" si="13"/>
        <v>100</v>
      </c>
      <c r="V28" s="714" t="s">
        <v>17</v>
      </c>
      <c r="W28" s="715">
        <f t="shared" si="14"/>
        <v>100</v>
      </c>
      <c r="X28" s="1489"/>
      <c r="Y28" s="3513"/>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13"/>
      <c r="Q29" s="1486" t="str">
        <f t="shared" si="11"/>
        <v>成新率</v>
      </c>
      <c r="R29" s="714" t="s">
        <v>17</v>
      </c>
      <c r="S29" s="715" t="e">
        <f t="shared" si="12"/>
        <v>#N/A</v>
      </c>
      <c r="T29" s="714" t="s">
        <v>17</v>
      </c>
      <c r="U29" s="715" t="e">
        <f t="shared" si="13"/>
        <v>#N/A</v>
      </c>
      <c r="V29" s="714" t="s">
        <v>17</v>
      </c>
      <c r="W29" s="715" t="e">
        <f t="shared" si="14"/>
        <v>#N/A</v>
      </c>
      <c r="X29" s="1489"/>
      <c r="Y29" s="3513"/>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13"/>
      <c r="Q30" s="1486" t="str">
        <f t="shared" si="11"/>
        <v>物业等级</v>
      </c>
      <c r="R30" s="714" t="s">
        <v>17</v>
      </c>
      <c r="S30" s="715">
        <f t="shared" si="12"/>
        <v>100</v>
      </c>
      <c r="T30" s="714" t="s">
        <v>17</v>
      </c>
      <c r="U30" s="715">
        <f t="shared" si="13"/>
        <v>100</v>
      </c>
      <c r="V30" s="714" t="s">
        <v>17</v>
      </c>
      <c r="W30" s="715">
        <f t="shared" si="14"/>
        <v>100</v>
      </c>
      <c r="X30" s="1489"/>
      <c r="Y30" s="3513"/>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13"/>
      <c r="Q31" s="1477" t="str">
        <f t="shared" si="11"/>
        <v>停车位面积</v>
      </c>
      <c r="R31" s="710" t="s">
        <v>17</v>
      </c>
      <c r="S31" s="711" t="e">
        <f t="shared" si="12"/>
        <v>#N/A</v>
      </c>
      <c r="T31" s="710" t="s">
        <v>17</v>
      </c>
      <c r="U31" s="711" t="e">
        <f t="shared" si="13"/>
        <v>#N/A</v>
      </c>
      <c r="V31" s="710" t="s">
        <v>17</v>
      </c>
      <c r="W31" s="711" t="e">
        <f t="shared" si="14"/>
        <v>#N/A</v>
      </c>
      <c r="X31" s="712"/>
      <c r="Y31" s="3513"/>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13" t="s">
        <v>2143</v>
      </c>
      <c r="Q32" s="1486" t="str">
        <f t="shared" si="11"/>
        <v>车位类型</v>
      </c>
      <c r="R32" s="714" t="s">
        <v>17</v>
      </c>
      <c r="S32" s="715">
        <f t="shared" si="12"/>
        <v>100</v>
      </c>
      <c r="T32" s="714" t="s">
        <v>17</v>
      </c>
      <c r="U32" s="715">
        <f t="shared" si="13"/>
        <v>100</v>
      </c>
      <c r="V32" s="714" t="s">
        <v>17</v>
      </c>
      <c r="W32" s="715">
        <f t="shared" si="14"/>
        <v>100</v>
      </c>
      <c r="X32" s="1489"/>
      <c r="Y32" s="3513"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13"/>
      <c r="Q33" s="1486" t="str">
        <f t="shared" si="11"/>
        <v>是否直接入户</v>
      </c>
      <c r="R33" s="714" t="s">
        <v>17</v>
      </c>
      <c r="S33" s="715">
        <f t="shared" si="12"/>
        <v>100</v>
      </c>
      <c r="T33" s="714" t="s">
        <v>17</v>
      </c>
      <c r="U33" s="715">
        <f t="shared" si="13"/>
        <v>100</v>
      </c>
      <c r="V33" s="714" t="s">
        <v>17</v>
      </c>
      <c r="W33" s="715">
        <f t="shared" si="14"/>
        <v>100</v>
      </c>
      <c r="X33" s="1489"/>
      <c r="Y33" s="3513"/>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13"/>
      <c r="Q34" s="1486">
        <f t="shared" si="11"/>
        <v>111</v>
      </c>
      <c r="R34" s="714" t="s">
        <v>17</v>
      </c>
      <c r="S34" s="715">
        <f t="shared" si="12"/>
        <v>100</v>
      </c>
      <c r="T34" s="714" t="s">
        <v>17</v>
      </c>
      <c r="U34" s="715">
        <f t="shared" si="13"/>
        <v>100</v>
      </c>
      <c r="V34" s="714" t="s">
        <v>17</v>
      </c>
      <c r="W34" s="715">
        <f t="shared" si="14"/>
        <v>100</v>
      </c>
      <c r="X34" s="1489"/>
      <c r="Y34" s="3513"/>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13"/>
      <c r="Q35" s="716">
        <f t="shared" si="11"/>
        <v>111</v>
      </c>
      <c r="R35" s="717" t="s">
        <v>17</v>
      </c>
      <c r="S35" s="718">
        <f t="shared" si="12"/>
        <v>100</v>
      </c>
      <c r="T35" s="717" t="s">
        <v>17</v>
      </c>
      <c r="U35" s="718">
        <f t="shared" si="13"/>
        <v>100</v>
      </c>
      <c r="V35" s="717" t="s">
        <v>17</v>
      </c>
      <c r="W35" s="718">
        <f t="shared" si="14"/>
        <v>100</v>
      </c>
      <c r="X35" s="719"/>
      <c r="Y35" s="3513"/>
      <c r="Z35" s="720">
        <f t="shared" si="15"/>
        <v>111</v>
      </c>
      <c r="AA35" s="1487">
        <f t="shared" si="3"/>
        <v>1</v>
      </c>
      <c r="AB35" s="1487">
        <f t="shared" si="4"/>
        <v>1</v>
      </c>
      <c r="AC35" s="148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13"/>
      <c r="Q36" s="1486">
        <f t="shared" si="11"/>
        <v>111</v>
      </c>
      <c r="R36" s="714" t="s">
        <v>17</v>
      </c>
      <c r="S36" s="715">
        <f t="shared" si="12"/>
        <v>100</v>
      </c>
      <c r="T36" s="714" t="s">
        <v>17</v>
      </c>
      <c r="U36" s="715">
        <f t="shared" si="13"/>
        <v>100</v>
      </c>
      <c r="V36" s="714" t="s">
        <v>17</v>
      </c>
      <c r="W36" s="715">
        <f t="shared" si="14"/>
        <v>100</v>
      </c>
      <c r="X36" s="1489"/>
      <c r="Y36" s="3513"/>
      <c r="Z36" s="1490">
        <f t="shared" si="15"/>
        <v>111</v>
      </c>
      <c r="AA36" s="1487">
        <f t="shared" si="3"/>
        <v>1</v>
      </c>
      <c r="AB36" s="1487">
        <f t="shared" si="4"/>
        <v>1</v>
      </c>
      <c r="AC36" s="1487">
        <f t="shared" si="5"/>
        <v>1</v>
      </c>
    </row>
    <row r="37" spans="1:29" ht="14.4">
      <c r="A37" s="438" t="s">
        <v>2298</v>
      </c>
      <c r="B37" s="2108" t="s">
        <v>2299</v>
      </c>
      <c r="C37" s="1269" t="s">
        <v>1</v>
      </c>
      <c r="D37" s="1270"/>
      <c r="E37" s="1271"/>
      <c r="F37" s="1272"/>
      <c r="G37" s="1273"/>
      <c r="H37" s="1274"/>
      <c r="I37" s="1271"/>
      <c r="J37" s="1274"/>
      <c r="K37" s="576"/>
      <c r="L37" s="2901"/>
      <c r="M37" s="2902"/>
      <c r="N37" s="2893"/>
      <c r="O37" s="2902"/>
      <c r="P37" s="3506" t="str">
        <f>A37</f>
        <v>成交单价</v>
      </c>
      <c r="Q37" s="3506"/>
      <c r="R37" s="3507">
        <f>E37</f>
        <v>0</v>
      </c>
      <c r="S37" s="3507"/>
      <c r="T37" s="3507">
        <f>G37</f>
        <v>0</v>
      </c>
      <c r="U37" s="3507"/>
      <c r="V37" s="3507">
        <f>I37</f>
        <v>0</v>
      </c>
      <c r="W37" s="3507"/>
      <c r="X37" s="699"/>
      <c r="Y37" s="721"/>
      <c r="Z37" s="699"/>
      <c r="AA37" s="699"/>
      <c r="AB37" s="699"/>
      <c r="AC37" s="699"/>
    </row>
    <row r="38" spans="1:29" ht="15" thickBot="1">
      <c r="A38" s="445" t="s">
        <v>2300</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506" t="str">
        <f>A38</f>
        <v>比较价值（元/平方米）</v>
      </c>
      <c r="Q38" s="3506"/>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699"/>
      <c r="Y38" s="699"/>
      <c r="Z38" s="699"/>
      <c r="AA38" s="699"/>
      <c r="AB38" s="699"/>
      <c r="AC38" s="699"/>
    </row>
    <row r="39" spans="1:29" ht="15" thickBot="1">
      <c r="A39" s="449" t="s">
        <v>2301</v>
      </c>
      <c r="B39" s="450"/>
      <c r="C39" s="1278" t="e">
        <f>R39</f>
        <v>#DIV/0!</v>
      </c>
      <c r="D39" s="1278"/>
      <c r="E39" s="1278"/>
      <c r="F39" s="1278"/>
      <c r="G39" s="1278"/>
      <c r="H39" s="1278"/>
      <c r="I39" s="1278"/>
      <c r="J39" s="1278"/>
      <c r="K39" s="577"/>
      <c r="L39" s="2901"/>
      <c r="M39" s="2902"/>
      <c r="N39" s="2902"/>
      <c r="O39" s="2902"/>
      <c r="P39" s="3503" t="str">
        <f>A39</f>
        <v>估价对象XX用房的比较价值（楼面单价，元/平方米）</v>
      </c>
      <c r="Q39" s="3504"/>
      <c r="R39" s="3565" t="e">
        <f>IF(F1="售价",ROUND(IF(D38="简单平均",AVERAGE(R38:W38),R38*F38+T38*H38+V38*J38),0),ROUND(IF(D38="简单平均",AVERAGE(R38:V38),R38*F38+T38*H38+V38*J38),1))</f>
        <v>#DIV/0!</v>
      </c>
      <c r="S39" s="3565"/>
      <c r="T39" s="3565"/>
      <c r="U39" s="3565"/>
      <c r="V39" s="3565"/>
      <c r="W39" s="3565"/>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2.2" thickBot="1">
      <c r="A47" s="1281" t="s">
        <v>2305</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4.4">
      <c r="A48" s="462" t="s">
        <v>2306</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6"/>
      <c r="Q48" s="2918"/>
      <c r="R48" s="2918"/>
      <c r="S48" s="2918"/>
      <c r="T48" s="2918"/>
      <c r="U48" s="2918"/>
      <c r="V48" s="2918"/>
      <c r="W48" s="2918"/>
      <c r="X48" s="2918"/>
      <c r="Y48" s="2918"/>
      <c r="Z48" s="2918"/>
      <c r="AA48" s="2918"/>
      <c r="AB48" s="2918"/>
      <c r="AC48" s="2918"/>
    </row>
    <row r="49" spans="1:29" s="113" customFormat="1">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 thickBot="1">
      <c r="A50" s="472" t="s">
        <v>2163</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4.4">
      <c r="A51" s="478" t="s">
        <v>2128</v>
      </c>
      <c r="B51" s="467"/>
      <c r="C51" s="479" t="s">
        <v>2230</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4.4"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ht="14.4">
      <c r="A53" s="484" t="s">
        <v>2166</v>
      </c>
      <c r="B53" s="485" t="s">
        <v>2132</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4.4"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9.4" thickTop="1">
      <c r="A55" s="491"/>
      <c r="B55" s="495" t="s">
        <v>2135</v>
      </c>
      <c r="C55" s="496" t="s">
        <v>2167</v>
      </c>
      <c r="D55" s="496" t="s">
        <v>2168</v>
      </c>
      <c r="E55" s="496" t="s">
        <v>2169</v>
      </c>
      <c r="F55" s="496" t="s">
        <v>2170</v>
      </c>
      <c r="G55" s="496" t="s">
        <v>2171</v>
      </c>
      <c r="H55" s="496" t="s">
        <v>2172</v>
      </c>
      <c r="I55" s="496" t="s">
        <v>2173</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4.4"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4.4"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4.4"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4.4"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4.4"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4.4"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 thickTop="1">
      <c r="A65" s="491"/>
      <c r="B65" s="495" t="s">
        <v>2181</v>
      </c>
      <c r="C65" s="535" t="s">
        <v>2175</v>
      </c>
      <c r="D65" s="535" t="s">
        <v>2176</v>
      </c>
      <c r="E65" s="535" t="s">
        <v>2177</v>
      </c>
      <c r="F65" s="535" t="s">
        <v>2178</v>
      </c>
      <c r="G65" s="535" t="s">
        <v>2179</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 thickTop="1">
      <c r="A67" s="491"/>
      <c r="B67" s="503" t="s">
        <v>2267</v>
      </c>
      <c r="C67" s="616" t="s">
        <v>2253</v>
      </c>
      <c r="D67" s="616" t="s">
        <v>2254</v>
      </c>
      <c r="E67" s="616" t="s">
        <v>2255</v>
      </c>
      <c r="F67" s="616" t="s">
        <v>2256</v>
      </c>
      <c r="G67" s="616" t="s">
        <v>2257</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 thickTop="1">
      <c r="A69" s="491"/>
      <c r="B69" s="495" t="s">
        <v>2187</v>
      </c>
      <c r="C69" s="535" t="s">
        <v>2175</v>
      </c>
      <c r="D69" s="535" t="s">
        <v>2176</v>
      </c>
      <c r="E69" s="535" t="s">
        <v>2177</v>
      </c>
      <c r="F69" s="535" t="s">
        <v>2178</v>
      </c>
      <c r="G69" s="535" t="s">
        <v>2179</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 thickTop="1">
      <c r="A71" s="491"/>
      <c r="B71" s="495" t="s">
        <v>2307</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4.4"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4.4"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4.4"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4.4"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4.4"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4.4"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9.4" thickTop="1">
      <c r="A79" s="484" t="s">
        <v>2141</v>
      </c>
      <c r="B79" s="485" t="s">
        <v>2308</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 thickTop="1">
      <c r="A81" s="491"/>
      <c r="B81" s="495" t="s">
        <v>2309</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4.4"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2194</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2311</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4.4"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2313</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2314</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4.4"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4.4"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4.4"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4.4"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4.4"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4.4"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4.4"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H1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IF(C2="——",ROUND(C37*D3/10000,0),ROUND(C37*D3/10000,0)-D2)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4.4">
      <c r="A4" s="361" t="s">
        <v>2223</v>
      </c>
      <c r="B4" s="362"/>
      <c r="C4" s="3521" t="s">
        <v>2224</v>
      </c>
      <c r="D4" s="3522"/>
      <c r="E4" s="3523" t="s">
        <v>2225</v>
      </c>
      <c r="F4" s="3524"/>
      <c r="G4" s="3521" t="s">
        <v>2226</v>
      </c>
      <c r="H4" s="3522"/>
      <c r="I4" s="3521" t="s">
        <v>2227</v>
      </c>
      <c r="J4" s="3522"/>
      <c r="K4" s="567" t="s">
        <v>2228</v>
      </c>
      <c r="L4" s="2892"/>
      <c r="M4" s="2893"/>
      <c r="N4" s="2893"/>
      <c r="O4" s="2893"/>
      <c r="P4" s="3525" t="s">
        <v>2229</v>
      </c>
      <c r="Q4" s="3526"/>
      <c r="R4" s="3531" t="s">
        <v>2225</v>
      </c>
      <c r="S4" s="3532"/>
      <c r="T4" s="3531" t="s">
        <v>2226</v>
      </c>
      <c r="U4" s="3532"/>
      <c r="V4" s="3537" t="s">
        <v>2227</v>
      </c>
      <c r="W4" s="3537"/>
      <c r="X4" s="1489"/>
      <c r="Y4" s="3531" t="s">
        <v>2229</v>
      </c>
      <c r="Z4" s="3532"/>
      <c r="AA4" s="3518" t="s">
        <v>2225</v>
      </c>
      <c r="AB4" s="3519" t="s">
        <v>2226</v>
      </c>
      <c r="AC4" s="3518" t="s">
        <v>2227</v>
      </c>
    </row>
    <row r="5" spans="1:29">
      <c r="A5" s="364"/>
      <c r="B5" s="365"/>
      <c r="C5" s="3540" t="s">
        <v>2120</v>
      </c>
      <c r="D5" s="3541"/>
      <c r="E5" s="3547" t="s">
        <v>2121</v>
      </c>
      <c r="F5" s="3548"/>
      <c r="G5" s="3540" t="s">
        <v>2122</v>
      </c>
      <c r="H5" s="3541"/>
      <c r="I5" s="3540" t="s">
        <v>2123</v>
      </c>
      <c r="J5" s="3541"/>
      <c r="K5" s="567"/>
      <c r="L5" s="2892"/>
      <c r="M5" s="2893"/>
      <c r="N5" s="2893"/>
      <c r="O5" s="2893"/>
      <c r="P5" s="3527"/>
      <c r="Q5" s="3528"/>
      <c r="R5" s="3533"/>
      <c r="S5" s="3534"/>
      <c r="T5" s="3533"/>
      <c r="U5" s="3534"/>
      <c r="V5" s="3537"/>
      <c r="W5" s="3537"/>
      <c r="X5" s="1489"/>
      <c r="Y5" s="3533"/>
      <c r="Z5" s="3534"/>
      <c r="AA5" s="3519"/>
      <c r="AB5" s="3519"/>
      <c r="AC5" s="3519"/>
    </row>
    <row r="6" spans="1:29" ht="15" thickBot="1">
      <c r="A6" s="366"/>
      <c r="B6" s="367"/>
      <c r="C6" s="3538" t="s">
        <v>2124</v>
      </c>
      <c r="D6" s="3539"/>
      <c r="E6" s="3545" t="s">
        <v>2124</v>
      </c>
      <c r="F6" s="3546"/>
      <c r="G6" s="3538" t="s">
        <v>2124</v>
      </c>
      <c r="H6" s="3539"/>
      <c r="I6" s="3538" t="s">
        <v>2124</v>
      </c>
      <c r="J6" s="3539"/>
      <c r="K6" s="567" t="s">
        <v>2125</v>
      </c>
      <c r="L6" s="2892"/>
      <c r="M6" s="2893"/>
      <c r="N6" s="2893"/>
      <c r="O6" s="2893"/>
      <c r="P6" s="3529"/>
      <c r="Q6" s="3530"/>
      <c r="R6" s="3533"/>
      <c r="S6" s="3534"/>
      <c r="T6" s="3535"/>
      <c r="U6" s="3536"/>
      <c r="V6" s="3537"/>
      <c r="W6" s="3537"/>
      <c r="X6" s="1489"/>
      <c r="Y6" s="3535"/>
      <c r="Z6" s="3536"/>
      <c r="AA6" s="3520"/>
      <c r="AB6" s="3520"/>
      <c r="AC6" s="3520"/>
    </row>
    <row r="7" spans="1:29" s="113" customFormat="1" ht="15" thickBot="1">
      <c r="A7" s="368" t="s">
        <v>2126</v>
      </c>
      <c r="B7" s="369"/>
      <c r="C7" s="370">
        <f>'数据-取费表'!B2</f>
        <v>44769</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542" t="s">
        <v>2127</v>
      </c>
      <c r="Q7" s="3544"/>
      <c r="R7" s="710" t="s">
        <v>17</v>
      </c>
      <c r="S7" s="711">
        <f t="shared" ref="S7:S14" si="0">F7</f>
        <v>0</v>
      </c>
      <c r="T7" s="710" t="s">
        <v>17</v>
      </c>
      <c r="U7" s="711">
        <f t="shared" ref="U7:U14" si="1">H7</f>
        <v>0</v>
      </c>
      <c r="V7" s="710" t="s">
        <v>17</v>
      </c>
      <c r="W7" s="711">
        <f t="shared" ref="W7:W14" si="2">J7</f>
        <v>0</v>
      </c>
      <c r="X7" s="712"/>
      <c r="Y7" s="3542" t="s">
        <v>2127</v>
      </c>
      <c r="Z7" s="3543"/>
      <c r="AA7" s="713" t="e">
        <f>D7/F7</f>
        <v>#DIV/0!</v>
      </c>
      <c r="AB7" s="713" t="e">
        <f>D7/H7</f>
        <v>#DIV/0!</v>
      </c>
      <c r="AC7" s="713" t="e">
        <f>D7/J7</f>
        <v>#DIV/0!</v>
      </c>
    </row>
    <row r="8" spans="1:29" s="113" customFormat="1" ht="1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42" t="s">
        <v>2130</v>
      </c>
      <c r="Q8" s="3543"/>
      <c r="R8" s="710" t="s">
        <v>17</v>
      </c>
      <c r="S8" s="711">
        <f t="shared" si="0"/>
        <v>0</v>
      </c>
      <c r="T8" s="710" t="s">
        <v>17</v>
      </c>
      <c r="U8" s="711">
        <f t="shared" si="1"/>
        <v>0</v>
      </c>
      <c r="V8" s="710" t="s">
        <v>17</v>
      </c>
      <c r="W8" s="711">
        <f t="shared" si="2"/>
        <v>0</v>
      </c>
      <c r="X8" s="712"/>
      <c r="Y8" s="3542" t="s">
        <v>2130</v>
      </c>
      <c r="Z8" s="3543"/>
      <c r="AA8" s="713" t="e">
        <f t="shared" ref="AA8:AA34" si="3">D8/F8</f>
        <v>#DIV/0!</v>
      </c>
      <c r="AB8" s="713" t="e">
        <f t="shared" ref="AB8:AB34" si="4">D8/H8</f>
        <v>#DIV/0!</v>
      </c>
      <c r="AC8" s="713" t="e">
        <f t="shared" ref="AC8:AC34" si="5">D8/J8</f>
        <v>#DIV/0!</v>
      </c>
    </row>
    <row r="9" spans="1:29" s="113" customFormat="1" ht="14.4">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06" t="s">
        <v>2133</v>
      </c>
      <c r="Q9" s="1477" t="str">
        <f t="shared" ref="Q9:Q14" si="6">B9</f>
        <v>用途</v>
      </c>
      <c r="R9" s="710" t="s">
        <v>17</v>
      </c>
      <c r="S9" s="711">
        <f t="shared" si="0"/>
        <v>100</v>
      </c>
      <c r="T9" s="710" t="s">
        <v>17</v>
      </c>
      <c r="U9" s="711">
        <f t="shared" si="1"/>
        <v>100</v>
      </c>
      <c r="V9" s="710" t="s">
        <v>17</v>
      </c>
      <c r="W9" s="711">
        <f t="shared" si="2"/>
        <v>100</v>
      </c>
      <c r="X9" s="712"/>
      <c r="Y9" s="3378" t="s">
        <v>2134</v>
      </c>
      <c r="Z9" s="55" t="str">
        <f t="shared" ref="Z9:Z14" si="7">Q9</f>
        <v>用途</v>
      </c>
      <c r="AA9" s="713">
        <f t="shared" si="3"/>
        <v>1</v>
      </c>
      <c r="AB9" s="713">
        <f t="shared" si="4"/>
        <v>1</v>
      </c>
      <c r="AC9" s="713">
        <f t="shared" si="5"/>
        <v>1</v>
      </c>
    </row>
    <row r="10" spans="1:29" s="386" customFormat="1" ht="28.8">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06"/>
      <c r="Q10" s="147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06"/>
      <c r="Q11" s="147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06"/>
      <c r="Q12" s="147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6"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506"/>
      <c r="Q13" s="147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96.6">
      <c r="A14" s="399" t="s">
        <v>2137</v>
      </c>
      <c r="B14" s="65" t="s">
        <v>2287</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08" t="s">
        <v>2138</v>
      </c>
      <c r="Q14" s="1486" t="str">
        <f t="shared" si="6"/>
        <v>交通便捷度</v>
      </c>
      <c r="R14" s="714" t="s">
        <v>17</v>
      </c>
      <c r="S14" s="715">
        <f t="shared" si="0"/>
        <v>100</v>
      </c>
      <c r="T14" s="714" t="s">
        <v>17</v>
      </c>
      <c r="U14" s="715">
        <f t="shared" si="1"/>
        <v>100</v>
      </c>
      <c r="V14" s="714" t="s">
        <v>17</v>
      </c>
      <c r="W14" s="715">
        <f t="shared" si="2"/>
        <v>100</v>
      </c>
      <c r="X14" s="1489"/>
      <c r="Y14" s="3508"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509"/>
      <c r="Q15" s="1486"/>
      <c r="R15" s="714"/>
      <c r="S15" s="715"/>
      <c r="T15" s="714"/>
      <c r="U15" s="715"/>
      <c r="V15" s="714"/>
      <c r="W15" s="715"/>
      <c r="X15" s="1489"/>
      <c r="Y15" s="3509"/>
      <c r="Z15" s="1490"/>
      <c r="AA15" s="1487">
        <v>1</v>
      </c>
      <c r="AB15" s="1487">
        <v>1</v>
      </c>
      <c r="AC15" s="1487">
        <v>1</v>
      </c>
    </row>
    <row r="16" spans="1:29" ht="41.4">
      <c r="A16" s="387"/>
      <c r="B16" s="410" t="s">
        <v>2266</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09"/>
      <c r="Q16" s="1486" t="str">
        <f>B16</f>
        <v>公共配套设施</v>
      </c>
      <c r="R16" s="714" t="s">
        <v>17</v>
      </c>
      <c r="S16" s="715">
        <f>F16</f>
        <v>100</v>
      </c>
      <c r="T16" s="714" t="s">
        <v>17</v>
      </c>
      <c r="U16" s="715">
        <f>H16</f>
        <v>100</v>
      </c>
      <c r="V16" s="714" t="s">
        <v>17</v>
      </c>
      <c r="W16" s="715">
        <f>J16</f>
        <v>100</v>
      </c>
      <c r="X16" s="1489"/>
      <c r="Y16" s="3509"/>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509"/>
      <c r="Q17" s="1486"/>
      <c r="R17" s="714"/>
      <c r="S17" s="715"/>
      <c r="T17" s="714"/>
      <c r="U17" s="715"/>
      <c r="V17" s="714"/>
      <c r="W17" s="715"/>
      <c r="X17" s="1489"/>
      <c r="Y17" s="3509"/>
      <c r="Z17" s="1490"/>
      <c r="AA17" s="1487">
        <v>1</v>
      </c>
      <c r="AB17" s="1487">
        <v>1</v>
      </c>
      <c r="AC17" s="1487">
        <v>1</v>
      </c>
    </row>
    <row r="18" spans="1:29" ht="41.4">
      <c r="A18" s="387"/>
      <c r="B18" s="1246" t="s">
        <v>2267</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09"/>
      <c r="Q18" s="1486" t="str">
        <f>B18</f>
        <v>基础设施水平</v>
      </c>
      <c r="R18" s="714" t="s">
        <v>17</v>
      </c>
      <c r="S18" s="715">
        <f>F18</f>
        <v>100</v>
      </c>
      <c r="T18" s="714" t="s">
        <v>17</v>
      </c>
      <c r="U18" s="715">
        <f>H18</f>
        <v>100</v>
      </c>
      <c r="V18" s="714" t="s">
        <v>17</v>
      </c>
      <c r="W18" s="715">
        <f>J18</f>
        <v>100</v>
      </c>
      <c r="X18" s="1489"/>
      <c r="Y18" s="3509"/>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509"/>
      <c r="Q19" s="1486"/>
      <c r="R19" s="714"/>
      <c r="S19" s="715"/>
      <c r="T19" s="714"/>
      <c r="U19" s="715"/>
      <c r="V19" s="714"/>
      <c r="W19" s="715"/>
      <c r="X19" s="1489"/>
      <c r="Y19" s="3509"/>
      <c r="Z19" s="1490"/>
      <c r="AA19" s="1487">
        <v>1</v>
      </c>
      <c r="AB19" s="1487">
        <v>1</v>
      </c>
      <c r="AC19" s="1487">
        <v>1</v>
      </c>
    </row>
    <row r="20" spans="1:29" ht="55.2">
      <c r="A20" s="387"/>
      <c r="B20" s="410" t="s">
        <v>2288</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09"/>
      <c r="Q20" s="1486" t="str">
        <f>B20</f>
        <v>自然及人文环境</v>
      </c>
      <c r="R20" s="714" t="s">
        <v>17</v>
      </c>
      <c r="S20" s="715">
        <f>F20</f>
        <v>100</v>
      </c>
      <c r="T20" s="714" t="s">
        <v>17</v>
      </c>
      <c r="U20" s="715">
        <f>H20</f>
        <v>100</v>
      </c>
      <c r="V20" s="714" t="s">
        <v>17</v>
      </c>
      <c r="W20" s="715">
        <f>J20</f>
        <v>100</v>
      </c>
      <c r="X20" s="1489"/>
      <c r="Y20" s="3509"/>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509"/>
      <c r="Q21" s="1486"/>
      <c r="R21" s="714"/>
      <c r="S21" s="715"/>
      <c r="T21" s="714"/>
      <c r="U21" s="715"/>
      <c r="V21" s="714"/>
      <c r="W21" s="715"/>
      <c r="X21" s="1489"/>
      <c r="Y21" s="3509"/>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09"/>
      <c r="Q22" s="1486" t="str">
        <f>B22</f>
        <v>楼层</v>
      </c>
      <c r="R22" s="714" t="s">
        <v>17</v>
      </c>
      <c r="S22" s="715">
        <f>F22</f>
        <v>100</v>
      </c>
      <c r="T22" s="714" t="s">
        <v>17</v>
      </c>
      <c r="U22" s="715">
        <f>H22</f>
        <v>100</v>
      </c>
      <c r="V22" s="714" t="s">
        <v>17</v>
      </c>
      <c r="W22" s="715">
        <f>J22</f>
        <v>100</v>
      </c>
      <c r="X22" s="1489"/>
      <c r="Y22" s="3509"/>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09"/>
      <c r="Q23" s="1486">
        <f>B23</f>
        <v>111</v>
      </c>
      <c r="R23" s="714" t="s">
        <v>17</v>
      </c>
      <c r="S23" s="715">
        <f>F23</f>
        <v>100</v>
      </c>
      <c r="T23" s="714" t="s">
        <v>17</v>
      </c>
      <c r="U23" s="715">
        <f>H23</f>
        <v>100</v>
      </c>
      <c r="V23" s="714" t="s">
        <v>17</v>
      </c>
      <c r="W23" s="715">
        <f>J23</f>
        <v>100</v>
      </c>
      <c r="X23" s="1489"/>
      <c r="Y23" s="3509"/>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09"/>
      <c r="Q24" s="1486">
        <f t="shared" ref="Q24:Q34" si="11">B24</f>
        <v>111</v>
      </c>
      <c r="R24" s="714" t="s">
        <v>17</v>
      </c>
      <c r="S24" s="715">
        <f>F24</f>
        <v>100</v>
      </c>
      <c r="T24" s="714" t="s">
        <v>17</v>
      </c>
      <c r="U24" s="715">
        <f>H24</f>
        <v>100</v>
      </c>
      <c r="V24" s="714" t="s">
        <v>17</v>
      </c>
      <c r="W24" s="715">
        <f>J24</f>
        <v>100</v>
      </c>
      <c r="X24" s="1489"/>
      <c r="Y24" s="3509"/>
      <c r="Z24" s="1490">
        <f>Q24</f>
        <v>111</v>
      </c>
      <c r="AA24" s="1487">
        <f t="shared" si="3"/>
        <v>1</v>
      </c>
      <c r="AB24" s="1487">
        <f t="shared" si="4"/>
        <v>1</v>
      </c>
      <c r="AC24" s="1487">
        <f t="shared" si="5"/>
        <v>1</v>
      </c>
    </row>
    <row r="25" spans="1:29" s="113" customFormat="1" ht="15.6"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509"/>
      <c r="Q25" s="1477">
        <f t="shared" si="11"/>
        <v>111</v>
      </c>
      <c r="R25" s="710" t="s">
        <v>17</v>
      </c>
      <c r="S25" s="711">
        <f>F25</f>
        <v>100</v>
      </c>
      <c r="T25" s="710" t="s">
        <v>17</v>
      </c>
      <c r="U25" s="711">
        <f>H25</f>
        <v>100</v>
      </c>
      <c r="V25" s="710" t="s">
        <v>17</v>
      </c>
      <c r="W25" s="711">
        <f>J25</f>
        <v>100</v>
      </c>
      <c r="X25" s="712"/>
      <c r="Y25" s="3509"/>
      <c r="Z25" s="55">
        <f>Q25</f>
        <v>111</v>
      </c>
      <c r="AA25" s="1487">
        <f>D25/F25</f>
        <v>1</v>
      </c>
      <c r="AB25" s="1487">
        <f>D25/H25</f>
        <v>1</v>
      </c>
      <c r="AC25" s="1487">
        <f>D25/J25</f>
        <v>1</v>
      </c>
    </row>
    <row r="26" spans="1:29" ht="30">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564"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13"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13"/>
      <c r="Q27" s="716" t="str">
        <f t="shared" si="11"/>
        <v>成新率</v>
      </c>
      <c r="R27" s="717" t="s">
        <v>17</v>
      </c>
      <c r="S27" s="718" t="e">
        <f t="shared" si="12"/>
        <v>#N/A</v>
      </c>
      <c r="T27" s="717" t="s">
        <v>17</v>
      </c>
      <c r="U27" s="718" t="e">
        <f t="shared" si="13"/>
        <v>#N/A</v>
      </c>
      <c r="V27" s="717" t="s">
        <v>17</v>
      </c>
      <c r="W27" s="718" t="e">
        <f t="shared" si="14"/>
        <v>#N/A</v>
      </c>
      <c r="X27" s="719"/>
      <c r="Y27" s="3513"/>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13"/>
      <c r="Q28" s="1486" t="str">
        <f t="shared" si="11"/>
        <v>物业等级</v>
      </c>
      <c r="R28" s="714" t="s">
        <v>17</v>
      </c>
      <c r="S28" s="715">
        <f t="shared" si="12"/>
        <v>100</v>
      </c>
      <c r="T28" s="714" t="s">
        <v>17</v>
      </c>
      <c r="U28" s="715">
        <f t="shared" si="13"/>
        <v>100</v>
      </c>
      <c r="V28" s="714" t="s">
        <v>17</v>
      </c>
      <c r="W28" s="715">
        <f t="shared" si="14"/>
        <v>100</v>
      </c>
      <c r="X28" s="1489"/>
      <c r="Y28" s="3513"/>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13"/>
      <c r="Q29" s="1486" t="str">
        <f t="shared" si="11"/>
        <v>有无电梯</v>
      </c>
      <c r="R29" s="714" t="s">
        <v>17</v>
      </c>
      <c r="S29" s="715">
        <f t="shared" si="12"/>
        <v>100</v>
      </c>
      <c r="T29" s="714" t="s">
        <v>17</v>
      </c>
      <c r="U29" s="715">
        <f t="shared" si="13"/>
        <v>100</v>
      </c>
      <c r="V29" s="714" t="s">
        <v>17</v>
      </c>
      <c r="W29" s="715">
        <f t="shared" si="14"/>
        <v>100</v>
      </c>
      <c r="X29" s="1489"/>
      <c r="Y29" s="3513"/>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13"/>
      <c r="Q30" s="1486" t="str">
        <f t="shared" si="11"/>
        <v>建筑面积</v>
      </c>
      <c r="R30" s="714" t="s">
        <v>17</v>
      </c>
      <c r="S30" s="715" t="e">
        <f t="shared" si="12"/>
        <v>#N/A</v>
      </c>
      <c r="T30" s="714" t="s">
        <v>17</v>
      </c>
      <c r="U30" s="715" t="e">
        <f t="shared" si="13"/>
        <v>#N/A</v>
      </c>
      <c r="V30" s="714" t="s">
        <v>17</v>
      </c>
      <c r="W30" s="715" t="e">
        <f t="shared" si="14"/>
        <v>#N/A</v>
      </c>
      <c r="X30" s="1489"/>
      <c r="Y30" s="3513"/>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13"/>
      <c r="Q31" s="1477" t="str">
        <f t="shared" si="11"/>
        <v>是否封闭</v>
      </c>
      <c r="R31" s="710" t="s">
        <v>17</v>
      </c>
      <c r="S31" s="711">
        <f t="shared" si="12"/>
        <v>100</v>
      </c>
      <c r="T31" s="710" t="s">
        <v>17</v>
      </c>
      <c r="U31" s="711">
        <f t="shared" si="13"/>
        <v>100</v>
      </c>
      <c r="V31" s="710" t="s">
        <v>17</v>
      </c>
      <c r="W31" s="711">
        <f t="shared" si="14"/>
        <v>100</v>
      </c>
      <c r="X31" s="712"/>
      <c r="Y31" s="3513"/>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13" t="s">
        <v>2143</v>
      </c>
      <c r="Q32" s="1486">
        <f t="shared" si="11"/>
        <v>111</v>
      </c>
      <c r="R32" s="714" t="s">
        <v>17</v>
      </c>
      <c r="S32" s="715">
        <f t="shared" si="12"/>
        <v>100</v>
      </c>
      <c r="T32" s="714" t="s">
        <v>17</v>
      </c>
      <c r="U32" s="715">
        <f t="shared" si="13"/>
        <v>100</v>
      </c>
      <c r="V32" s="714" t="s">
        <v>17</v>
      </c>
      <c r="W32" s="715">
        <f t="shared" si="14"/>
        <v>100</v>
      </c>
      <c r="X32" s="1489"/>
      <c r="Y32" s="3513"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13"/>
      <c r="Q33" s="1486">
        <f t="shared" si="11"/>
        <v>111</v>
      </c>
      <c r="R33" s="714" t="s">
        <v>17</v>
      </c>
      <c r="S33" s="715">
        <f t="shared" si="12"/>
        <v>100</v>
      </c>
      <c r="T33" s="714" t="s">
        <v>17</v>
      </c>
      <c r="U33" s="715">
        <f t="shared" si="13"/>
        <v>100</v>
      </c>
      <c r="V33" s="714" t="s">
        <v>17</v>
      </c>
      <c r="W33" s="715">
        <f t="shared" si="14"/>
        <v>100</v>
      </c>
      <c r="X33" s="1489"/>
      <c r="Y33" s="3513"/>
      <c r="Z33" s="1490">
        <f t="shared" si="15"/>
        <v>111</v>
      </c>
      <c r="AA33" s="1487">
        <f t="shared" si="3"/>
        <v>1</v>
      </c>
      <c r="AB33" s="1487">
        <f t="shared" si="4"/>
        <v>1</v>
      </c>
      <c r="AC33" s="1487">
        <f t="shared" si="5"/>
        <v>1</v>
      </c>
    </row>
    <row r="34" spans="1:30" ht="15.6"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513"/>
      <c r="Q34" s="1486">
        <f t="shared" si="11"/>
        <v>111</v>
      </c>
      <c r="R34" s="714" t="s">
        <v>17</v>
      </c>
      <c r="S34" s="715">
        <f t="shared" si="12"/>
        <v>100</v>
      </c>
      <c r="T34" s="714" t="s">
        <v>17</v>
      </c>
      <c r="U34" s="715">
        <f t="shared" si="13"/>
        <v>100</v>
      </c>
      <c r="V34" s="714" t="s">
        <v>17</v>
      </c>
      <c r="W34" s="715">
        <f t="shared" si="14"/>
        <v>100</v>
      </c>
      <c r="X34" s="1489"/>
      <c r="Y34" s="3513"/>
      <c r="Z34" s="1490">
        <f t="shared" si="15"/>
        <v>111</v>
      </c>
      <c r="AA34" s="1487">
        <f t="shared" si="3"/>
        <v>1</v>
      </c>
      <c r="AB34" s="1487">
        <f t="shared" si="4"/>
        <v>1</v>
      </c>
      <c r="AC34" s="1487">
        <f t="shared" si="5"/>
        <v>1</v>
      </c>
    </row>
    <row r="35" spans="1:30" ht="14.4">
      <c r="A35" s="438" t="s">
        <v>2155</v>
      </c>
      <c r="B35" s="439"/>
      <c r="C35" s="1269" t="s">
        <v>1</v>
      </c>
      <c r="D35" s="1270"/>
      <c r="E35" s="1271"/>
      <c r="F35" s="1272"/>
      <c r="G35" s="1273"/>
      <c r="H35" s="1274"/>
      <c r="I35" s="1271"/>
      <c r="J35" s="1274"/>
      <c r="K35" s="723"/>
      <c r="L35" s="2901"/>
      <c r="M35" s="2902"/>
      <c r="N35" s="2893"/>
      <c r="O35" s="2902"/>
      <c r="P35" s="3506" t="str">
        <f>A35</f>
        <v>成交单价（元/平方米）</v>
      </c>
      <c r="Q35" s="3506"/>
      <c r="R35" s="3507">
        <f>E35</f>
        <v>0</v>
      </c>
      <c r="S35" s="3507"/>
      <c r="T35" s="3507">
        <f>G35</f>
        <v>0</v>
      </c>
      <c r="U35" s="3507"/>
      <c r="V35" s="3507">
        <f>I35</f>
        <v>0</v>
      </c>
      <c r="W35" s="3507"/>
      <c r="X35" s="699"/>
      <c r="Y35" s="721"/>
      <c r="Z35" s="699"/>
      <c r="AA35" s="699"/>
      <c r="AB35" s="699"/>
      <c r="AC35" s="699"/>
    </row>
    <row r="36" spans="1:30" ht="15" thickBot="1">
      <c r="A36" s="445" t="s">
        <v>2247</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506" t="str">
        <f>A36</f>
        <v>比较价值（元/平方米）</v>
      </c>
      <c r="Q36" s="3506"/>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699"/>
      <c r="Y36" s="699"/>
      <c r="Z36" s="699"/>
      <c r="AA36" s="699"/>
      <c r="AB36" s="699"/>
      <c r="AC36" s="699"/>
    </row>
    <row r="37" spans="1:30" ht="15" thickBot="1">
      <c r="A37" s="449" t="s">
        <v>2248</v>
      </c>
      <c r="B37" s="450"/>
      <c r="C37" s="1278" t="e">
        <f>R37</f>
        <v>#DIV/0!</v>
      </c>
      <c r="D37" s="1278"/>
      <c r="E37" s="1278"/>
      <c r="F37" s="1278"/>
      <c r="G37" s="1278"/>
      <c r="H37" s="1278"/>
      <c r="I37" s="1278"/>
      <c r="J37" s="1278"/>
      <c r="K37" s="724"/>
      <c r="L37" s="2901"/>
      <c r="M37" s="2902"/>
      <c r="N37" s="2902"/>
      <c r="O37" s="2902"/>
      <c r="P37" s="3503" t="str">
        <f>A37</f>
        <v>估价对象XX用房的比较价值（楼面单价，元/平方米）</v>
      </c>
      <c r="Q37" s="3504"/>
      <c r="R37" s="3565" t="e">
        <f>IF(F1="售价",ROUND(IF(D36="简单平均",AVERAGE(R36:W36),R36*F36+T36*H36+V36*J36),0),ROUND(IF(D36="简单平均",AVERAGE(R36:V36),R36*F36+T36*H36+V36*J36),1))</f>
        <v>#DIV/0!</v>
      </c>
      <c r="S37" s="3565"/>
      <c r="T37" s="3565"/>
      <c r="U37" s="3565"/>
      <c r="V37" s="3565"/>
      <c r="W37" s="3565"/>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2.2" thickBot="1">
      <c r="A45" s="703" t="s">
        <v>2252</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4.4">
      <c r="A46" s="462" t="s">
        <v>2126</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3"/>
      <c r="Q46" s="2918"/>
      <c r="R46" s="2918"/>
      <c r="S46" s="2918"/>
      <c r="T46" s="2918"/>
      <c r="U46" s="2918"/>
      <c r="V46" s="2918"/>
      <c r="W46" s="2918"/>
      <c r="X46" s="2918"/>
      <c r="Y46" s="2918"/>
      <c r="Z46" s="2918"/>
      <c r="AA46" s="2918"/>
      <c r="AB46" s="2918"/>
      <c r="AC46" s="2918"/>
      <c r="AD46" s="2918"/>
    </row>
    <row r="47" spans="1:30" s="113" customFormat="1">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 thickBot="1">
      <c r="A48" s="472" t="s">
        <v>2163</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4.4">
      <c r="A49" s="478" t="s">
        <v>2128</v>
      </c>
      <c r="B49" s="467"/>
      <c r="C49" s="479" t="s">
        <v>2230</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4.4"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ht="14.4">
      <c r="A51" s="484" t="s">
        <v>2166</v>
      </c>
      <c r="B51" s="485" t="s">
        <v>2132</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4.4"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9.4" thickTop="1">
      <c r="A53" s="491"/>
      <c r="B53" s="495" t="s">
        <v>2135</v>
      </c>
      <c r="C53" s="496" t="s">
        <v>2167</v>
      </c>
      <c r="D53" s="496" t="s">
        <v>2168</v>
      </c>
      <c r="E53" s="496" t="s">
        <v>2169</v>
      </c>
      <c r="F53" s="496" t="s">
        <v>2170</v>
      </c>
      <c r="G53" s="496" t="s">
        <v>2171</v>
      </c>
      <c r="H53" s="496" t="s">
        <v>2172</v>
      </c>
      <c r="I53" s="496" t="s">
        <v>2173</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4.4"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4.4"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4.4"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4.4"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4.4"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4.4"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9.4" thickTop="1">
      <c r="A63" s="491"/>
      <c r="B63" s="495" t="s">
        <v>2318</v>
      </c>
      <c r="C63" s="535" t="s">
        <v>2175</v>
      </c>
      <c r="D63" s="535" t="s">
        <v>2176</v>
      </c>
      <c r="E63" s="535" t="s">
        <v>2177</v>
      </c>
      <c r="F63" s="535" t="s">
        <v>2178</v>
      </c>
      <c r="G63" s="535" t="s">
        <v>2179</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 thickTop="1">
      <c r="A65" s="491"/>
      <c r="B65" s="503" t="s">
        <v>2267</v>
      </c>
      <c r="C65" s="616" t="s">
        <v>2253</v>
      </c>
      <c r="D65" s="616" t="s">
        <v>2254</v>
      </c>
      <c r="E65" s="616" t="s">
        <v>2255</v>
      </c>
      <c r="F65" s="616" t="s">
        <v>2256</v>
      </c>
      <c r="G65" s="616" t="s">
        <v>2257</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 thickTop="1">
      <c r="A67" s="491"/>
      <c r="B67" s="495" t="s">
        <v>2187</v>
      </c>
      <c r="C67" s="535" t="s">
        <v>2175</v>
      </c>
      <c r="D67" s="535" t="s">
        <v>2176</v>
      </c>
      <c r="E67" s="535" t="s">
        <v>2177</v>
      </c>
      <c r="F67" s="535" t="s">
        <v>2178</v>
      </c>
      <c r="G67" s="535" t="s">
        <v>2179</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 thickTop="1">
      <c r="A69" s="491"/>
      <c r="B69" s="495" t="s">
        <v>2307</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4.4"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4.4"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4.4"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4.4"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4.4"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4.4"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4.4"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2141</v>
      </c>
      <c r="B77" s="485" t="s">
        <v>2194</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2311</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2319</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4.4"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2321</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4.4"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4.4"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4.4"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4.4"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4.4"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4.4"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4.4"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4.4"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H14"/>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4.4">
      <c r="A4" s="361" t="s">
        <v>2223</v>
      </c>
      <c r="B4" s="362"/>
      <c r="C4" s="3521" t="s">
        <v>2224</v>
      </c>
      <c r="D4" s="3522"/>
      <c r="E4" s="3523" t="s">
        <v>2225</v>
      </c>
      <c r="F4" s="3524"/>
      <c r="G4" s="3521" t="s">
        <v>2226</v>
      </c>
      <c r="H4" s="3522"/>
      <c r="I4" s="3521" t="s">
        <v>2227</v>
      </c>
      <c r="J4" s="3522"/>
      <c r="K4" s="567" t="s">
        <v>2228</v>
      </c>
      <c r="L4" s="2892"/>
      <c r="M4" s="2893"/>
      <c r="N4" s="2893"/>
      <c r="O4" s="2893"/>
      <c r="P4" s="3525" t="s">
        <v>2229</v>
      </c>
      <c r="Q4" s="3526"/>
      <c r="R4" s="3531" t="s">
        <v>2225</v>
      </c>
      <c r="S4" s="3532"/>
      <c r="T4" s="3531" t="s">
        <v>2226</v>
      </c>
      <c r="U4" s="3532"/>
      <c r="V4" s="3537" t="s">
        <v>2227</v>
      </c>
      <c r="W4" s="3537"/>
      <c r="X4" s="1489"/>
      <c r="Y4" s="3531" t="s">
        <v>2229</v>
      </c>
      <c r="Z4" s="3532"/>
      <c r="AA4" s="3518" t="s">
        <v>2225</v>
      </c>
      <c r="AB4" s="3519" t="s">
        <v>2226</v>
      </c>
      <c r="AC4" s="3518" t="s">
        <v>2227</v>
      </c>
    </row>
    <row r="5" spans="1:30">
      <c r="A5" s="364"/>
      <c r="B5" s="365"/>
      <c r="C5" s="3540" t="s">
        <v>2120</v>
      </c>
      <c r="D5" s="3541"/>
      <c r="E5" s="3547" t="s">
        <v>2121</v>
      </c>
      <c r="F5" s="3548"/>
      <c r="G5" s="3540" t="s">
        <v>2122</v>
      </c>
      <c r="H5" s="3541"/>
      <c r="I5" s="3540" t="s">
        <v>2123</v>
      </c>
      <c r="J5" s="3541"/>
      <c r="K5" s="567"/>
      <c r="L5" s="2892"/>
      <c r="M5" s="2893"/>
      <c r="N5" s="2893"/>
      <c r="O5" s="2893"/>
      <c r="P5" s="3527"/>
      <c r="Q5" s="3528"/>
      <c r="R5" s="3533"/>
      <c r="S5" s="3534"/>
      <c r="T5" s="3533"/>
      <c r="U5" s="3534"/>
      <c r="V5" s="3537"/>
      <c r="W5" s="3537"/>
      <c r="X5" s="1489"/>
      <c r="Y5" s="3533"/>
      <c r="Z5" s="3534"/>
      <c r="AA5" s="3519"/>
      <c r="AB5" s="3519"/>
      <c r="AC5" s="3519"/>
    </row>
    <row r="6" spans="1:30" ht="15" thickBot="1">
      <c r="A6" s="366"/>
      <c r="B6" s="367"/>
      <c r="C6" s="3538" t="s">
        <v>2124</v>
      </c>
      <c r="D6" s="3539"/>
      <c r="E6" s="3545" t="s">
        <v>2124</v>
      </c>
      <c r="F6" s="3546"/>
      <c r="G6" s="3538" t="s">
        <v>2124</v>
      </c>
      <c r="H6" s="3539"/>
      <c r="I6" s="3538" t="s">
        <v>2124</v>
      </c>
      <c r="J6" s="3539"/>
      <c r="K6" s="567" t="s">
        <v>2125</v>
      </c>
      <c r="L6" s="2892"/>
      <c r="M6" s="2893"/>
      <c r="N6" s="2893"/>
      <c r="O6" s="2893"/>
      <c r="P6" s="3529"/>
      <c r="Q6" s="3530"/>
      <c r="R6" s="3533"/>
      <c r="S6" s="3534"/>
      <c r="T6" s="3535"/>
      <c r="U6" s="3536"/>
      <c r="V6" s="3537"/>
      <c r="W6" s="3537"/>
      <c r="X6" s="1489"/>
      <c r="Y6" s="3535"/>
      <c r="Z6" s="3536"/>
      <c r="AA6" s="3520"/>
      <c r="AB6" s="3520"/>
      <c r="AC6" s="3520"/>
    </row>
    <row r="7" spans="1:30" s="113" customFormat="1" ht="15" thickBot="1">
      <c r="A7" s="368" t="s">
        <v>2126</v>
      </c>
      <c r="B7" s="369"/>
      <c r="C7" s="370">
        <f>'数据-取费表'!B2</f>
        <v>44769</v>
      </c>
      <c r="D7" s="371">
        <v>100</v>
      </c>
      <c r="E7" s="372"/>
      <c r="F7" s="373">
        <f>SUMIF(69:69,YEAR(E7)&amp;"-"&amp;INT((MONTH(E7)+2)/3),70:70)</f>
        <v>0</v>
      </c>
      <c r="G7" s="2109"/>
      <c r="H7" s="371">
        <f>SUMIF(69:69,YEAR(G7)&amp;"-"&amp;INT((MONTH(G7)+2)/3),70:70)</f>
        <v>0</v>
      </c>
      <c r="I7" s="2109"/>
      <c r="J7" s="371">
        <f>SUMIF(69:69,YEAR(I7)&amp;"-"&amp;INT((MONTH(I7)+2)/3),70:70)</f>
        <v>0</v>
      </c>
      <c r="K7" s="568"/>
      <c r="L7" s="2894"/>
      <c r="M7" s="2895"/>
      <c r="N7" s="2895"/>
      <c r="O7" s="2895"/>
      <c r="P7" s="3542" t="s">
        <v>2127</v>
      </c>
      <c r="Q7" s="3544"/>
      <c r="R7" s="710" t="s">
        <v>17</v>
      </c>
      <c r="S7" s="711">
        <f t="shared" ref="S7:S15" si="0">F7</f>
        <v>0</v>
      </c>
      <c r="T7" s="710" t="s">
        <v>17</v>
      </c>
      <c r="U7" s="711">
        <f t="shared" ref="U7:U15" si="1">H7</f>
        <v>0</v>
      </c>
      <c r="V7" s="710" t="s">
        <v>17</v>
      </c>
      <c r="W7" s="711">
        <f t="shared" ref="W7:W15" si="2">J7</f>
        <v>0</v>
      </c>
      <c r="X7" s="712"/>
      <c r="Y7" s="3542" t="s">
        <v>2127</v>
      </c>
      <c r="Z7" s="3543"/>
      <c r="AA7" s="713" t="e">
        <f>D7/F7</f>
        <v>#DIV/0!</v>
      </c>
      <c r="AB7" s="713" t="e">
        <f>D7/H7</f>
        <v>#DIV/0!</v>
      </c>
      <c r="AC7" s="713" t="e">
        <f>D7/J7</f>
        <v>#DIV/0!</v>
      </c>
    </row>
    <row r="8" spans="1:30" s="113" customFormat="1" ht="1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42" t="s">
        <v>2130</v>
      </c>
      <c r="Q8" s="3543"/>
      <c r="R8" s="710" t="s">
        <v>17</v>
      </c>
      <c r="S8" s="711">
        <f t="shared" si="0"/>
        <v>0</v>
      </c>
      <c r="T8" s="710" t="s">
        <v>17</v>
      </c>
      <c r="U8" s="711">
        <f t="shared" si="1"/>
        <v>0</v>
      </c>
      <c r="V8" s="710" t="s">
        <v>17</v>
      </c>
      <c r="W8" s="711">
        <f t="shared" si="2"/>
        <v>0</v>
      </c>
      <c r="X8" s="712"/>
      <c r="Y8" s="3542" t="s">
        <v>2130</v>
      </c>
      <c r="Z8" s="3543"/>
      <c r="AA8" s="713" t="e">
        <f t="shared" ref="AA8:AA45" si="3">D8/F8</f>
        <v>#DIV/0!</v>
      </c>
      <c r="AB8" s="713" t="e">
        <f t="shared" ref="AB8:AB45" si="4">D8/H8</f>
        <v>#DIV/0!</v>
      </c>
      <c r="AC8" s="713" t="e">
        <f t="shared" ref="AC8:AC45" si="5">D8/J8</f>
        <v>#DIV/0!</v>
      </c>
    </row>
    <row r="9" spans="1:30" s="113" customFormat="1" ht="14.4">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506" t="s">
        <v>2133</v>
      </c>
      <c r="Q9" s="1477" t="str">
        <f t="shared" ref="Q9:Q15" si="6">B9</f>
        <v>用途</v>
      </c>
      <c r="R9" s="710" t="s">
        <v>17</v>
      </c>
      <c r="S9" s="711">
        <f t="shared" si="0"/>
        <v>100</v>
      </c>
      <c r="T9" s="710" t="s">
        <v>17</v>
      </c>
      <c r="U9" s="711">
        <f t="shared" si="1"/>
        <v>100</v>
      </c>
      <c r="V9" s="710" t="s">
        <v>17</v>
      </c>
      <c r="W9" s="711">
        <f t="shared" si="2"/>
        <v>100</v>
      </c>
      <c r="X9" s="712"/>
      <c r="Y9" s="3378" t="s">
        <v>2134</v>
      </c>
      <c r="Z9" s="55" t="str">
        <f t="shared" ref="Z9:Z15" si="7">Q9</f>
        <v>用途</v>
      </c>
      <c r="AA9" s="713">
        <f t="shared" si="3"/>
        <v>1</v>
      </c>
      <c r="AB9" s="713">
        <f t="shared" si="4"/>
        <v>1</v>
      </c>
      <c r="AC9" s="713">
        <f t="shared" si="5"/>
        <v>1</v>
      </c>
    </row>
    <row r="10" spans="1:30" s="386" customFormat="1" ht="28.8">
      <c r="A10" s="380"/>
      <c r="B10" s="381" t="s">
        <v>2135</v>
      </c>
      <c r="C10" s="391"/>
      <c r="D10" s="132">
        <v>100</v>
      </c>
      <c r="E10" s="424"/>
      <c r="F10" s="132">
        <f>ROUND(100/'数据-取费表'!G16,0)</f>
        <v>106</v>
      </c>
      <c r="G10" s="422"/>
      <c r="H10" s="132">
        <f>ROUND(100/'数据-取费表'!G16,0)</f>
        <v>106</v>
      </c>
      <c r="I10" s="422"/>
      <c r="J10" s="132">
        <f>ROUND(100/'数据-取费表'!G16,0)</f>
        <v>106</v>
      </c>
      <c r="K10" s="628"/>
      <c r="L10" s="2896"/>
      <c r="M10" s="2897"/>
      <c r="N10" s="2897"/>
      <c r="O10" s="2950"/>
      <c r="P10" s="3506"/>
      <c r="Q10" s="1477" t="str">
        <f t="shared" si="6"/>
        <v>土地使用年限（年）</v>
      </c>
      <c r="R10" s="710" t="s">
        <v>17</v>
      </c>
      <c r="S10" s="711">
        <f t="shared" si="0"/>
        <v>106</v>
      </c>
      <c r="T10" s="710" t="s">
        <v>17</v>
      </c>
      <c r="U10" s="711">
        <f t="shared" si="1"/>
        <v>106</v>
      </c>
      <c r="V10" s="710" t="s">
        <v>17</v>
      </c>
      <c r="W10" s="711">
        <f t="shared" si="2"/>
        <v>106</v>
      </c>
      <c r="X10" s="712"/>
      <c r="Y10" s="3378"/>
      <c r="Z10" s="55" t="str">
        <f t="shared" si="7"/>
        <v>土地使用年限（年）</v>
      </c>
      <c r="AA10" s="713">
        <f t="shared" si="3"/>
        <v>0.94339622641509435</v>
      </c>
      <c r="AB10" s="713">
        <f t="shared" si="4"/>
        <v>0.94339622641509435</v>
      </c>
      <c r="AC10" s="713">
        <f t="shared" si="5"/>
        <v>0.94339622641509435</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06"/>
      <c r="Q11" s="147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06"/>
      <c r="Q12" s="147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06"/>
      <c r="Q13" s="147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6"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06"/>
      <c r="Q14" s="147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6.6">
      <c r="A15" s="399" t="s">
        <v>2137</v>
      </c>
      <c r="B15" s="65" t="s">
        <v>1700</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08" t="s">
        <v>2138</v>
      </c>
      <c r="Q15" s="1486" t="str">
        <f t="shared" si="6"/>
        <v>居住社区成熟度</v>
      </c>
      <c r="R15" s="714" t="s">
        <v>17</v>
      </c>
      <c r="S15" s="715">
        <f t="shared" si="0"/>
        <v>100</v>
      </c>
      <c r="T15" s="714" t="s">
        <v>17</v>
      </c>
      <c r="U15" s="715">
        <f t="shared" si="1"/>
        <v>100</v>
      </c>
      <c r="V15" s="714" t="s">
        <v>17</v>
      </c>
      <c r="W15" s="715">
        <f t="shared" si="2"/>
        <v>100</v>
      </c>
      <c r="X15" s="1489"/>
      <c r="Y15" s="3508"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9"/>
      <c r="M16" s="2893"/>
      <c r="N16" s="2893"/>
      <c r="O16" s="2951"/>
      <c r="P16" s="3509"/>
      <c r="Q16" s="1486"/>
      <c r="R16" s="714"/>
      <c r="S16" s="715"/>
      <c r="T16" s="714"/>
      <c r="U16" s="715"/>
      <c r="V16" s="714"/>
      <c r="W16" s="715"/>
      <c r="X16" s="1489"/>
      <c r="Y16" s="3509"/>
      <c r="Z16" s="1490"/>
      <c r="AA16" s="1487">
        <v>1</v>
      </c>
      <c r="AB16" s="1487">
        <v>1</v>
      </c>
      <c r="AC16" s="1487">
        <v>1</v>
      </c>
    </row>
    <row r="17" spans="1:29" ht="82.8">
      <c r="A17" s="387"/>
      <c r="B17" s="410" t="s">
        <v>2231</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09"/>
      <c r="Q17" s="1486" t="str">
        <f>B17</f>
        <v>商业繁华度</v>
      </c>
      <c r="R17" s="714" t="s">
        <v>17</v>
      </c>
      <c r="S17" s="715">
        <f>F17</f>
        <v>100</v>
      </c>
      <c r="T17" s="714" t="s">
        <v>17</v>
      </c>
      <c r="U17" s="715">
        <f>H17</f>
        <v>100</v>
      </c>
      <c r="V17" s="714" t="s">
        <v>17</v>
      </c>
      <c r="W17" s="715">
        <f>J17</f>
        <v>100</v>
      </c>
      <c r="X17" s="1489"/>
      <c r="Y17" s="3509"/>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9"/>
      <c r="M18" s="2893"/>
      <c r="N18" s="2893"/>
      <c r="O18" s="2951"/>
      <c r="P18" s="3509"/>
      <c r="Q18" s="1486"/>
      <c r="R18" s="714"/>
      <c r="S18" s="715"/>
      <c r="T18" s="714"/>
      <c r="U18" s="715"/>
      <c r="V18" s="714"/>
      <c r="W18" s="715"/>
      <c r="X18" s="1489"/>
      <c r="Y18" s="3509"/>
      <c r="Z18" s="1490"/>
      <c r="AA18" s="1487">
        <v>1</v>
      </c>
      <c r="AB18" s="1487">
        <v>1</v>
      </c>
      <c r="AC18" s="1487">
        <v>1</v>
      </c>
    </row>
    <row r="19" spans="1:29" ht="82.8">
      <c r="A19" s="387"/>
      <c r="B19" s="410" t="s">
        <v>2265</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09"/>
      <c r="Q19" s="1486" t="str">
        <f>B19</f>
        <v>办公集聚程度</v>
      </c>
      <c r="R19" s="714" t="s">
        <v>17</v>
      </c>
      <c r="S19" s="715">
        <f>F19</f>
        <v>100</v>
      </c>
      <c r="T19" s="714" t="s">
        <v>17</v>
      </c>
      <c r="U19" s="715">
        <f>H19</f>
        <v>100</v>
      </c>
      <c r="V19" s="714" t="s">
        <v>17</v>
      </c>
      <c r="W19" s="715">
        <f>J19</f>
        <v>100</v>
      </c>
      <c r="X19" s="1489"/>
      <c r="Y19" s="3509"/>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9"/>
      <c r="M20" s="2893"/>
      <c r="N20" s="2893"/>
      <c r="O20" s="2951"/>
      <c r="P20" s="3509"/>
      <c r="Q20" s="1486"/>
      <c r="R20" s="714"/>
      <c r="S20" s="715"/>
      <c r="T20" s="714"/>
      <c r="U20" s="715"/>
      <c r="V20" s="714"/>
      <c r="W20" s="715"/>
      <c r="X20" s="1489"/>
      <c r="Y20" s="3509"/>
      <c r="Z20" s="1490"/>
      <c r="AA20" s="1487">
        <v>1</v>
      </c>
      <c r="AB20" s="1487">
        <v>1</v>
      </c>
      <c r="AC20" s="1487">
        <v>1</v>
      </c>
    </row>
    <row r="21" spans="1:29" ht="96.6">
      <c r="A21" s="387"/>
      <c r="B21" s="410" t="s">
        <v>2287</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09"/>
      <c r="Q21" s="1486" t="str">
        <f>B21</f>
        <v>交通便捷度</v>
      </c>
      <c r="R21" s="714" t="s">
        <v>17</v>
      </c>
      <c r="S21" s="715">
        <f>F21</f>
        <v>100</v>
      </c>
      <c r="T21" s="714" t="s">
        <v>17</v>
      </c>
      <c r="U21" s="715">
        <f>H21</f>
        <v>100</v>
      </c>
      <c r="V21" s="714" t="s">
        <v>17</v>
      </c>
      <c r="W21" s="715">
        <f>J21</f>
        <v>100</v>
      </c>
      <c r="X21" s="1489"/>
      <c r="Y21" s="3509"/>
      <c r="Z21" s="1490" t="str">
        <f>Q21</f>
        <v>交通便捷度</v>
      </c>
      <c r="AA21" s="1487">
        <f t="shared" si="3"/>
        <v>1</v>
      </c>
      <c r="AB21" s="1487">
        <f t="shared" si="4"/>
        <v>1</v>
      </c>
      <c r="AC21" s="1487">
        <f t="shared" si="5"/>
        <v>1</v>
      </c>
    </row>
    <row r="22" spans="1:29" ht="15">
      <c r="A22" s="387"/>
      <c r="B22" s="1246"/>
      <c r="C22" s="406"/>
      <c r="D22" s="409"/>
      <c r="E22" s="2033"/>
      <c r="F22" s="407"/>
      <c r="G22" s="2033"/>
      <c r="H22" s="407"/>
      <c r="I22" s="2032"/>
      <c r="J22" s="407"/>
      <c r="K22" s="628"/>
      <c r="L22" s="2899"/>
      <c r="M22" s="2893"/>
      <c r="N22" s="2893"/>
      <c r="O22" s="2951"/>
      <c r="P22" s="3509"/>
      <c r="Q22" s="1486"/>
      <c r="R22" s="714"/>
      <c r="S22" s="715"/>
      <c r="T22" s="714"/>
      <c r="U22" s="715"/>
      <c r="V22" s="714"/>
      <c r="W22" s="715"/>
      <c r="X22" s="1489"/>
      <c r="Y22" s="3509"/>
      <c r="Z22" s="1490"/>
      <c r="AA22" s="1487">
        <v>1</v>
      </c>
      <c r="AB22" s="1487">
        <v>1</v>
      </c>
      <c r="AC22" s="1487">
        <v>1</v>
      </c>
    </row>
    <row r="23" spans="1:29" ht="28.8">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09"/>
      <c r="Q23" s="1486" t="str">
        <f t="shared" ref="Q23:Q37" si="8">B23</f>
        <v>区域土地利用方向</v>
      </c>
      <c r="R23" s="714" t="s">
        <v>17</v>
      </c>
      <c r="S23" s="715">
        <f>F23</f>
        <v>100</v>
      </c>
      <c r="T23" s="714" t="s">
        <v>17</v>
      </c>
      <c r="U23" s="715">
        <f>H23</f>
        <v>100</v>
      </c>
      <c r="V23" s="714" t="s">
        <v>17</v>
      </c>
      <c r="W23" s="715">
        <f>J23</f>
        <v>100</v>
      </c>
      <c r="X23" s="1489"/>
      <c r="Y23" s="3509"/>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509"/>
      <c r="Q24" s="1486"/>
      <c r="R24" s="714"/>
      <c r="S24" s="715"/>
      <c r="T24" s="714"/>
      <c r="U24" s="715"/>
      <c r="V24" s="714"/>
      <c r="W24" s="715"/>
      <c r="X24" s="1489"/>
      <c r="Y24" s="3509"/>
      <c r="Z24" s="1490"/>
      <c r="AA24" s="1487"/>
      <c r="AB24" s="1487"/>
      <c r="AC24" s="1487"/>
    </row>
    <row r="25" spans="1:29" ht="55.2">
      <c r="A25" s="364"/>
      <c r="B25" s="1246" t="s">
        <v>2327</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09"/>
      <c r="Q25" s="1486" t="str">
        <f t="shared" si="8"/>
        <v>自然及人文环境状况</v>
      </c>
      <c r="R25" s="714" t="s">
        <v>17</v>
      </c>
      <c r="S25" s="715">
        <f>F25</f>
        <v>100</v>
      </c>
      <c r="T25" s="714" t="s">
        <v>17</v>
      </c>
      <c r="U25" s="715">
        <f>H25</f>
        <v>100</v>
      </c>
      <c r="V25" s="714" t="s">
        <v>17</v>
      </c>
      <c r="W25" s="715">
        <f>J25</f>
        <v>100</v>
      </c>
      <c r="X25" s="1489"/>
      <c r="Y25" s="3509"/>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9"/>
      <c r="M26" s="2893"/>
      <c r="N26" s="2893"/>
      <c r="O26" s="2951"/>
      <c r="P26" s="3509"/>
      <c r="Q26" s="1486"/>
      <c r="R26" s="714"/>
      <c r="S26" s="715"/>
      <c r="T26" s="714"/>
      <c r="U26" s="715"/>
      <c r="V26" s="714"/>
      <c r="W26" s="715"/>
      <c r="X26" s="1489"/>
      <c r="Y26" s="3509"/>
      <c r="Z26" s="1490"/>
      <c r="AA26" s="1487">
        <v>1</v>
      </c>
      <c r="AB26" s="1487">
        <v>1</v>
      </c>
      <c r="AC26" s="1487">
        <v>1</v>
      </c>
    </row>
    <row r="27" spans="1:29" s="113" customFormat="1" ht="41.4">
      <c r="A27" s="605"/>
      <c r="B27" s="1246" t="s">
        <v>2232</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09"/>
      <c r="Q27" s="1477" t="str">
        <f t="shared" si="8"/>
        <v>公共配套设施</v>
      </c>
      <c r="R27" s="710" t="s">
        <v>17</v>
      </c>
      <c r="S27" s="711">
        <f>F27</f>
        <v>100</v>
      </c>
      <c r="T27" s="710" t="s">
        <v>17</v>
      </c>
      <c r="U27" s="711">
        <f>H27</f>
        <v>100</v>
      </c>
      <c r="V27" s="710" t="s">
        <v>17</v>
      </c>
      <c r="W27" s="711">
        <f>J27</f>
        <v>100</v>
      </c>
      <c r="X27" s="712"/>
      <c r="Y27" s="3509"/>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4"/>
      <c r="M28" s="2895"/>
      <c r="N28" s="2895"/>
      <c r="O28" s="2949"/>
      <c r="P28" s="3509"/>
      <c r="Q28" s="1477"/>
      <c r="R28" s="710"/>
      <c r="S28" s="711"/>
      <c r="T28" s="710"/>
      <c r="U28" s="711"/>
      <c r="V28" s="710"/>
      <c r="W28" s="711"/>
      <c r="X28" s="712"/>
      <c r="Y28" s="3509"/>
      <c r="Z28" s="55"/>
      <c r="AA28" s="1487">
        <v>1</v>
      </c>
      <c r="AB28" s="1487">
        <v>1</v>
      </c>
      <c r="AC28" s="1487">
        <v>1</v>
      </c>
    </row>
    <row r="29" spans="1:29" s="113" customFormat="1" ht="41.4">
      <c r="A29" s="605"/>
      <c r="B29" s="1246" t="s">
        <v>2233</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09"/>
      <c r="Q29" s="1477" t="str">
        <f t="shared" ref="Q29" si="9">B29</f>
        <v>基础设施水平</v>
      </c>
      <c r="R29" s="710" t="s">
        <v>17</v>
      </c>
      <c r="S29" s="711">
        <f>F29</f>
        <v>100</v>
      </c>
      <c r="T29" s="710" t="s">
        <v>17</v>
      </c>
      <c r="U29" s="711">
        <f>H29</f>
        <v>100</v>
      </c>
      <c r="V29" s="710" t="s">
        <v>17</v>
      </c>
      <c r="W29" s="711">
        <f>J29</f>
        <v>100</v>
      </c>
      <c r="X29" s="712"/>
      <c r="Y29" s="3509"/>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4"/>
      <c r="M30" s="2895"/>
      <c r="N30" s="2895"/>
      <c r="O30" s="2949"/>
      <c r="P30" s="3509"/>
      <c r="Q30" s="1477"/>
      <c r="R30" s="710"/>
      <c r="S30" s="711"/>
      <c r="T30" s="710"/>
      <c r="U30" s="711"/>
      <c r="V30" s="710"/>
      <c r="W30" s="711"/>
      <c r="X30" s="712"/>
      <c r="Y30" s="3509"/>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09"/>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09"/>
      <c r="Z31" s="1490" t="str">
        <f t="shared" ref="Z31:Z45" si="13">Q31</f>
        <v>临街状况</v>
      </c>
      <c r="AA31" s="1487">
        <f t="shared" si="3"/>
        <v>1</v>
      </c>
      <c r="AB31" s="1487">
        <f t="shared" si="4"/>
        <v>1</v>
      </c>
      <c r="AC31" s="1487">
        <f t="shared" si="5"/>
        <v>1</v>
      </c>
    </row>
    <row r="32" spans="1:29" ht="28.8">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09"/>
      <c r="Q32" s="1486" t="str">
        <f t="shared" si="8"/>
        <v>毗邻道路的类型与等级</v>
      </c>
      <c r="R32" s="714" t="s">
        <v>17</v>
      </c>
      <c r="S32" s="715">
        <f t="shared" si="10"/>
        <v>100</v>
      </c>
      <c r="T32" s="714" t="s">
        <v>17</v>
      </c>
      <c r="U32" s="715">
        <f t="shared" si="11"/>
        <v>100</v>
      </c>
      <c r="V32" s="714" t="s">
        <v>17</v>
      </c>
      <c r="W32" s="715">
        <f t="shared" si="12"/>
        <v>100</v>
      </c>
      <c r="X32" s="1489"/>
      <c r="Y32" s="3509"/>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509"/>
      <c r="Q33" s="1486"/>
      <c r="R33" s="714"/>
      <c r="S33" s="715"/>
      <c r="T33" s="714"/>
      <c r="U33" s="715"/>
      <c r="V33" s="714"/>
      <c r="W33" s="715"/>
      <c r="X33" s="1489"/>
      <c r="Y33" s="3509"/>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09"/>
      <c r="Q34" s="1486" t="str">
        <f t="shared" si="8"/>
        <v>土地级别</v>
      </c>
      <c r="R34" s="714" t="s">
        <v>17</v>
      </c>
      <c r="S34" s="715">
        <f t="shared" si="10"/>
        <v>100</v>
      </c>
      <c r="T34" s="714" t="s">
        <v>17</v>
      </c>
      <c r="U34" s="715">
        <f t="shared" si="11"/>
        <v>100</v>
      </c>
      <c r="V34" s="714" t="s">
        <v>17</v>
      </c>
      <c r="W34" s="715">
        <f t="shared" si="12"/>
        <v>100</v>
      </c>
      <c r="X34" s="1489"/>
      <c r="Y34" s="3509"/>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09"/>
      <c r="Q35" s="1486">
        <f t="shared" si="8"/>
        <v>111</v>
      </c>
      <c r="R35" s="714" t="s">
        <v>17</v>
      </c>
      <c r="S35" s="715">
        <f t="shared" si="10"/>
        <v>100</v>
      </c>
      <c r="T35" s="714" t="s">
        <v>17</v>
      </c>
      <c r="U35" s="715">
        <f t="shared" si="11"/>
        <v>100</v>
      </c>
      <c r="V35" s="714" t="s">
        <v>17</v>
      </c>
      <c r="W35" s="715">
        <f t="shared" si="12"/>
        <v>100</v>
      </c>
      <c r="X35" s="1489"/>
      <c r="Y35" s="3509"/>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64" t="s">
        <v>2143</v>
      </c>
      <c r="Q36" s="1486">
        <f t="shared" si="8"/>
        <v>111</v>
      </c>
      <c r="R36" s="714" t="s">
        <v>17</v>
      </c>
      <c r="S36" s="715">
        <f t="shared" si="10"/>
        <v>100</v>
      </c>
      <c r="T36" s="714" t="s">
        <v>17</v>
      </c>
      <c r="U36" s="715">
        <f t="shared" si="11"/>
        <v>100</v>
      </c>
      <c r="V36" s="714" t="s">
        <v>17</v>
      </c>
      <c r="W36" s="715">
        <f t="shared" si="12"/>
        <v>100</v>
      </c>
      <c r="X36" s="1489"/>
      <c r="Y36" s="3513" t="s">
        <v>2143</v>
      </c>
      <c r="Z36" s="1490">
        <f t="shared" si="13"/>
        <v>111</v>
      </c>
      <c r="AA36" s="1487">
        <f t="shared" si="3"/>
        <v>1</v>
      </c>
      <c r="AB36" s="1487">
        <f t="shared" si="4"/>
        <v>1</v>
      </c>
      <c r="AC36" s="1487">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13"/>
      <c r="Q37" s="1486">
        <f t="shared" si="8"/>
        <v>111</v>
      </c>
      <c r="R37" s="717" t="s">
        <v>17</v>
      </c>
      <c r="S37" s="718">
        <f t="shared" si="10"/>
        <v>100</v>
      </c>
      <c r="T37" s="717" t="s">
        <v>17</v>
      </c>
      <c r="U37" s="718">
        <f t="shared" si="11"/>
        <v>100</v>
      </c>
      <c r="V37" s="717" t="s">
        <v>17</v>
      </c>
      <c r="W37" s="718">
        <f t="shared" si="12"/>
        <v>100</v>
      </c>
      <c r="X37" s="719"/>
      <c r="Y37" s="3513"/>
      <c r="Z37" s="720">
        <f t="shared" si="13"/>
        <v>111</v>
      </c>
      <c r="AA37" s="1487">
        <f t="shared" si="3"/>
        <v>1</v>
      </c>
      <c r="AB37" s="1487">
        <f t="shared" si="4"/>
        <v>1</v>
      </c>
      <c r="AC37" s="1487">
        <f t="shared" si="5"/>
        <v>1</v>
      </c>
    </row>
    <row r="38" spans="1:29" ht="15.6">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13"/>
      <c r="Q38" s="1486" t="str">
        <f>B38</f>
        <v>宗地面积</v>
      </c>
      <c r="R38" s="714" t="s">
        <v>17</v>
      </c>
      <c r="S38" s="715" t="e">
        <f t="shared" si="10"/>
        <v>#N/A</v>
      </c>
      <c r="T38" s="714" t="s">
        <v>17</v>
      </c>
      <c r="U38" s="715" t="e">
        <f t="shared" si="11"/>
        <v>#N/A</v>
      </c>
      <c r="V38" s="714" t="s">
        <v>17</v>
      </c>
      <c r="W38" s="715" t="e">
        <f t="shared" si="12"/>
        <v>#N/A</v>
      </c>
      <c r="X38" s="1489"/>
      <c r="Y38" s="3513"/>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9"/>
      <c r="M39" s="2893"/>
      <c r="N39" s="2893"/>
      <c r="O39" s="2951"/>
      <c r="P39" s="3513"/>
      <c r="Q39" s="1486" t="str">
        <f t="shared" ref="Q39:Q45" si="14">B39</f>
        <v>宗地形状</v>
      </c>
      <c r="R39" s="714" t="s">
        <v>17</v>
      </c>
      <c r="S39" s="715">
        <f t="shared" si="10"/>
        <v>100</v>
      </c>
      <c r="T39" s="714" t="s">
        <v>17</v>
      </c>
      <c r="U39" s="715">
        <f t="shared" si="11"/>
        <v>100</v>
      </c>
      <c r="V39" s="714" t="s">
        <v>17</v>
      </c>
      <c r="W39" s="715">
        <f t="shared" si="12"/>
        <v>100</v>
      </c>
      <c r="X39" s="1489"/>
      <c r="Y39" s="3513"/>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513"/>
      <c r="Q40" s="1486" t="str">
        <f t="shared" si="14"/>
        <v>临街宽度及深度</v>
      </c>
      <c r="R40" s="714" t="s">
        <v>17</v>
      </c>
      <c r="S40" s="715">
        <f t="shared" si="10"/>
        <v>100</v>
      </c>
      <c r="T40" s="714" t="s">
        <v>17</v>
      </c>
      <c r="U40" s="715">
        <f t="shared" si="11"/>
        <v>100</v>
      </c>
      <c r="V40" s="714" t="s">
        <v>17</v>
      </c>
      <c r="W40" s="715">
        <f t="shared" si="12"/>
        <v>100</v>
      </c>
      <c r="X40" s="1489"/>
      <c r="Y40" s="3513"/>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513"/>
      <c r="Q41" s="1486" t="str">
        <f t="shared" si="14"/>
        <v>宗地开发程度</v>
      </c>
      <c r="R41" s="710" t="s">
        <v>17</v>
      </c>
      <c r="S41" s="711">
        <f t="shared" si="10"/>
        <v>100</v>
      </c>
      <c r="T41" s="710" t="s">
        <v>17</v>
      </c>
      <c r="U41" s="711">
        <f t="shared" si="11"/>
        <v>100</v>
      </c>
      <c r="V41" s="710" t="s">
        <v>17</v>
      </c>
      <c r="W41" s="711">
        <f t="shared" si="12"/>
        <v>100</v>
      </c>
      <c r="X41" s="712"/>
      <c r="Y41" s="3513"/>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513" t="s">
        <v>2143</v>
      </c>
      <c r="Q42" s="1486" t="str">
        <f t="shared" si="14"/>
        <v>工程地质条件</v>
      </c>
      <c r="R42" s="714" t="s">
        <v>17</v>
      </c>
      <c r="S42" s="715">
        <f t="shared" si="10"/>
        <v>100</v>
      </c>
      <c r="T42" s="714" t="s">
        <v>17</v>
      </c>
      <c r="U42" s="715">
        <f t="shared" si="11"/>
        <v>100</v>
      </c>
      <c r="V42" s="714" t="s">
        <v>17</v>
      </c>
      <c r="W42" s="715">
        <f t="shared" si="12"/>
        <v>100</v>
      </c>
      <c r="X42" s="1489"/>
      <c r="Y42" s="3513" t="s">
        <v>2143</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13"/>
      <c r="Q43" s="1486">
        <f t="shared" si="14"/>
        <v>111</v>
      </c>
      <c r="R43" s="714" t="s">
        <v>17</v>
      </c>
      <c r="S43" s="715">
        <f t="shared" si="10"/>
        <v>100</v>
      </c>
      <c r="T43" s="714" t="s">
        <v>17</v>
      </c>
      <c r="U43" s="715">
        <f t="shared" si="11"/>
        <v>100</v>
      </c>
      <c r="V43" s="714" t="s">
        <v>17</v>
      </c>
      <c r="W43" s="715">
        <f t="shared" si="12"/>
        <v>100</v>
      </c>
      <c r="X43" s="1489"/>
      <c r="Y43" s="3513"/>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13"/>
      <c r="Q44" s="1486">
        <f t="shared" si="14"/>
        <v>111</v>
      </c>
      <c r="R44" s="714" t="s">
        <v>17</v>
      </c>
      <c r="S44" s="715">
        <f t="shared" si="10"/>
        <v>100</v>
      </c>
      <c r="T44" s="714" t="s">
        <v>17</v>
      </c>
      <c r="U44" s="715">
        <f t="shared" si="11"/>
        <v>100</v>
      </c>
      <c r="V44" s="714" t="s">
        <v>17</v>
      </c>
      <c r="W44" s="715">
        <f t="shared" si="12"/>
        <v>100</v>
      </c>
      <c r="X44" s="1489"/>
      <c r="Y44" s="3513"/>
      <c r="Z44" s="1490">
        <f t="shared" si="13"/>
        <v>111</v>
      </c>
      <c r="AA44" s="1487">
        <f t="shared" si="3"/>
        <v>1</v>
      </c>
      <c r="AB44" s="1487">
        <f t="shared" si="4"/>
        <v>1</v>
      </c>
      <c r="AC44" s="1487">
        <f t="shared" si="5"/>
        <v>1</v>
      </c>
    </row>
    <row r="45" spans="1:29" s="430" customFormat="1" ht="15.6"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13"/>
      <c r="Q45" s="1486">
        <f t="shared" si="14"/>
        <v>111</v>
      </c>
      <c r="R45" s="717" t="s">
        <v>17</v>
      </c>
      <c r="S45" s="718">
        <f t="shared" si="10"/>
        <v>100</v>
      </c>
      <c r="T45" s="717" t="s">
        <v>17</v>
      </c>
      <c r="U45" s="718">
        <f t="shared" si="11"/>
        <v>100</v>
      </c>
      <c r="V45" s="717" t="s">
        <v>17</v>
      </c>
      <c r="W45" s="718">
        <f t="shared" si="12"/>
        <v>100</v>
      </c>
      <c r="X45" s="719"/>
      <c r="Y45" s="3513"/>
      <c r="Z45" s="720">
        <f t="shared" si="13"/>
        <v>111</v>
      </c>
      <c r="AA45" s="1487">
        <f t="shared" si="3"/>
        <v>1</v>
      </c>
      <c r="AB45" s="1487">
        <f t="shared" si="4"/>
        <v>1</v>
      </c>
      <c r="AC45" s="1487">
        <f t="shared" si="5"/>
        <v>1</v>
      </c>
    </row>
    <row r="46" spans="1:29" ht="14.4">
      <c r="A46" s="438" t="s">
        <v>2298</v>
      </c>
      <c r="B46" s="2117" t="s">
        <v>2334</v>
      </c>
      <c r="C46" s="638" t="s">
        <v>1</v>
      </c>
      <c r="D46" s="440"/>
      <c r="E46" s="441"/>
      <c r="F46" s="442"/>
      <c r="G46" s="443"/>
      <c r="H46" s="444"/>
      <c r="I46" s="441"/>
      <c r="J46" s="444"/>
      <c r="K46" s="723"/>
      <c r="L46" s="2901"/>
      <c r="M46" s="2902"/>
      <c r="N46" s="2893"/>
      <c r="O46" s="2902"/>
      <c r="P46" s="3506" t="str">
        <f>A46</f>
        <v>成交单价</v>
      </c>
      <c r="Q46" s="3506"/>
      <c r="R46" s="3537">
        <f>E46</f>
        <v>0</v>
      </c>
      <c r="S46" s="3537"/>
      <c r="T46" s="3537">
        <f>G46</f>
        <v>0</v>
      </c>
      <c r="U46" s="3537"/>
      <c r="V46" s="3537">
        <f>I46</f>
        <v>0</v>
      </c>
      <c r="W46" s="3537"/>
      <c r="X46" s="699"/>
      <c r="Y46" s="721"/>
      <c r="Z46" s="699"/>
      <c r="AA46" s="699"/>
      <c r="AB46" s="699"/>
      <c r="AC46" s="699"/>
    </row>
    <row r="47" spans="1:29" ht="15" thickBot="1">
      <c r="A47" s="445" t="s">
        <v>2247</v>
      </c>
      <c r="B47" s="639"/>
      <c r="C47" s="448" t="e">
        <f>R48</f>
        <v>#DIV/0!</v>
      </c>
      <c r="D47" s="2487" t="s">
        <v>2636</v>
      </c>
      <c r="E47" s="448" t="e">
        <f>R47</f>
        <v>#DIV/0!</v>
      </c>
      <c r="F47" s="2488"/>
      <c r="G47" s="447" t="e">
        <f>T47</f>
        <v>#DIV/0!</v>
      </c>
      <c r="H47" s="2488"/>
      <c r="I47" s="448" t="e">
        <f>V47</f>
        <v>#DIV/0!</v>
      </c>
      <c r="J47" s="2488"/>
      <c r="K47" s="2490">
        <f>F47+H47+J47</f>
        <v>0</v>
      </c>
      <c r="L47" s="2901"/>
      <c r="M47" s="2902"/>
      <c r="N47" s="2902"/>
      <c r="O47" s="2902"/>
      <c r="P47" s="3506" t="str">
        <f>A47</f>
        <v>比较价值（元/平方米）</v>
      </c>
      <c r="Q47" s="3506"/>
      <c r="R47" s="3566" t="e">
        <f>ROUND(PRODUCT(R46,AA7:AA45),0)</f>
        <v>#DIV/0!</v>
      </c>
      <c r="S47" s="3566"/>
      <c r="T47" s="3566" t="e">
        <f>ROUND(PRODUCT(T46,AB7:AB45),0)</f>
        <v>#DIV/0!</v>
      </c>
      <c r="U47" s="3566"/>
      <c r="V47" s="3566" t="e">
        <f>ROUND(PRODUCT(V46,AC7:AC45),0)</f>
        <v>#DIV/0!</v>
      </c>
      <c r="W47" s="3566"/>
      <c r="X47" s="699"/>
      <c r="Y47" s="699"/>
      <c r="Z47" s="699"/>
      <c r="AA47" s="699"/>
      <c r="AB47" s="699"/>
      <c r="AC47" s="699"/>
    </row>
    <row r="48" spans="1:29" ht="15" thickBot="1">
      <c r="A48" s="449" t="s">
        <v>2335</v>
      </c>
      <c r="B48" s="450"/>
      <c r="C48" s="451" t="e">
        <f>R48</f>
        <v>#DIV/0!</v>
      </c>
      <c r="D48" s="451"/>
      <c r="E48" s="451"/>
      <c r="F48" s="451"/>
      <c r="G48" s="451"/>
      <c r="H48" s="451"/>
      <c r="I48" s="451"/>
      <c r="J48" s="451"/>
      <c r="K48" s="724"/>
      <c r="L48" s="2901"/>
      <c r="M48" s="2902"/>
      <c r="N48" s="2902"/>
      <c r="O48" s="2902"/>
      <c r="P48" s="3503" t="str">
        <f>A48</f>
        <v>估价对象XX用房的比较价值（楼面单价，元/平方米）</v>
      </c>
      <c r="Q48" s="3504"/>
      <c r="R48" s="3567" t="e">
        <f>ROUND(IF(D47="简单平均",AVERAGE(R47:W47),R47*F47+T47*H47+V47*J47),0)</f>
        <v>#DIV/0!</v>
      </c>
      <c r="S48" s="3567"/>
      <c r="T48" s="3567"/>
      <c r="U48" s="3567"/>
      <c r="V48" s="3567"/>
      <c r="W48" s="3567"/>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4.4"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2336</v>
      </c>
      <c r="B55" s="641" t="s">
        <v>2337</v>
      </c>
      <c r="C55" s="2118" t="s">
        <v>2338</v>
      </c>
      <c r="D55" s="2119" t="s">
        <v>2339</v>
      </c>
      <c r="E55" s="642" t="s">
        <v>2340</v>
      </c>
      <c r="F55" s="1002" t="s">
        <v>2341</v>
      </c>
      <c r="G55" s="3521" t="s">
        <v>2342</v>
      </c>
      <c r="H55" s="3568"/>
      <c r="I55" s="140"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2345</v>
      </c>
      <c r="B56" s="645" t="e">
        <f>C48</f>
        <v>#DIV/0!</v>
      </c>
      <c r="C56" s="646">
        <v>1</v>
      </c>
      <c r="D56" s="1056">
        <v>1</v>
      </c>
      <c r="E56" s="646">
        <f>'数据-汇总表'!E8+'数据-汇总表'!E9</f>
        <v>175962.71000000002</v>
      </c>
      <c r="F56" s="998" t="e">
        <f t="shared" ref="F56:F64" si="15">ROUND(B56*E56/10000,0)</f>
        <v>#DIV/0!</v>
      </c>
      <c r="G56" s="3517"/>
      <c r="H56" s="3506"/>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2346</v>
      </c>
      <c r="B57" s="224" t="e">
        <f>ROUND($C$48*C57*D57,0)</f>
        <v>#DIV/0!</v>
      </c>
      <c r="C57" s="176">
        <f t="shared" ref="C57:C64" si="16">IF($C$55="北京市系数",I57,J57)</f>
        <v>0.5</v>
      </c>
      <c r="D57" s="1057">
        <v>0.25</v>
      </c>
      <c r="E57" s="650"/>
      <c r="F57" s="998" t="e">
        <f t="shared" si="15"/>
        <v>#DIV/0!</v>
      </c>
      <c r="G57" s="3226" t="s">
        <v>2347</v>
      </c>
      <c r="H57" s="999" t="str">
        <f>项目基本情况!B37</f>
        <v>十级</v>
      </c>
      <c r="I57" s="1003">
        <f>SUMIF(修正!A57:A68,H57,修正!B57:B68)</f>
        <v>0.5</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2348</v>
      </c>
      <c r="B58" s="224" t="e">
        <f t="shared" ref="B58:B64" si="17">ROUND($C$48*C58*D58,0)</f>
        <v>#DIV/0!</v>
      </c>
      <c r="C58" s="176">
        <f t="shared" si="16"/>
        <v>0.2</v>
      </c>
      <c r="D58" s="1057">
        <v>0.25</v>
      </c>
      <c r="E58" s="650"/>
      <c r="F58" s="998" t="e">
        <f t="shared" si="15"/>
        <v>#DIV/0!</v>
      </c>
      <c r="G58" s="3227"/>
      <c r="H58" s="999" t="str">
        <f>项目基本情况!B37</f>
        <v>十级</v>
      </c>
      <c r="I58" s="1003">
        <f>SUMIF(修正!A57:A68,H58,修正!C57:C68)</f>
        <v>0.2</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2349</v>
      </c>
      <c r="B59" s="224" t="e">
        <f t="shared" si="17"/>
        <v>#DIV/0!</v>
      </c>
      <c r="C59" s="176">
        <f t="shared" si="16"/>
        <v>0.2</v>
      </c>
      <c r="D59" s="1057">
        <v>0.25</v>
      </c>
      <c r="E59" s="650"/>
      <c r="F59" s="998" t="e">
        <f t="shared" si="15"/>
        <v>#DIV/0!</v>
      </c>
      <c r="G59" s="3227"/>
      <c r="H59" s="999" t="str">
        <f>项目基本情况!B37</f>
        <v>十级</v>
      </c>
      <c r="I59" s="1003">
        <f>SUMIF(修正!A57:A68,H59,修正!D57:D68)</f>
        <v>0.2</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2350</v>
      </c>
      <c r="B60" s="224" t="e">
        <f t="shared" si="17"/>
        <v>#DIV/0!</v>
      </c>
      <c r="C60" s="176">
        <f t="shared" si="16"/>
        <v>0.2</v>
      </c>
      <c r="D60" s="1057">
        <v>0.25</v>
      </c>
      <c r="E60" s="223">
        <f>'数据-汇总表'!E11</f>
        <v>0</v>
      </c>
      <c r="F60" s="998" t="e">
        <f t="shared" si="15"/>
        <v>#DIV/0!</v>
      </c>
      <c r="G60" s="2122" t="s">
        <v>2351</v>
      </c>
      <c r="H60" s="999" t="str">
        <f>项目基本情况!C37</f>
        <v>十级</v>
      </c>
      <c r="I60" s="1003">
        <f>SUMIF(修正!A57:A68,H60,修正!E57:E68)</f>
        <v>0.2</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2352</v>
      </c>
      <c r="B61" s="224" t="e">
        <f t="shared" si="17"/>
        <v>#DIV/0!</v>
      </c>
      <c r="C61" s="176">
        <f t="shared" si="16"/>
        <v>0.2</v>
      </c>
      <c r="D61" s="1057">
        <v>0.25</v>
      </c>
      <c r="E61" s="223">
        <f>'数据-汇总表'!E12</f>
        <v>29778.85</v>
      </c>
      <c r="F61" s="998" t="e">
        <f t="shared" si="15"/>
        <v>#DIV/0!</v>
      </c>
      <c r="G61" s="1004" t="s">
        <v>2353</v>
      </c>
      <c r="H61" s="999" t="str">
        <f>IF(G61="商业",项目基本情况!B37,IF(G61="办公",项目基本情况!C37,IF(G61="住宅",项目基本情况!D37,项目基本情况!E37)))</f>
        <v>十级</v>
      </c>
      <c r="I61" s="1003">
        <f>SUMIF(修正!A57:A68,H61,修正!F57:F68)</f>
        <v>0.2</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2354</v>
      </c>
      <c r="B62" s="224" t="e">
        <f t="shared" si="17"/>
        <v>#DIV/0!</v>
      </c>
      <c r="C62" s="176">
        <f t="shared" si="16"/>
        <v>0.1</v>
      </c>
      <c r="D62" s="1057">
        <v>0.25</v>
      </c>
      <c r="E62" s="223">
        <f>'数据-汇总表'!E13</f>
        <v>30257.699999999997</v>
      </c>
      <c r="F62" s="998" t="e">
        <f t="shared" si="15"/>
        <v>#DIV/0!</v>
      </c>
      <c r="G62" s="1004" t="s">
        <v>2355</v>
      </c>
      <c r="H62" s="999" t="str">
        <f>IF(G62="商业",项目基本情况!B37,IF(G62="办公",项目基本情况!C37,IF(G62="住宅",项目基本情况!D37,项目基本情况!E37)))</f>
        <v>十级</v>
      </c>
      <c r="I62" s="1003">
        <f>SUMIF(修正!A57:A68,H62,修正!G57:G68)</f>
        <v>0.1</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2356</v>
      </c>
      <c r="B63" s="224" t="e">
        <f t="shared" si="17"/>
        <v>#DIV/0!</v>
      </c>
      <c r="C63" s="176">
        <f t="shared" si="16"/>
        <v>0.1</v>
      </c>
      <c r="D63" s="1057">
        <v>0.25</v>
      </c>
      <c r="E63" s="223">
        <f>'数据-汇总表'!E14</f>
        <v>0</v>
      </c>
      <c r="F63" s="998" t="e">
        <f t="shared" si="15"/>
        <v>#DIV/0!</v>
      </c>
      <c r="G63" s="2122" t="s">
        <v>2347</v>
      </c>
      <c r="H63" s="999" t="str">
        <f>项目基本情况!B37</f>
        <v>十级</v>
      </c>
      <c r="I63" s="1003">
        <f>SUMIF(修正!A57:A68,H63,修正!G57:G68)</f>
        <v>0.1</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4.4" thickBot="1">
      <c r="A64" s="649" t="s">
        <v>2357</v>
      </c>
      <c r="B64" s="224" t="e">
        <f t="shared" si="17"/>
        <v>#DIV/0!</v>
      </c>
      <c r="C64" s="176">
        <f t="shared" si="16"/>
        <v>0.1</v>
      </c>
      <c r="D64" s="1057">
        <v>0.25</v>
      </c>
      <c r="E64" s="223">
        <f>'数据-汇总表'!E15</f>
        <v>0</v>
      </c>
      <c r="F64" s="998" t="e">
        <f t="shared" si="15"/>
        <v>#DIV/0!</v>
      </c>
      <c r="G64" s="2123" t="s">
        <v>2351</v>
      </c>
      <c r="H64" s="1009" t="str">
        <f>项目基本情况!C37</f>
        <v>十级</v>
      </c>
      <c r="I64" s="1005">
        <f>SUMIF(修正!A57:A68,H64,修正!G57:G68)</f>
        <v>0.1</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thickBot="1">
      <c r="A65" s="651" t="s">
        <v>2358</v>
      </c>
      <c r="B65" s="652" t="s">
        <v>28</v>
      </c>
      <c r="C65" s="652" t="s">
        <v>29</v>
      </c>
      <c r="D65" s="652" t="s">
        <v>816</v>
      </c>
      <c r="E65" s="652">
        <f>IF(B46="楼面地价",SUM(E56:E64),'数据-汇总表'!D3)</f>
        <v>235999.26</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2.2" thickBot="1">
      <c r="A68" s="703" t="s">
        <v>2252</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4.4">
      <c r="A69" s="2124" t="s">
        <v>2359</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 thickBot="1">
      <c r="A71" s="472" t="s">
        <v>2163</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4.4">
      <c r="A72" s="478" t="s">
        <v>2128</v>
      </c>
      <c r="B72" s="467"/>
      <c r="C72" s="479" t="s">
        <v>2230</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4.4"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ht="14.4">
      <c r="A74" s="484" t="s">
        <v>2166</v>
      </c>
      <c r="B74" s="485" t="s">
        <v>2132</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4.4"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9.4" thickTop="1">
      <c r="A76" s="491"/>
      <c r="B76" s="495" t="s">
        <v>2135</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4.4"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4.4"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4.4"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4.4"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4.4"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4.4"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4.4"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ht="14.4">
      <c r="A87" s="484" t="s">
        <v>2137</v>
      </c>
      <c r="B87" s="485" t="s">
        <v>2174</v>
      </c>
      <c r="C87" s="530" t="s">
        <v>2175</v>
      </c>
      <c r="D87" s="530" t="s">
        <v>2176</v>
      </c>
      <c r="E87" s="530" t="s">
        <v>2177</v>
      </c>
      <c r="F87" s="530" t="s">
        <v>2178</v>
      </c>
      <c r="G87" s="530" t="s">
        <v>2179</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 thickTop="1">
      <c r="A89" s="491"/>
      <c r="B89" s="495" t="s">
        <v>2361</v>
      </c>
      <c r="C89" s="535" t="s">
        <v>2175</v>
      </c>
      <c r="D89" s="535" t="s">
        <v>2176</v>
      </c>
      <c r="E89" s="535" t="s">
        <v>2177</v>
      </c>
      <c r="F89" s="535" t="s">
        <v>2178</v>
      </c>
      <c r="G89" s="535" t="s">
        <v>2179</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 thickTop="1">
      <c r="A91" s="491"/>
      <c r="B91" s="495" t="s">
        <v>2275</v>
      </c>
      <c r="C91" s="535" t="s">
        <v>2175</v>
      </c>
      <c r="D91" s="535" t="s">
        <v>2176</v>
      </c>
      <c r="E91" s="535" t="s">
        <v>2177</v>
      </c>
      <c r="F91" s="535" t="s">
        <v>2178</v>
      </c>
      <c r="G91" s="535" t="s">
        <v>2179</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 thickTop="1">
      <c r="A93" s="491"/>
      <c r="B93" s="495" t="s">
        <v>2180</v>
      </c>
      <c r="C93" s="535" t="s">
        <v>2175</v>
      </c>
      <c r="D93" s="535" t="s">
        <v>2176</v>
      </c>
      <c r="E93" s="535" t="s">
        <v>2177</v>
      </c>
      <c r="F93" s="535" t="s">
        <v>2178</v>
      </c>
      <c r="G93" s="535" t="s">
        <v>2179</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29.4" thickTop="1">
      <c r="A95" s="536"/>
      <c r="B95" s="495" t="s">
        <v>2362</v>
      </c>
      <c r="C95" s="535" t="s">
        <v>2175</v>
      </c>
      <c r="D95" s="535" t="s">
        <v>2176</v>
      </c>
      <c r="E95" s="535" t="s">
        <v>2177</v>
      </c>
      <c r="F95" s="535" t="s">
        <v>2178</v>
      </c>
      <c r="G95" s="535" t="s">
        <v>2179</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9.4" thickTop="1">
      <c r="A97" s="536"/>
      <c r="B97" s="495" t="s">
        <v>2363</v>
      </c>
      <c r="C97" s="530" t="s">
        <v>2175</v>
      </c>
      <c r="D97" s="530" t="s">
        <v>2176</v>
      </c>
      <c r="E97" s="530" t="s">
        <v>2177</v>
      </c>
      <c r="F97" s="530" t="s">
        <v>2178</v>
      </c>
      <c r="G97" s="530" t="s">
        <v>2179</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 thickTop="1">
      <c r="A99" s="510"/>
      <c r="B99" s="495" t="s">
        <v>2232</v>
      </c>
      <c r="C99" s="530" t="s">
        <v>2175</v>
      </c>
      <c r="D99" s="530" t="s">
        <v>2176</v>
      </c>
      <c r="E99" s="530" t="s">
        <v>2177</v>
      </c>
      <c r="F99" s="530" t="s">
        <v>2178</v>
      </c>
      <c r="G99" s="530" t="s">
        <v>2179</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 thickTop="1">
      <c r="A101" s="510"/>
      <c r="B101" s="503" t="s">
        <v>2233</v>
      </c>
      <c r="C101" s="616" t="s">
        <v>2253</v>
      </c>
      <c r="D101" s="616" t="s">
        <v>2254</v>
      </c>
      <c r="E101" s="616" t="s">
        <v>2255</v>
      </c>
      <c r="F101" s="616" t="s">
        <v>2256</v>
      </c>
      <c r="G101" s="616" t="s">
        <v>2257</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 thickTop="1">
      <c r="A103" s="491"/>
      <c r="B103" s="495" t="str">
        <f>B31</f>
        <v>临街状况</v>
      </c>
      <c r="C103" s="496" t="s">
        <v>2364</v>
      </c>
      <c r="D103" s="496" t="s">
        <v>2365</v>
      </c>
      <c r="E103" s="496" t="s">
        <v>2366</v>
      </c>
      <c r="F103" s="496" t="s">
        <v>2367</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9.4" thickTop="1">
      <c r="A105" s="491"/>
      <c r="B105" s="495" t="s">
        <v>2269</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 thickTop="1">
      <c r="A107" s="491"/>
      <c r="B107" s="495" t="s">
        <v>2328</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4.4"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4.4"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4.4"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4.4"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4.4"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4.4"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14.4">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4.4"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2369</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2370</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2371</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2372</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4.4"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4.4"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4.4"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4.4"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4.4"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4.4"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8" zoomScale="70" zoomScaleNormal="60" zoomScaleSheetLayoutView="70" workbookViewId="0">
      <selection activeCell="F61" sqref="F61"/>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6.21875" style="363" customWidth="1"/>
    <col min="6" max="6" width="12.21875" style="363" customWidth="1"/>
    <col min="7" max="7" width="18.44140625" style="363" customWidth="1"/>
    <col min="8" max="8" width="12.21875" style="363" customWidth="1"/>
    <col min="9" max="9" width="17"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f>F61</f>
        <v>32112</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f>ROUND(IF(D3="",B2*10000/'数据-汇总表'!E3,B2*10000/D3),0)</f>
        <v>1316</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4.4">
      <c r="A4" s="361" t="s">
        <v>2223</v>
      </c>
      <c r="B4" s="362"/>
      <c r="C4" s="3521" t="s">
        <v>2224</v>
      </c>
      <c r="D4" s="3522"/>
      <c r="E4" s="3523" t="s">
        <v>2225</v>
      </c>
      <c r="F4" s="3524"/>
      <c r="G4" s="3521" t="s">
        <v>2226</v>
      </c>
      <c r="H4" s="3522"/>
      <c r="I4" s="3521" t="s">
        <v>2227</v>
      </c>
      <c r="J4" s="3522"/>
      <c r="K4" s="567" t="s">
        <v>2228</v>
      </c>
      <c r="L4" s="2892"/>
      <c r="M4" s="2893"/>
      <c r="N4" s="2893"/>
      <c r="O4" s="2893"/>
      <c r="P4" s="3525" t="s">
        <v>2229</v>
      </c>
      <c r="Q4" s="3526"/>
      <c r="R4" s="3531" t="s">
        <v>2225</v>
      </c>
      <c r="S4" s="3532"/>
      <c r="T4" s="3531" t="s">
        <v>2226</v>
      </c>
      <c r="U4" s="3532"/>
      <c r="V4" s="3537" t="s">
        <v>2227</v>
      </c>
      <c r="W4" s="3537"/>
      <c r="X4" s="1489"/>
      <c r="Y4" s="3531" t="s">
        <v>2229</v>
      </c>
      <c r="Z4" s="3532"/>
      <c r="AA4" s="3518" t="s">
        <v>2225</v>
      </c>
      <c r="AB4" s="3519" t="s">
        <v>2226</v>
      </c>
      <c r="AC4" s="3518" t="s">
        <v>2227</v>
      </c>
    </row>
    <row r="5" spans="1:29">
      <c r="A5" s="364"/>
      <c r="B5" s="365"/>
      <c r="C5" s="3540" t="s">
        <v>2120</v>
      </c>
      <c r="D5" s="3541"/>
      <c r="E5" s="3547" t="str">
        <f>土地案例!A6</f>
        <v xml:space="preserve">北京高端制造业(房山)基地01街区01-02(1)地块工业用地项目  </v>
      </c>
      <c r="F5" s="3548"/>
      <c r="G5" s="3540" t="str">
        <f>土地案例!A3</f>
        <v xml:space="preserve">北京高端制造业基地06街区03地块工业用地项目   </v>
      </c>
      <c r="H5" s="3541"/>
      <c r="I5" s="3540" t="str">
        <f>土地案例!A5</f>
        <v xml:space="preserve">北京高端制造业基地06街区02地块项目   </v>
      </c>
      <c r="J5" s="3541"/>
      <c r="K5" s="567"/>
      <c r="L5" s="2892"/>
      <c r="M5" s="2893"/>
      <c r="N5" s="2893"/>
      <c r="O5" s="2893"/>
      <c r="P5" s="3527"/>
      <c r="Q5" s="3528"/>
      <c r="R5" s="3533"/>
      <c r="S5" s="3534"/>
      <c r="T5" s="3533"/>
      <c r="U5" s="3534"/>
      <c r="V5" s="3537"/>
      <c r="W5" s="3537"/>
      <c r="X5" s="1489"/>
      <c r="Y5" s="3533"/>
      <c r="Z5" s="3534"/>
      <c r="AA5" s="3519"/>
      <c r="AB5" s="3519"/>
      <c r="AC5" s="3519"/>
    </row>
    <row r="6" spans="1:29" ht="15" thickBot="1">
      <c r="A6" s="366"/>
      <c r="B6" s="367"/>
      <c r="C6" s="3569" t="s">
        <v>2374</v>
      </c>
      <c r="D6" s="3570"/>
      <c r="E6" s="3571" t="str">
        <f>土地案例!E6</f>
        <v xml:space="preserve"> 房山区窦店镇望楚村</v>
      </c>
      <c r="F6" s="3572"/>
      <c r="G6" s="3569" t="str">
        <f>土地案例!E3</f>
        <v xml:space="preserve"> 房山区窦店镇、良乡镇</v>
      </c>
      <c r="H6" s="3570"/>
      <c r="I6" s="3569" t="str">
        <f>土地案例!E5</f>
        <v xml:space="preserve"> 房山区窦店</v>
      </c>
      <c r="J6" s="3570"/>
      <c r="K6" s="567" t="s">
        <v>2125</v>
      </c>
      <c r="L6" s="2892"/>
      <c r="M6" s="2893"/>
      <c r="N6" s="2893"/>
      <c r="O6" s="2893"/>
      <c r="P6" s="3529"/>
      <c r="Q6" s="3530"/>
      <c r="R6" s="3533"/>
      <c r="S6" s="3534"/>
      <c r="T6" s="3535"/>
      <c r="U6" s="3536"/>
      <c r="V6" s="3537"/>
      <c r="W6" s="3537"/>
      <c r="X6" s="1489"/>
      <c r="Y6" s="3535"/>
      <c r="Z6" s="3536"/>
      <c r="AA6" s="3520"/>
      <c r="AB6" s="3520"/>
      <c r="AC6" s="3520"/>
    </row>
    <row r="7" spans="1:29" s="113" customFormat="1" ht="15" thickBot="1">
      <c r="A7" s="368" t="s">
        <v>2126</v>
      </c>
      <c r="B7" s="369"/>
      <c r="C7" s="370">
        <f>'数据-取费表'!B2</f>
        <v>44769</v>
      </c>
      <c r="D7" s="371">
        <v>100</v>
      </c>
      <c r="E7" s="372">
        <f>土地案例!K6</f>
        <v>43476.000497685185</v>
      </c>
      <c r="F7" s="373">
        <f>SUMIF(65:65,YEAR(E7)&amp;"-"&amp;INT((MONTH(E7)+2)/3),66:66)</f>
        <v>97.19999999999996</v>
      </c>
      <c r="G7" s="2109">
        <f>土地案例!K3</f>
        <v>44189.000497685185</v>
      </c>
      <c r="H7" s="371">
        <f>SUMIF(65:65,YEAR(G7)&amp;"-"&amp;INT((MONTH(G7)+2)/3),66:66)</f>
        <v>98.59999999999998</v>
      </c>
      <c r="I7" s="2109">
        <f>土地案例!K5</f>
        <v>43664.000497685185</v>
      </c>
      <c r="J7" s="371">
        <f>SUMIF(65:65,YEAR(I7)&amp;"-"&amp;INT((MONTH(I7)+2)/3),66:66)</f>
        <v>97.599999999999966</v>
      </c>
      <c r="K7" s="568"/>
      <c r="L7" s="2894"/>
      <c r="M7" s="2895"/>
      <c r="N7" s="2895"/>
      <c r="O7" s="2895"/>
      <c r="P7" s="3542" t="s">
        <v>2127</v>
      </c>
      <c r="Q7" s="3544"/>
      <c r="R7" s="710" t="s">
        <v>17</v>
      </c>
      <c r="S7" s="711">
        <f t="shared" ref="S7:S15" si="0">F7</f>
        <v>97.19999999999996</v>
      </c>
      <c r="T7" s="710" t="s">
        <v>17</v>
      </c>
      <c r="U7" s="711">
        <f t="shared" ref="U7:U15" si="1">H7</f>
        <v>98.59999999999998</v>
      </c>
      <c r="V7" s="710" t="s">
        <v>17</v>
      </c>
      <c r="W7" s="711">
        <f t="shared" ref="W7:W15" si="2">J7</f>
        <v>97.599999999999966</v>
      </c>
      <c r="X7" s="712"/>
      <c r="Y7" s="3542" t="s">
        <v>2127</v>
      </c>
      <c r="Z7" s="3543"/>
      <c r="AA7" s="713">
        <f>D7/F7</f>
        <v>1.0288065843621403</v>
      </c>
      <c r="AB7" s="713">
        <f>D7/H7</f>
        <v>1.0141987829614607</v>
      </c>
      <c r="AC7" s="713">
        <f>D7/J7</f>
        <v>1.0245901639344266</v>
      </c>
    </row>
    <row r="8" spans="1:29" s="113" customFormat="1" ht="15" thickBot="1">
      <c r="A8" s="368" t="s">
        <v>2128</v>
      </c>
      <c r="B8" s="369"/>
      <c r="C8" s="374" t="s">
        <v>2129</v>
      </c>
      <c r="D8" s="371">
        <v>100</v>
      </c>
      <c r="E8" s="374" t="s">
        <v>2129</v>
      </c>
      <c r="F8" s="373">
        <f>SUMIF(68:68,E8,69:69)-SUMIF(68:68,C8,69:69)+100</f>
        <v>100</v>
      </c>
      <c r="G8" s="374" t="s">
        <v>2129</v>
      </c>
      <c r="H8" s="371">
        <f>SUMIF(68:68,G8,69:69)-SUMIF(68:68,C8,69:69)+100</f>
        <v>100</v>
      </c>
      <c r="I8" s="374" t="s">
        <v>2129</v>
      </c>
      <c r="J8" s="371">
        <f>SUMIF(68:68,I8,69:69)-SUMIF(68:68,C8,69:69)+100</f>
        <v>100</v>
      </c>
      <c r="K8" s="568"/>
      <c r="L8" s="2894"/>
      <c r="M8" s="2895"/>
      <c r="N8" s="2895"/>
      <c r="O8" s="2895"/>
      <c r="P8" s="3542" t="s">
        <v>2130</v>
      </c>
      <c r="Q8" s="3543"/>
      <c r="R8" s="710" t="s">
        <v>17</v>
      </c>
      <c r="S8" s="711">
        <f t="shared" si="0"/>
        <v>100</v>
      </c>
      <c r="T8" s="710" t="s">
        <v>17</v>
      </c>
      <c r="U8" s="711">
        <f t="shared" si="1"/>
        <v>100</v>
      </c>
      <c r="V8" s="710" t="s">
        <v>17</v>
      </c>
      <c r="W8" s="711">
        <f t="shared" si="2"/>
        <v>100</v>
      </c>
      <c r="X8" s="712"/>
      <c r="Y8" s="3542" t="s">
        <v>2130</v>
      </c>
      <c r="Z8" s="3543"/>
      <c r="AA8" s="713">
        <f t="shared" ref="AA8:AA40" si="3">D8/F8</f>
        <v>1</v>
      </c>
      <c r="AB8" s="713">
        <f t="shared" ref="AB8:AB40" si="4">D8/H8</f>
        <v>1</v>
      </c>
      <c r="AC8" s="713">
        <f t="shared" ref="AC8:AC40" si="5">D8/J8</f>
        <v>1</v>
      </c>
    </row>
    <row r="9" spans="1:29" s="113" customFormat="1" ht="14.4">
      <c r="A9" s="375" t="s">
        <v>2131</v>
      </c>
      <c r="B9" s="67" t="s">
        <v>2132</v>
      </c>
      <c r="C9" s="2112" t="s">
        <v>6</v>
      </c>
      <c r="D9" s="131">
        <v>100</v>
      </c>
      <c r="E9" s="2112" t="s">
        <v>6</v>
      </c>
      <c r="F9" s="131">
        <f>SUMIF(70:70,E9,71:71)-SUMIF(70:70,C9,71:71)+100</f>
        <v>100</v>
      </c>
      <c r="G9" s="2112" t="s">
        <v>6</v>
      </c>
      <c r="H9" s="131">
        <f>SUMIF(70:70,G9,71:71)-SUMIF(70:70,C9,71:71)+100</f>
        <v>100</v>
      </c>
      <c r="I9" s="2112" t="s">
        <v>6</v>
      </c>
      <c r="J9" s="131">
        <f>SUMIF(70:70,I9,71:71)-SUMIF(70:70,C9,71:71)+100</f>
        <v>100</v>
      </c>
      <c r="K9" s="568"/>
      <c r="L9" s="2894"/>
      <c r="M9" s="2895"/>
      <c r="N9" s="2895"/>
      <c r="O9" s="2949"/>
      <c r="P9" s="3506" t="s">
        <v>2133</v>
      </c>
      <c r="Q9" s="1477" t="str">
        <f t="shared" ref="Q9:Q15" si="6">B9</f>
        <v>用途</v>
      </c>
      <c r="R9" s="710" t="s">
        <v>17</v>
      </c>
      <c r="S9" s="711">
        <f t="shared" si="0"/>
        <v>100</v>
      </c>
      <c r="T9" s="710" t="s">
        <v>17</v>
      </c>
      <c r="U9" s="711">
        <f t="shared" si="1"/>
        <v>100</v>
      </c>
      <c r="V9" s="710" t="s">
        <v>17</v>
      </c>
      <c r="W9" s="711">
        <f t="shared" si="2"/>
        <v>100</v>
      </c>
      <c r="X9" s="712"/>
      <c r="Y9" s="3378" t="s">
        <v>2134</v>
      </c>
      <c r="Z9" s="55" t="str">
        <f t="shared" ref="Z9:Z15" si="7">Q9</f>
        <v>用途</v>
      </c>
      <c r="AA9" s="713">
        <f t="shared" si="3"/>
        <v>1</v>
      </c>
      <c r="AB9" s="713">
        <f t="shared" si="4"/>
        <v>1</v>
      </c>
      <c r="AC9" s="713">
        <f t="shared" si="5"/>
        <v>1</v>
      </c>
    </row>
    <row r="10" spans="1:29" s="386" customFormat="1" ht="28.8">
      <c r="A10" s="380"/>
      <c r="B10" s="381" t="s">
        <v>2135</v>
      </c>
      <c r="C10" s="391">
        <f>项目基本情况!I15</f>
        <v>41.52</v>
      </c>
      <c r="D10" s="132">
        <v>100</v>
      </c>
      <c r="E10" s="391"/>
      <c r="F10" s="132">
        <f>ROUND(100/'数据-取费表'!G16,0)</f>
        <v>106</v>
      </c>
      <c r="G10" s="391"/>
      <c r="H10" s="132">
        <f>ROUND(100/'数据-取费表'!G16,0)</f>
        <v>106</v>
      </c>
      <c r="I10" s="391"/>
      <c r="J10" s="132">
        <f>ROUND(100/'数据-取费表'!G16,0)</f>
        <v>106</v>
      </c>
      <c r="K10" s="628"/>
      <c r="L10" s="2896"/>
      <c r="M10" s="2897"/>
      <c r="N10" s="2897"/>
      <c r="O10" s="2950"/>
      <c r="P10" s="3506"/>
      <c r="Q10" s="1477" t="str">
        <f t="shared" si="6"/>
        <v>土地使用年限（年）</v>
      </c>
      <c r="R10" s="710" t="s">
        <v>17</v>
      </c>
      <c r="S10" s="711">
        <f t="shared" si="0"/>
        <v>106</v>
      </c>
      <c r="T10" s="710" t="s">
        <v>17</v>
      </c>
      <c r="U10" s="711">
        <f t="shared" si="1"/>
        <v>106</v>
      </c>
      <c r="V10" s="710" t="s">
        <v>17</v>
      </c>
      <c r="W10" s="711">
        <f t="shared" si="2"/>
        <v>106</v>
      </c>
      <c r="X10" s="712"/>
      <c r="Y10" s="3378"/>
      <c r="Z10" s="55" t="str">
        <f t="shared" si="7"/>
        <v>土地使用年限（年）</v>
      </c>
      <c r="AA10" s="713">
        <f t="shared" si="3"/>
        <v>0.94339622641509435</v>
      </c>
      <c r="AB10" s="713">
        <f t="shared" si="4"/>
        <v>0.94339622641509435</v>
      </c>
      <c r="AC10" s="713">
        <f t="shared" si="5"/>
        <v>0.94339622641509435</v>
      </c>
    </row>
    <row r="11" spans="1:29" ht="15.6" thickBot="1">
      <c r="A11" s="387"/>
      <c r="B11" s="381" t="s">
        <v>2136</v>
      </c>
      <c r="C11" s="388">
        <v>1.5</v>
      </c>
      <c r="D11" s="132">
        <v>100</v>
      </c>
      <c r="E11" s="388">
        <v>1.2</v>
      </c>
      <c r="F11" s="132">
        <f>LOOKUP(E11,75:75,76:76)-LOOKUP(C11,75:75,76:76)+100</f>
        <v>105</v>
      </c>
      <c r="G11" s="389">
        <v>1.6</v>
      </c>
      <c r="H11" s="132">
        <f>LOOKUP(G11,75:75,76:76)-LOOKUP(C11,75:75,76:76)+100</f>
        <v>100</v>
      </c>
      <c r="I11" s="388">
        <v>1.6</v>
      </c>
      <c r="J11" s="132">
        <f>LOOKUP(I11,75:75,76:76)-LOOKUP(C11,75:75,76:76)+100</f>
        <v>100</v>
      </c>
      <c r="K11" s="629">
        <v>5</v>
      </c>
      <c r="L11" s="2898"/>
      <c r="M11" s="2893"/>
      <c r="N11" s="2893"/>
      <c r="O11" s="2951"/>
      <c r="P11" s="3506"/>
      <c r="Q11" s="1477" t="str">
        <f t="shared" si="6"/>
        <v>容积率</v>
      </c>
      <c r="R11" s="710" t="s">
        <v>17</v>
      </c>
      <c r="S11" s="711">
        <f t="shared" si="0"/>
        <v>105</v>
      </c>
      <c r="T11" s="710" t="s">
        <v>17</v>
      </c>
      <c r="U11" s="711">
        <f t="shared" si="1"/>
        <v>100</v>
      </c>
      <c r="V11" s="710" t="s">
        <v>17</v>
      </c>
      <c r="W11" s="711">
        <f t="shared" si="2"/>
        <v>100</v>
      </c>
      <c r="X11" s="712"/>
      <c r="Y11" s="3378"/>
      <c r="Z11" s="55" t="str">
        <f t="shared" si="7"/>
        <v>容积率</v>
      </c>
      <c r="AA11" s="713">
        <f t="shared" si="3"/>
        <v>0.95238095238095233</v>
      </c>
      <c r="AB11" s="713">
        <f t="shared" si="4"/>
        <v>1</v>
      </c>
      <c r="AC11" s="713">
        <f t="shared" si="5"/>
        <v>1</v>
      </c>
    </row>
    <row r="12" spans="1:29" s="113" customFormat="1" ht="15" hidden="1">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06"/>
      <c r="Q12" s="147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hidden="1">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06"/>
      <c r="Q13" s="147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6" hidden="1"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06"/>
      <c r="Q14" s="147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69">
      <c r="A15" s="399" t="s">
        <v>2137</v>
      </c>
      <c r="B15" s="585" t="s">
        <v>2375</v>
      </c>
      <c r="C15" s="2106" t="str">
        <f>估价对象房地状况!G15</f>
        <v>估价对象位于XX开发区，园区建设成熟度XX，产业集聚程度XX</v>
      </c>
      <c r="D15" s="400">
        <v>100</v>
      </c>
      <c r="E15" s="401"/>
      <c r="F15" s="400">
        <f>SUMIF(83:83,E16,84:84)-SUMIF(83:83,C16,84:84)+100</f>
        <v>110</v>
      </c>
      <c r="G15" s="401"/>
      <c r="H15" s="400">
        <f>SUMIF(83:83,G16,84:84)-SUMIF(83:83,C16,84:84)+100</f>
        <v>110</v>
      </c>
      <c r="I15" s="403"/>
      <c r="J15" s="400">
        <f>SUMIF(83:83,I16,84:84)-SUMIF(83:83,C16,84:84)+100</f>
        <v>110</v>
      </c>
      <c r="K15" s="629">
        <v>5</v>
      </c>
      <c r="L15" s="2899"/>
      <c r="M15" s="2893"/>
      <c r="N15" s="2893"/>
      <c r="O15" s="2951"/>
      <c r="P15" s="3508" t="s">
        <v>2138</v>
      </c>
      <c r="Q15" s="1486" t="str">
        <f t="shared" si="6"/>
        <v>产业集聚程度</v>
      </c>
      <c r="R15" s="714" t="s">
        <v>17</v>
      </c>
      <c r="S15" s="715">
        <f t="shared" si="0"/>
        <v>110</v>
      </c>
      <c r="T15" s="714" t="s">
        <v>17</v>
      </c>
      <c r="U15" s="715">
        <f t="shared" si="1"/>
        <v>110</v>
      </c>
      <c r="V15" s="714" t="s">
        <v>17</v>
      </c>
      <c r="W15" s="715">
        <f t="shared" si="2"/>
        <v>110</v>
      </c>
      <c r="X15" s="1489"/>
      <c r="Y15" s="3508" t="s">
        <v>2138</v>
      </c>
      <c r="Z15" s="1490" t="str">
        <f t="shared" si="7"/>
        <v>产业集聚程度</v>
      </c>
      <c r="AA15" s="1487">
        <f t="shared" si="3"/>
        <v>0.90909090909090906</v>
      </c>
      <c r="AB15" s="1487">
        <f t="shared" si="4"/>
        <v>0.90909090909090906</v>
      </c>
      <c r="AC15" s="1487">
        <f t="shared" si="5"/>
        <v>0.90909090909090906</v>
      </c>
    </row>
    <row r="16" spans="1:29" ht="15">
      <c r="A16" s="387"/>
      <c r="B16" s="586"/>
      <c r="C16" s="406" t="s">
        <v>3500</v>
      </c>
      <c r="D16" s="407"/>
      <c r="E16" s="2039" t="s">
        <v>3501</v>
      </c>
      <c r="F16" s="407"/>
      <c r="G16" s="2039" t="s">
        <v>3501</v>
      </c>
      <c r="H16" s="409"/>
      <c r="I16" s="2039" t="s">
        <v>3501</v>
      </c>
      <c r="J16" s="407"/>
      <c r="K16" s="628"/>
      <c r="L16" s="2899"/>
      <c r="M16" s="2893"/>
      <c r="N16" s="2893"/>
      <c r="O16" s="2951"/>
      <c r="P16" s="3509"/>
      <c r="Q16" s="1486"/>
      <c r="R16" s="714"/>
      <c r="S16" s="715"/>
      <c r="T16" s="714"/>
      <c r="U16" s="715"/>
      <c r="V16" s="714"/>
      <c r="W16" s="715"/>
      <c r="X16" s="1489"/>
      <c r="Y16" s="3509"/>
      <c r="Z16" s="1490"/>
      <c r="AA16" s="1487">
        <v>1</v>
      </c>
      <c r="AB16" s="1487">
        <v>1</v>
      </c>
      <c r="AC16" s="1487">
        <v>1</v>
      </c>
    </row>
    <row r="17" spans="1:29" ht="96.6">
      <c r="A17" s="387"/>
      <c r="B17" s="587" t="s">
        <v>2287</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5</v>
      </c>
      <c r="L17" s="2899"/>
      <c r="M17" s="2893"/>
      <c r="N17" s="2893"/>
      <c r="O17" s="2951"/>
      <c r="P17" s="3509"/>
      <c r="Q17" s="1486" t="str">
        <f>B17</f>
        <v>交通便捷度</v>
      </c>
      <c r="R17" s="714" t="s">
        <v>17</v>
      </c>
      <c r="S17" s="715">
        <f>F17</f>
        <v>100</v>
      </c>
      <c r="T17" s="714" t="s">
        <v>17</v>
      </c>
      <c r="U17" s="715">
        <f>H17</f>
        <v>100</v>
      </c>
      <c r="V17" s="714" t="s">
        <v>17</v>
      </c>
      <c r="W17" s="715">
        <f>J17</f>
        <v>100</v>
      </c>
      <c r="X17" s="1489"/>
      <c r="Y17" s="3509"/>
      <c r="Z17" s="1490" t="str">
        <f>Q17</f>
        <v>交通便捷度</v>
      </c>
      <c r="AA17" s="1487">
        <f t="shared" si="3"/>
        <v>1</v>
      </c>
      <c r="AB17" s="1487">
        <f t="shared" si="4"/>
        <v>1</v>
      </c>
      <c r="AC17" s="1487">
        <f t="shared" si="5"/>
        <v>1</v>
      </c>
    </row>
    <row r="18" spans="1:29" ht="15">
      <c r="A18" s="387"/>
      <c r="B18" s="588"/>
      <c r="C18" s="406" t="s">
        <v>3502</v>
      </c>
      <c r="D18" s="407"/>
      <c r="E18" s="406" t="s">
        <v>3502</v>
      </c>
      <c r="F18" s="407"/>
      <c r="G18" s="406" t="s">
        <v>3502</v>
      </c>
      <c r="H18" s="407"/>
      <c r="I18" s="406" t="s">
        <v>3502</v>
      </c>
      <c r="J18" s="407"/>
      <c r="K18" s="628"/>
      <c r="L18" s="2899"/>
      <c r="M18" s="2893"/>
      <c r="N18" s="2893"/>
      <c r="O18" s="2951"/>
      <c r="P18" s="3509"/>
      <c r="Q18" s="1486"/>
      <c r="R18" s="714"/>
      <c r="S18" s="715"/>
      <c r="T18" s="714"/>
      <c r="U18" s="715"/>
      <c r="V18" s="714"/>
      <c r="W18" s="715"/>
      <c r="X18" s="1489"/>
      <c r="Y18" s="3509"/>
      <c r="Z18" s="1490"/>
      <c r="AA18" s="1487">
        <v>1</v>
      </c>
      <c r="AB18" s="1487">
        <v>1</v>
      </c>
      <c r="AC18" s="1487">
        <v>1</v>
      </c>
    </row>
    <row r="19" spans="1:29" ht="28.8">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509"/>
      <c r="Q19" s="1486" t="str">
        <f t="shared" ref="Q19:Q33" si="8">B19</f>
        <v>区域土地利用方向</v>
      </c>
      <c r="R19" s="714" t="s">
        <v>17</v>
      </c>
      <c r="S19" s="715">
        <f>F19</f>
        <v>100</v>
      </c>
      <c r="T19" s="714" t="s">
        <v>17</v>
      </c>
      <c r="U19" s="715">
        <f>H19</f>
        <v>100</v>
      </c>
      <c r="V19" s="714" t="s">
        <v>17</v>
      </c>
      <c r="W19" s="715">
        <f>J19</f>
        <v>100</v>
      </c>
      <c r="X19" s="1489"/>
      <c r="Y19" s="3509"/>
      <c r="Z19" s="1490" t="str">
        <f>Q19</f>
        <v>区域土地利用方向</v>
      </c>
      <c r="AA19" s="1487">
        <f t="shared" si="3"/>
        <v>1</v>
      </c>
      <c r="AB19" s="1487">
        <f t="shared" si="4"/>
        <v>1</v>
      </c>
      <c r="AC19" s="1487">
        <f t="shared" si="5"/>
        <v>1</v>
      </c>
    </row>
    <row r="20" spans="1:29" ht="15">
      <c r="A20" s="364"/>
      <c r="B20" s="588"/>
      <c r="C20" s="406" t="s">
        <v>3501</v>
      </c>
      <c r="D20" s="407"/>
      <c r="E20" s="406" t="s">
        <v>3501</v>
      </c>
      <c r="F20" s="407"/>
      <c r="G20" s="406" t="s">
        <v>3501</v>
      </c>
      <c r="H20" s="407"/>
      <c r="I20" s="406" t="s">
        <v>3501</v>
      </c>
      <c r="J20" s="407"/>
      <c r="K20" s="751"/>
      <c r="L20" s="2899"/>
      <c r="M20" s="2893"/>
      <c r="N20" s="2893"/>
      <c r="O20" s="2951"/>
      <c r="P20" s="3509"/>
      <c r="Q20" s="1486"/>
      <c r="R20" s="714"/>
      <c r="S20" s="715"/>
      <c r="T20" s="714"/>
      <c r="U20" s="715"/>
      <c r="V20" s="714"/>
      <c r="W20" s="715"/>
      <c r="X20" s="1489"/>
      <c r="Y20" s="3509"/>
      <c r="Z20" s="1490"/>
      <c r="AA20" s="1487"/>
      <c r="AB20" s="1487"/>
      <c r="AC20" s="1487"/>
    </row>
    <row r="21" spans="1:29" ht="82.8">
      <c r="A21" s="364"/>
      <c r="B21" s="587" t="s">
        <v>2376</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509"/>
      <c r="Q21" s="1486" t="str">
        <f t="shared" si="8"/>
        <v>环境状况</v>
      </c>
      <c r="R21" s="714" t="s">
        <v>17</v>
      </c>
      <c r="S21" s="715">
        <f>F21</f>
        <v>100</v>
      </c>
      <c r="T21" s="714" t="s">
        <v>17</v>
      </c>
      <c r="U21" s="715">
        <f>H21</f>
        <v>100</v>
      </c>
      <c r="V21" s="714" t="s">
        <v>17</v>
      </c>
      <c r="W21" s="715">
        <f>J21</f>
        <v>100</v>
      </c>
      <c r="X21" s="1489"/>
      <c r="Y21" s="3509"/>
      <c r="Z21" s="1490" t="str">
        <f>Q21</f>
        <v>环境状况</v>
      </c>
      <c r="AA21" s="1487">
        <f t="shared" si="3"/>
        <v>1</v>
      </c>
      <c r="AB21" s="1487">
        <f t="shared" si="4"/>
        <v>1</v>
      </c>
      <c r="AC21" s="1487">
        <f t="shared" si="5"/>
        <v>1</v>
      </c>
    </row>
    <row r="22" spans="1:29" ht="15">
      <c r="A22" s="364"/>
      <c r="B22" s="588"/>
      <c r="C22" s="406" t="s">
        <v>3502</v>
      </c>
      <c r="D22" s="407"/>
      <c r="E22" s="2039" t="s">
        <v>3502</v>
      </c>
      <c r="F22" s="407"/>
      <c r="G22" s="2039" t="s">
        <v>3502</v>
      </c>
      <c r="H22" s="407"/>
      <c r="I22" s="2039" t="s">
        <v>3502</v>
      </c>
      <c r="J22" s="407"/>
      <c r="K22" s="628"/>
      <c r="L22" s="2899"/>
      <c r="M22" s="2893"/>
      <c r="N22" s="2893"/>
      <c r="O22" s="2951"/>
      <c r="P22" s="3509"/>
      <c r="Q22" s="1486"/>
      <c r="R22" s="714"/>
      <c r="S22" s="715"/>
      <c r="T22" s="714"/>
      <c r="U22" s="715"/>
      <c r="V22" s="714"/>
      <c r="W22" s="715"/>
      <c r="X22" s="1489"/>
      <c r="Y22" s="3509"/>
      <c r="Z22" s="1490"/>
      <c r="AA22" s="1487">
        <v>1</v>
      </c>
      <c r="AB22" s="1487">
        <v>1</v>
      </c>
      <c r="AC22" s="1487">
        <v>1</v>
      </c>
    </row>
    <row r="23" spans="1:29" s="113" customFormat="1" ht="41.4">
      <c r="A23" s="605"/>
      <c r="B23" s="589" t="s">
        <v>2232</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3</v>
      </c>
      <c r="L23" s="2894"/>
      <c r="M23" s="2895"/>
      <c r="N23" s="2895"/>
      <c r="O23" s="2949"/>
      <c r="P23" s="3509"/>
      <c r="Q23" s="1477" t="str">
        <f t="shared" si="8"/>
        <v>公共配套设施</v>
      </c>
      <c r="R23" s="710" t="s">
        <v>17</v>
      </c>
      <c r="S23" s="711">
        <f>F23</f>
        <v>100</v>
      </c>
      <c r="T23" s="710" t="s">
        <v>17</v>
      </c>
      <c r="U23" s="711">
        <f>H23</f>
        <v>100</v>
      </c>
      <c r="V23" s="710" t="s">
        <v>17</v>
      </c>
      <c r="W23" s="711">
        <f>J23</f>
        <v>100</v>
      </c>
      <c r="X23" s="712"/>
      <c r="Y23" s="3509"/>
      <c r="Z23" s="55" t="str">
        <f>Q23</f>
        <v>公共配套设施</v>
      </c>
      <c r="AA23" s="1487">
        <f>D23/F23</f>
        <v>1</v>
      </c>
      <c r="AB23" s="1487">
        <f>D23/H23</f>
        <v>1</v>
      </c>
      <c r="AC23" s="1487">
        <f>D23/J23</f>
        <v>1</v>
      </c>
    </row>
    <row r="24" spans="1:29" s="113" customFormat="1" ht="15">
      <c r="A24" s="605"/>
      <c r="B24" s="588"/>
      <c r="C24" s="2113" t="s">
        <v>3502</v>
      </c>
      <c r="D24" s="407"/>
      <c r="E24" s="2113" t="s">
        <v>3502</v>
      </c>
      <c r="F24" s="407"/>
      <c r="G24" s="2113" t="s">
        <v>3502</v>
      </c>
      <c r="H24" s="407"/>
      <c r="I24" s="2113" t="s">
        <v>3502</v>
      </c>
      <c r="J24" s="407"/>
      <c r="K24" s="628"/>
      <c r="L24" s="2894"/>
      <c r="M24" s="2895"/>
      <c r="N24" s="2895"/>
      <c r="O24" s="2949"/>
      <c r="P24" s="3509"/>
      <c r="Q24" s="1477"/>
      <c r="R24" s="710"/>
      <c r="S24" s="711"/>
      <c r="T24" s="710"/>
      <c r="U24" s="711"/>
      <c r="V24" s="710"/>
      <c r="W24" s="711"/>
      <c r="X24" s="712"/>
      <c r="Y24" s="3509"/>
      <c r="Z24" s="55"/>
      <c r="AA24" s="713">
        <v>1</v>
      </c>
      <c r="AB24" s="713">
        <v>1</v>
      </c>
      <c r="AC24" s="713">
        <v>1</v>
      </c>
    </row>
    <row r="25" spans="1:29" s="113" customFormat="1" ht="41.4">
      <c r="A25" s="605"/>
      <c r="B25" s="589" t="s">
        <v>2233</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509"/>
      <c r="Q25" s="1477" t="str">
        <f t="shared" ref="Q25" si="9">B25</f>
        <v>基础设施水平</v>
      </c>
      <c r="R25" s="710" t="s">
        <v>17</v>
      </c>
      <c r="S25" s="711">
        <f>F25</f>
        <v>100</v>
      </c>
      <c r="T25" s="710" t="s">
        <v>17</v>
      </c>
      <c r="U25" s="711">
        <f>H25</f>
        <v>100</v>
      </c>
      <c r="V25" s="710" t="s">
        <v>17</v>
      </c>
      <c r="W25" s="711">
        <f>J25</f>
        <v>100</v>
      </c>
      <c r="X25" s="712"/>
      <c r="Y25" s="3509"/>
      <c r="Z25" s="55" t="str">
        <f>Q25</f>
        <v>基础设施水平</v>
      </c>
      <c r="AA25" s="1487">
        <f>D25/F25</f>
        <v>1</v>
      </c>
      <c r="AB25" s="1487">
        <f>D25/H25</f>
        <v>1</v>
      </c>
      <c r="AC25" s="1487">
        <f>D25/J25</f>
        <v>1</v>
      </c>
    </row>
    <row r="26" spans="1:29" s="113" customFormat="1" ht="15.6" thickBot="1">
      <c r="A26" s="605"/>
      <c r="B26" s="588"/>
      <c r="C26" s="2113" t="s">
        <v>3503</v>
      </c>
      <c r="D26" s="407"/>
      <c r="E26" s="2113" t="s">
        <v>3503</v>
      </c>
      <c r="F26" s="407"/>
      <c r="G26" s="2113" t="s">
        <v>3503</v>
      </c>
      <c r="H26" s="407"/>
      <c r="I26" s="2113" t="s">
        <v>3503</v>
      </c>
      <c r="J26" s="407"/>
      <c r="K26" s="628"/>
      <c r="L26" s="2894"/>
      <c r="M26" s="2895"/>
      <c r="N26" s="2895"/>
      <c r="O26" s="2949"/>
      <c r="P26" s="3509"/>
      <c r="Q26" s="1477"/>
      <c r="R26" s="710"/>
      <c r="S26" s="711"/>
      <c r="T26" s="710"/>
      <c r="U26" s="711"/>
      <c r="V26" s="710"/>
      <c r="W26" s="711"/>
      <c r="X26" s="712"/>
      <c r="Y26" s="3509"/>
      <c r="Z26" s="55"/>
      <c r="AA26" s="713">
        <v>1</v>
      </c>
      <c r="AB26" s="713">
        <v>1</v>
      </c>
      <c r="AC26" s="713">
        <v>1</v>
      </c>
    </row>
    <row r="27" spans="1:29" ht="15" hidden="1">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09"/>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09"/>
      <c r="Z27" s="1490" t="str">
        <f t="shared" ref="Z27:Z40" si="13">Q27</f>
        <v>临街状况</v>
      </c>
      <c r="AA27" s="1487">
        <f t="shared" si="3"/>
        <v>1</v>
      </c>
      <c r="AB27" s="1487">
        <f t="shared" si="4"/>
        <v>1</v>
      </c>
      <c r="AC27" s="1487">
        <f t="shared" si="5"/>
        <v>1</v>
      </c>
    </row>
    <row r="28" spans="1:29" ht="28.8" hidden="1">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09"/>
      <c r="Q28" s="1486" t="str">
        <f t="shared" si="8"/>
        <v>毗邻道路的类型与等级</v>
      </c>
      <c r="R28" s="714" t="s">
        <v>17</v>
      </c>
      <c r="S28" s="715">
        <f t="shared" si="10"/>
        <v>100</v>
      </c>
      <c r="T28" s="714" t="s">
        <v>17</v>
      </c>
      <c r="U28" s="715">
        <f t="shared" si="11"/>
        <v>100</v>
      </c>
      <c r="V28" s="714" t="s">
        <v>17</v>
      </c>
      <c r="W28" s="715">
        <f t="shared" si="12"/>
        <v>100</v>
      </c>
      <c r="X28" s="1489"/>
      <c r="Y28" s="3509"/>
      <c r="Z28" s="1490" t="str">
        <f t="shared" si="13"/>
        <v>毗邻道路的类型与等级</v>
      </c>
      <c r="AA28" s="1487">
        <f t="shared" si="3"/>
        <v>1</v>
      </c>
      <c r="AB28" s="1487">
        <f t="shared" si="4"/>
        <v>1</v>
      </c>
      <c r="AC28" s="1487">
        <f t="shared" si="5"/>
        <v>1</v>
      </c>
    </row>
    <row r="29" spans="1:29" ht="15" hidden="1">
      <c r="A29" s="387"/>
      <c r="B29" s="588"/>
      <c r="C29" s="406"/>
      <c r="D29" s="407"/>
      <c r="E29" s="2039"/>
      <c r="F29" s="407"/>
      <c r="G29" s="2039"/>
      <c r="H29" s="407"/>
      <c r="I29" s="2039"/>
      <c r="J29" s="407"/>
      <c r="K29" s="570"/>
      <c r="L29" s="2899"/>
      <c r="M29" s="2893"/>
      <c r="N29" s="2893"/>
      <c r="O29" s="2951"/>
      <c r="P29" s="3509"/>
      <c r="Q29" s="1486"/>
      <c r="R29" s="714"/>
      <c r="S29" s="715"/>
      <c r="T29" s="714"/>
      <c r="U29" s="715"/>
      <c r="V29" s="714"/>
      <c r="W29" s="715"/>
      <c r="X29" s="1489"/>
      <c r="Y29" s="3509"/>
      <c r="Z29" s="1490"/>
      <c r="AA29" s="1487">
        <v>1</v>
      </c>
      <c r="AB29" s="1487">
        <v>1</v>
      </c>
      <c r="AC29" s="1487">
        <v>1</v>
      </c>
    </row>
    <row r="30" spans="1:29" ht="15" hidden="1">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09"/>
      <c r="Q30" s="1486" t="str">
        <f t="shared" si="8"/>
        <v>土地级别</v>
      </c>
      <c r="R30" s="714" t="s">
        <v>17</v>
      </c>
      <c r="S30" s="715">
        <f t="shared" si="10"/>
        <v>100</v>
      </c>
      <c r="T30" s="714" t="s">
        <v>17</v>
      </c>
      <c r="U30" s="715">
        <f t="shared" si="11"/>
        <v>100</v>
      </c>
      <c r="V30" s="714" t="s">
        <v>17</v>
      </c>
      <c r="W30" s="715">
        <f t="shared" si="12"/>
        <v>100</v>
      </c>
      <c r="X30" s="1489"/>
      <c r="Y30" s="3509"/>
      <c r="Z30" s="1490" t="str">
        <f t="shared" si="13"/>
        <v>土地级别</v>
      </c>
      <c r="AA30" s="1487">
        <f t="shared" si="3"/>
        <v>1</v>
      </c>
      <c r="AB30" s="1487">
        <f t="shared" si="4"/>
        <v>1</v>
      </c>
      <c r="AC30" s="1487">
        <f t="shared" si="5"/>
        <v>1</v>
      </c>
    </row>
    <row r="31" spans="1:29" ht="15" hidden="1">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09"/>
      <c r="Q31" s="1486">
        <f t="shared" si="8"/>
        <v>111</v>
      </c>
      <c r="R31" s="714" t="s">
        <v>17</v>
      </c>
      <c r="S31" s="715">
        <f t="shared" si="10"/>
        <v>100</v>
      </c>
      <c r="T31" s="714" t="s">
        <v>17</v>
      </c>
      <c r="U31" s="715">
        <f t="shared" si="11"/>
        <v>100</v>
      </c>
      <c r="V31" s="714" t="s">
        <v>17</v>
      </c>
      <c r="W31" s="715">
        <f t="shared" si="12"/>
        <v>100</v>
      </c>
      <c r="X31" s="1489"/>
      <c r="Y31" s="3509"/>
      <c r="Z31" s="1490">
        <f t="shared" si="13"/>
        <v>111</v>
      </c>
      <c r="AA31" s="1487">
        <f t="shared" si="3"/>
        <v>1</v>
      </c>
      <c r="AB31" s="1487">
        <f t="shared" si="4"/>
        <v>1</v>
      </c>
      <c r="AC31" s="1487">
        <f t="shared" si="5"/>
        <v>1</v>
      </c>
    </row>
    <row r="32" spans="1:29" ht="15" hidden="1">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64" t="s">
        <v>2143</v>
      </c>
      <c r="Q32" s="1486">
        <f t="shared" si="8"/>
        <v>111</v>
      </c>
      <c r="R32" s="714" t="s">
        <v>17</v>
      </c>
      <c r="S32" s="715">
        <f t="shared" si="10"/>
        <v>100</v>
      </c>
      <c r="T32" s="714" t="s">
        <v>17</v>
      </c>
      <c r="U32" s="715">
        <f t="shared" si="11"/>
        <v>100</v>
      </c>
      <c r="V32" s="714" t="s">
        <v>17</v>
      </c>
      <c r="W32" s="715">
        <f t="shared" si="12"/>
        <v>100</v>
      </c>
      <c r="X32" s="1489"/>
      <c r="Y32" s="3513" t="s">
        <v>2143</v>
      </c>
      <c r="Z32" s="1490">
        <f t="shared" si="13"/>
        <v>111</v>
      </c>
      <c r="AA32" s="1487">
        <f t="shared" si="3"/>
        <v>1</v>
      </c>
      <c r="AB32" s="1487">
        <f t="shared" si="4"/>
        <v>1</v>
      </c>
      <c r="AC32" s="1487">
        <f t="shared" si="5"/>
        <v>1</v>
      </c>
    </row>
    <row r="33" spans="1:31" s="430" customFormat="1" ht="15.6" hidden="1"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13"/>
      <c r="Q33" s="1486">
        <f t="shared" si="8"/>
        <v>111</v>
      </c>
      <c r="R33" s="717" t="s">
        <v>17</v>
      </c>
      <c r="S33" s="718">
        <f t="shared" si="10"/>
        <v>100</v>
      </c>
      <c r="T33" s="717" t="s">
        <v>17</v>
      </c>
      <c r="U33" s="718">
        <f t="shared" si="11"/>
        <v>100</v>
      </c>
      <c r="V33" s="717" t="s">
        <v>17</v>
      </c>
      <c r="W33" s="718">
        <f t="shared" si="12"/>
        <v>100</v>
      </c>
      <c r="X33" s="719"/>
      <c r="Y33" s="3513"/>
      <c r="Z33" s="720">
        <f t="shared" si="13"/>
        <v>111</v>
      </c>
      <c r="AA33" s="1487">
        <f t="shared" si="3"/>
        <v>1</v>
      </c>
      <c r="AB33" s="1487">
        <f t="shared" si="4"/>
        <v>1</v>
      </c>
      <c r="AC33" s="1487">
        <f t="shared" si="5"/>
        <v>1</v>
      </c>
    </row>
    <row r="34" spans="1:31" ht="15">
      <c r="A34" s="399" t="s">
        <v>2141</v>
      </c>
      <c r="B34" s="415" t="s">
        <v>2329</v>
      </c>
      <c r="C34" s="635">
        <f>'数据-基础表'!A3</f>
        <v>119876.49</v>
      </c>
      <c r="D34" s="426">
        <v>100</v>
      </c>
      <c r="E34" s="635">
        <f>土地案例!G6</f>
        <v>20000</v>
      </c>
      <c r="F34" s="426">
        <f>LOOKUP(E34,108:108,109:109)-LOOKUP(C34,108:108,109:109)+100</f>
        <v>98</v>
      </c>
      <c r="G34" s="635">
        <f>土地案例!G3</f>
        <v>63922.57</v>
      </c>
      <c r="H34" s="426">
        <f>LOOKUP(G34,108:108,109:109)-LOOKUP(C34,108:108,109:109)+100</f>
        <v>99</v>
      </c>
      <c r="I34" s="487">
        <f>土地案例!G5</f>
        <v>65233.04</v>
      </c>
      <c r="J34" s="426">
        <f>LOOKUP(I34,108:108,109:109)-LOOKUP(C34,108:108,109:109)+100</f>
        <v>99</v>
      </c>
      <c r="K34" s="570"/>
      <c r="L34" s="2899"/>
      <c r="M34" s="2893"/>
      <c r="N34" s="2893"/>
      <c r="O34" s="2951"/>
      <c r="P34" s="3513"/>
      <c r="Q34" s="1486" t="str">
        <f>B34</f>
        <v>宗地面积</v>
      </c>
      <c r="R34" s="714" t="s">
        <v>17</v>
      </c>
      <c r="S34" s="715">
        <f t="shared" si="10"/>
        <v>98</v>
      </c>
      <c r="T34" s="714" t="s">
        <v>17</v>
      </c>
      <c r="U34" s="715">
        <f t="shared" si="11"/>
        <v>99</v>
      </c>
      <c r="V34" s="714" t="s">
        <v>17</v>
      </c>
      <c r="W34" s="715">
        <f t="shared" si="12"/>
        <v>99</v>
      </c>
      <c r="X34" s="1489"/>
      <c r="Y34" s="3513"/>
      <c r="Z34" s="1490" t="str">
        <f t="shared" si="13"/>
        <v>宗地面积</v>
      </c>
      <c r="AA34" s="1487">
        <f t="shared" si="3"/>
        <v>1.0204081632653061</v>
      </c>
      <c r="AB34" s="1487">
        <f t="shared" si="4"/>
        <v>1.0101010101010102</v>
      </c>
      <c r="AC34" s="1487">
        <f t="shared" si="5"/>
        <v>1.0101010101010102</v>
      </c>
    </row>
    <row r="35" spans="1:31" ht="15">
      <c r="A35" s="431"/>
      <c r="B35" s="381" t="s">
        <v>2330</v>
      </c>
      <c r="C35" s="2041" t="s">
        <v>3504</v>
      </c>
      <c r="D35" s="394">
        <v>100</v>
      </c>
      <c r="E35" s="2041" t="s">
        <v>3504</v>
      </c>
      <c r="F35" s="394">
        <f>SUMIF(110:110,E35,111:111)-SUMIF(110:110,C35,111:111)+100</f>
        <v>100</v>
      </c>
      <c r="G35" s="2041" t="s">
        <v>3504</v>
      </c>
      <c r="H35" s="394">
        <f>SUMIF(110:110,G35,111:111)-SUMIF(110:110,C35,111:111)+100</f>
        <v>100</v>
      </c>
      <c r="I35" s="2041" t="s">
        <v>3504</v>
      </c>
      <c r="J35" s="394">
        <f>SUMIF(110:110,I35,111:111)-SUMIF(110:110,C35,111:111)+100</f>
        <v>100</v>
      </c>
      <c r="K35" s="569">
        <v>1</v>
      </c>
      <c r="L35" s="2899"/>
      <c r="M35" s="2893"/>
      <c r="N35" s="2893"/>
      <c r="O35" s="2951"/>
      <c r="P35" s="3513"/>
      <c r="Q35" s="1486" t="str">
        <f t="shared" ref="Q35:Q40" si="14">B35</f>
        <v>宗地形状</v>
      </c>
      <c r="R35" s="714" t="s">
        <v>17</v>
      </c>
      <c r="S35" s="715">
        <f t="shared" si="10"/>
        <v>100</v>
      </c>
      <c r="T35" s="714" t="s">
        <v>17</v>
      </c>
      <c r="U35" s="715">
        <f t="shared" si="11"/>
        <v>100</v>
      </c>
      <c r="V35" s="714" t="s">
        <v>17</v>
      </c>
      <c r="W35" s="715">
        <f t="shared" si="12"/>
        <v>100</v>
      </c>
      <c r="X35" s="1489"/>
      <c r="Y35" s="3513"/>
      <c r="Z35" s="1490" t="str">
        <f t="shared" si="13"/>
        <v>宗地形状</v>
      </c>
      <c r="AA35" s="1487">
        <f t="shared" si="3"/>
        <v>1</v>
      </c>
      <c r="AB35" s="1487">
        <f t="shared" si="4"/>
        <v>1</v>
      </c>
      <c r="AC35" s="1487">
        <f t="shared" si="5"/>
        <v>1</v>
      </c>
    </row>
    <row r="36" spans="1:31" s="113" customFormat="1" ht="15">
      <c r="A36" s="432"/>
      <c r="B36" s="381" t="s">
        <v>2332</v>
      </c>
      <c r="C36" s="2115" t="s">
        <v>3665</v>
      </c>
      <c r="D36" s="132">
        <v>100</v>
      </c>
      <c r="E36" s="2115" t="s">
        <v>3508</v>
      </c>
      <c r="F36" s="394">
        <f>SUMIF(112:112,E36,113:113)-SUMIF(112:112,C36,113:113)+100</f>
        <v>99.5</v>
      </c>
      <c r="G36" s="2115" t="s">
        <v>3508</v>
      </c>
      <c r="H36" s="394">
        <f>SUMIF(112:112,G36,113:113)-SUMIF(112:112,C36,113:113)+100</f>
        <v>99.5</v>
      </c>
      <c r="I36" s="2115" t="s">
        <v>3508</v>
      </c>
      <c r="J36" s="394">
        <f>SUMIF(112:112,I36,113:113)-SUMIF(112:112,C36,113:113)+100</f>
        <v>99.5</v>
      </c>
      <c r="K36" s="569">
        <v>0.5</v>
      </c>
      <c r="L36" s="2894"/>
      <c r="M36" s="2895"/>
      <c r="N36" s="2895"/>
      <c r="O36" s="2949"/>
      <c r="P36" s="3513"/>
      <c r="Q36" s="1486" t="str">
        <f t="shared" si="14"/>
        <v>宗地开发程度</v>
      </c>
      <c r="R36" s="710" t="s">
        <v>17</v>
      </c>
      <c r="S36" s="711">
        <f t="shared" si="10"/>
        <v>99.5</v>
      </c>
      <c r="T36" s="710" t="s">
        <v>17</v>
      </c>
      <c r="U36" s="711">
        <f t="shared" si="11"/>
        <v>99.5</v>
      </c>
      <c r="V36" s="710" t="s">
        <v>17</v>
      </c>
      <c r="W36" s="711">
        <f t="shared" si="12"/>
        <v>99.5</v>
      </c>
      <c r="X36" s="712"/>
      <c r="Y36" s="3513"/>
      <c r="Z36" s="55" t="str">
        <f t="shared" si="13"/>
        <v>宗地开发程度</v>
      </c>
      <c r="AA36" s="713">
        <f t="shared" si="3"/>
        <v>1.0050251256281406</v>
      </c>
      <c r="AB36" s="713">
        <f t="shared" si="4"/>
        <v>1.0050251256281406</v>
      </c>
      <c r="AC36" s="713">
        <f t="shared" si="5"/>
        <v>1.0050251256281406</v>
      </c>
    </row>
    <row r="37" spans="1:31" ht="15.6" thickBot="1">
      <c r="A37" s="431"/>
      <c r="B37" s="381" t="s">
        <v>2333</v>
      </c>
      <c r="C37" s="2041" t="s">
        <v>3501</v>
      </c>
      <c r="D37" s="394">
        <v>100</v>
      </c>
      <c r="E37" s="2041" t="s">
        <v>3501</v>
      </c>
      <c r="F37" s="394">
        <f>SUMIF(114:114,E37,115:115)-SUMIF(114:114,C37,115:115)+100</f>
        <v>100</v>
      </c>
      <c r="G37" s="2041" t="s">
        <v>3501</v>
      </c>
      <c r="H37" s="394">
        <f>SUMIF(114:114,G37,115:115)-SUMIF(114:114,C37,115:115)+100</f>
        <v>100</v>
      </c>
      <c r="I37" s="2041" t="s">
        <v>3501</v>
      </c>
      <c r="J37" s="394">
        <f>SUMIF(114:114,I37,115:115)-SUMIF(114:114,C37,115:115)+100</f>
        <v>100</v>
      </c>
      <c r="K37" s="569">
        <v>1</v>
      </c>
      <c r="L37" s="2899"/>
      <c r="M37" s="2893"/>
      <c r="N37" s="2893"/>
      <c r="O37" s="2951"/>
      <c r="P37" s="3513" t="s">
        <v>2143</v>
      </c>
      <c r="Q37" s="1486" t="str">
        <f t="shared" si="14"/>
        <v>工程地质条件</v>
      </c>
      <c r="R37" s="714" t="s">
        <v>17</v>
      </c>
      <c r="S37" s="715">
        <f t="shared" si="10"/>
        <v>100</v>
      </c>
      <c r="T37" s="714" t="s">
        <v>17</v>
      </c>
      <c r="U37" s="715">
        <f t="shared" si="11"/>
        <v>100</v>
      </c>
      <c r="V37" s="714" t="s">
        <v>17</v>
      </c>
      <c r="W37" s="715">
        <f t="shared" si="12"/>
        <v>100</v>
      </c>
      <c r="X37" s="1489"/>
      <c r="Y37" s="3513" t="s">
        <v>2143</v>
      </c>
      <c r="Z37" s="1490" t="str">
        <f t="shared" si="13"/>
        <v>工程地质条件</v>
      </c>
      <c r="AA37" s="1487">
        <f t="shared" si="3"/>
        <v>1</v>
      </c>
      <c r="AB37" s="1487">
        <f t="shared" si="4"/>
        <v>1</v>
      </c>
      <c r="AC37" s="1487">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13"/>
      <c r="Q38" s="1486">
        <f t="shared" si="14"/>
        <v>111</v>
      </c>
      <c r="R38" s="714" t="s">
        <v>17</v>
      </c>
      <c r="S38" s="715">
        <f t="shared" si="10"/>
        <v>100</v>
      </c>
      <c r="T38" s="714" t="s">
        <v>17</v>
      </c>
      <c r="U38" s="715">
        <f t="shared" si="11"/>
        <v>100</v>
      </c>
      <c r="V38" s="714" t="s">
        <v>17</v>
      </c>
      <c r="W38" s="715">
        <f t="shared" si="12"/>
        <v>100</v>
      </c>
      <c r="X38" s="1489"/>
      <c r="Y38" s="3513"/>
      <c r="Z38" s="1490">
        <f t="shared" si="13"/>
        <v>111</v>
      </c>
      <c r="AA38" s="1487">
        <f t="shared" si="3"/>
        <v>1</v>
      </c>
      <c r="AB38" s="1487">
        <f t="shared" si="4"/>
        <v>1</v>
      </c>
      <c r="AC38" s="1487">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13"/>
      <c r="Q39" s="1486">
        <f t="shared" si="14"/>
        <v>111</v>
      </c>
      <c r="R39" s="714" t="s">
        <v>17</v>
      </c>
      <c r="S39" s="715">
        <f t="shared" si="10"/>
        <v>100</v>
      </c>
      <c r="T39" s="714" t="s">
        <v>17</v>
      </c>
      <c r="U39" s="715">
        <f t="shared" si="11"/>
        <v>100</v>
      </c>
      <c r="V39" s="714" t="s">
        <v>17</v>
      </c>
      <c r="W39" s="715">
        <f t="shared" si="12"/>
        <v>100</v>
      </c>
      <c r="X39" s="1489"/>
      <c r="Y39" s="3513"/>
      <c r="Z39" s="1490">
        <f t="shared" si="13"/>
        <v>111</v>
      </c>
      <c r="AA39" s="1487">
        <f t="shared" si="3"/>
        <v>1</v>
      </c>
      <c r="AB39" s="1487">
        <f t="shared" si="4"/>
        <v>1</v>
      </c>
      <c r="AC39" s="1487">
        <f t="shared" si="5"/>
        <v>1</v>
      </c>
    </row>
    <row r="40" spans="1:31" s="430" customFormat="1" ht="15.6" hidden="1"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13"/>
      <c r="Q40" s="1486">
        <f t="shared" si="14"/>
        <v>111</v>
      </c>
      <c r="R40" s="717" t="s">
        <v>17</v>
      </c>
      <c r="S40" s="718">
        <f t="shared" si="10"/>
        <v>100</v>
      </c>
      <c r="T40" s="717" t="s">
        <v>17</v>
      </c>
      <c r="U40" s="718">
        <f t="shared" si="11"/>
        <v>100</v>
      </c>
      <c r="V40" s="717" t="s">
        <v>17</v>
      </c>
      <c r="W40" s="718">
        <f t="shared" si="12"/>
        <v>100</v>
      </c>
      <c r="X40" s="719"/>
      <c r="Y40" s="3513"/>
      <c r="Z40" s="720">
        <f t="shared" si="13"/>
        <v>111</v>
      </c>
      <c r="AA40" s="1487">
        <f t="shared" si="3"/>
        <v>1</v>
      </c>
      <c r="AB40" s="1487">
        <f t="shared" si="4"/>
        <v>1</v>
      </c>
      <c r="AC40" s="1487">
        <f t="shared" si="5"/>
        <v>1</v>
      </c>
    </row>
    <row r="41" spans="1:31" ht="14.4">
      <c r="A41" s="438" t="s">
        <v>2298</v>
      </c>
      <c r="B41" s="2117" t="s">
        <v>3507</v>
      </c>
      <c r="C41" s="638" t="s">
        <v>1</v>
      </c>
      <c r="D41" s="440"/>
      <c r="E41" s="441">
        <f>土地案例!AD6</f>
        <v>2071</v>
      </c>
      <c r="F41" s="442"/>
      <c r="G41" s="443">
        <f>土地案例!AD3</f>
        <v>2045</v>
      </c>
      <c r="H41" s="444"/>
      <c r="I41" s="441">
        <f>土地案例!AD5</f>
        <v>2036</v>
      </c>
      <c r="J41" s="444"/>
      <c r="K41" s="723"/>
      <c r="L41" s="2901"/>
      <c r="M41" s="2893"/>
      <c r="N41" s="2893"/>
      <c r="O41" s="2902"/>
      <c r="P41" s="3506" t="str">
        <f>A41</f>
        <v>成交单价</v>
      </c>
      <c r="Q41" s="3506"/>
      <c r="R41" s="3537">
        <f>E41</f>
        <v>2071</v>
      </c>
      <c r="S41" s="3537"/>
      <c r="T41" s="3537">
        <f>G41</f>
        <v>2045</v>
      </c>
      <c r="U41" s="3537"/>
      <c r="V41" s="3537">
        <f>I41</f>
        <v>2036</v>
      </c>
      <c r="W41" s="3537"/>
      <c r="X41" s="699"/>
      <c r="Y41" s="721"/>
      <c r="Z41" s="699"/>
      <c r="AA41" s="699"/>
      <c r="AB41" s="699"/>
      <c r="AC41" s="699"/>
    </row>
    <row r="42" spans="1:31" ht="15" thickBot="1">
      <c r="A42" s="445" t="s">
        <v>2247</v>
      </c>
      <c r="B42" s="639"/>
      <c r="C42" s="448">
        <f>R43</f>
        <v>1802</v>
      </c>
      <c r="D42" s="2487" t="s">
        <v>2636</v>
      </c>
      <c r="E42" s="448">
        <f>R42</f>
        <v>1785</v>
      </c>
      <c r="F42" s="2488"/>
      <c r="G42" s="447">
        <f>T42</f>
        <v>1806</v>
      </c>
      <c r="H42" s="2488"/>
      <c r="I42" s="448">
        <f>V42</f>
        <v>1816</v>
      </c>
      <c r="J42" s="2488"/>
      <c r="K42" s="2490">
        <f>F42+H42+J42</f>
        <v>0</v>
      </c>
      <c r="L42" s="2901"/>
      <c r="M42" s="2893"/>
      <c r="N42" s="2893"/>
      <c r="O42" s="2902"/>
      <c r="P42" s="3506" t="str">
        <f>A42</f>
        <v>比较价值（元/平方米）</v>
      </c>
      <c r="Q42" s="3506"/>
      <c r="R42" s="3566">
        <f>ROUND(PRODUCT(R41,AA7:AA40),0)</f>
        <v>1785</v>
      </c>
      <c r="S42" s="3566"/>
      <c r="T42" s="3566">
        <f>ROUND(PRODUCT(T41,AB7:AB40),0)</f>
        <v>1806</v>
      </c>
      <c r="U42" s="3566"/>
      <c r="V42" s="3566">
        <f>ROUND(PRODUCT(V41,AC7:AC40),0)</f>
        <v>1816</v>
      </c>
      <c r="W42" s="3566"/>
      <c r="X42" s="699"/>
      <c r="Y42" s="699"/>
      <c r="Z42" s="699"/>
      <c r="AA42" s="699"/>
      <c r="AB42" s="699"/>
      <c r="AC42" s="699"/>
    </row>
    <row r="43" spans="1:31" ht="15" thickBot="1">
      <c r="A43" s="449" t="s">
        <v>2248</v>
      </c>
      <c r="B43" s="450"/>
      <c r="C43" s="451">
        <f>R43</f>
        <v>1802</v>
      </c>
      <c r="D43" s="451"/>
      <c r="E43" s="451"/>
      <c r="F43" s="451"/>
      <c r="G43" s="451"/>
      <c r="H43" s="451"/>
      <c r="I43" s="451"/>
      <c r="J43" s="451"/>
      <c r="K43" s="724"/>
      <c r="L43" s="2901"/>
      <c r="M43" s="2893"/>
      <c r="N43" s="2893"/>
      <c r="O43" s="2902"/>
      <c r="P43" s="3503" t="str">
        <f>A43</f>
        <v>估价对象XX用房的比较价值（楼面单价，元/平方米）</v>
      </c>
      <c r="Q43" s="3504"/>
      <c r="R43" s="3567">
        <f>ROUND(IF(D42="简单平均",AVERAGE(R42:W42),R42*F42+T42*H42+V42*J42),0)</f>
        <v>1802</v>
      </c>
      <c r="S43" s="3567"/>
      <c r="T43" s="3567"/>
      <c r="U43" s="3567"/>
      <c r="V43" s="3567"/>
      <c r="W43" s="3567"/>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2249</v>
      </c>
      <c r="D46" s="455"/>
      <c r="E46" s="456">
        <f>IF(E41&lt;E42,E42/E41-1,E41/E42-1)</f>
        <v>0.16022408963585444</v>
      </c>
      <c r="F46" s="457" t="str">
        <f>IF(OR(E46&gt;=0.3,E46&lt;=-0.3),"超过30%","")</f>
        <v/>
      </c>
      <c r="G46" s="456">
        <f>IF(G41&lt;G42,G42/G41-1,G41/G42-1)</f>
        <v>0.13233665559246965</v>
      </c>
      <c r="H46" s="457" t="str">
        <f>IF(OR(G46&gt;=0.3,G46&lt;=-0.3),"超过30%","")</f>
        <v/>
      </c>
      <c r="I46" s="456">
        <f>IF(I41&lt;I42,I42/I41-1,I41/I42-1)</f>
        <v>0.12114537444933915</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2250</v>
      </c>
      <c r="D47" s="458"/>
      <c r="E47" s="456">
        <f>IF(E42&lt;G42,G42/E42-1,E42/G42-1)</f>
        <v>1.1764705882352899E-2</v>
      </c>
      <c r="F47" s="457" t="str">
        <f>IF(OR(E47&gt;=0.2,E47&lt;=-0.2),"超过20%","")</f>
        <v/>
      </c>
      <c r="G47" s="456">
        <f>IF(G42&lt;I42,I42/G42-1,G42/I42-1)</f>
        <v>5.5370985603544476E-3</v>
      </c>
      <c r="H47" s="457" t="str">
        <f>IF(OR(G47&gt;=0.2,G47&lt;=-0.2),"超过20%","")</f>
        <v/>
      </c>
      <c r="I47" s="456">
        <f>IF(I42&lt;E42,E42/I42-1,I42/E42-1)</f>
        <v>1.7366946778711423E-2</v>
      </c>
      <c r="J47" s="457" t="str">
        <f>IF(OR(I47&gt;=0.2,I47&lt;=-0.2),"超过20%","")</f>
        <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2251</v>
      </c>
      <c r="D48" s="458"/>
      <c r="E48" s="456">
        <f>IF(E41&lt;G41,G41/E41-1,E41/G41-1)</f>
        <v>1.2713936430317929E-2</v>
      </c>
      <c r="F48" s="457" t="str">
        <f>IF(OR(E48&gt;=0.3,E48&lt;=-0.3),"超过30%","")</f>
        <v/>
      </c>
      <c r="G48" s="456">
        <f>IF(G41&lt;I41,I41/G41-1,G41/I41-1)</f>
        <v>4.4204322200391832E-3</v>
      </c>
      <c r="H48" s="457" t="str">
        <f>IF(OR(G48&gt;=0.3,G48&lt;=-0.3),"超过30%","")</f>
        <v/>
      </c>
      <c r="I48" s="456">
        <f>IF(I41&lt;E41,E41/I41-1,I41/E41-1)</f>
        <v>1.7190569744597317E-2</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4.4"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8.8">
      <c r="A50" s="640" t="s">
        <v>2336</v>
      </c>
      <c r="B50" s="641" t="s">
        <v>2337</v>
      </c>
      <c r="C50" s="2118" t="s">
        <v>2338</v>
      </c>
      <c r="D50" s="2119" t="s">
        <v>2339</v>
      </c>
      <c r="E50" s="642" t="s">
        <v>2340</v>
      </c>
      <c r="F50" s="643" t="s">
        <v>2341</v>
      </c>
      <c r="G50" s="3521" t="s">
        <v>2342</v>
      </c>
      <c r="H50" s="3568"/>
      <c r="I50" s="1490" t="s">
        <v>2377</v>
      </c>
      <c r="J50" s="1490">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2345</v>
      </c>
      <c r="B51" s="645">
        <f>C43</f>
        <v>1802</v>
      </c>
      <c r="C51" s="646">
        <v>1</v>
      </c>
      <c r="D51" s="1056">
        <v>1</v>
      </c>
      <c r="E51" s="646">
        <f>'数据-汇总表'!E8+'数据-汇总表'!E9</f>
        <v>175962.71000000002</v>
      </c>
      <c r="F51" s="647">
        <f t="shared" ref="F51:F60" si="15">ROUND(B51*E51/10000,0)</f>
        <v>31708</v>
      </c>
      <c r="G51" s="3517"/>
      <c r="H51" s="3506"/>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2346</v>
      </c>
      <c r="B52" s="224">
        <f>ROUND($C$43*C52*D52,0)</f>
        <v>225</v>
      </c>
      <c r="C52" s="176">
        <f t="shared" ref="C52:C60" si="16">IF($C$50="北京市系数",I52,J52)</f>
        <v>0.5</v>
      </c>
      <c r="D52" s="1057">
        <v>0.25</v>
      </c>
      <c r="E52" s="650"/>
      <c r="F52" s="647">
        <f t="shared" si="15"/>
        <v>0</v>
      </c>
      <c r="G52" s="3226" t="s">
        <v>2347</v>
      </c>
      <c r="H52" s="999" t="str">
        <f>项目基本情况!B37</f>
        <v>十级</v>
      </c>
      <c r="I52" s="860">
        <f>SUMIF(修正!A57:A68,H52,修正!B57:B68)</f>
        <v>0.5</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2348</v>
      </c>
      <c r="B53" s="224">
        <f t="shared" ref="B53:B60" si="17">ROUND($C$43*C53*D53,0)</f>
        <v>90</v>
      </c>
      <c r="C53" s="176">
        <f t="shared" si="16"/>
        <v>0.2</v>
      </c>
      <c r="D53" s="1057">
        <v>0.25</v>
      </c>
      <c r="E53" s="650"/>
      <c r="F53" s="647">
        <f t="shared" si="15"/>
        <v>0</v>
      </c>
      <c r="G53" s="3227"/>
      <c r="H53" s="999" t="str">
        <f>项目基本情况!B37</f>
        <v>十级</v>
      </c>
      <c r="I53" s="860">
        <f>SUMIF(修正!A57:A68,H53,修正!C57:C68)</f>
        <v>0.2</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2349</v>
      </c>
      <c r="B54" s="224">
        <f t="shared" si="17"/>
        <v>90</v>
      </c>
      <c r="C54" s="176">
        <f t="shared" si="16"/>
        <v>0.2</v>
      </c>
      <c r="D54" s="1057">
        <v>0.25</v>
      </c>
      <c r="E54" s="650"/>
      <c r="F54" s="647">
        <f t="shared" si="15"/>
        <v>0</v>
      </c>
      <c r="G54" s="3227"/>
      <c r="H54" s="999" t="str">
        <f>项目基本情况!B37</f>
        <v>十级</v>
      </c>
      <c r="I54" s="860">
        <f>SUMIF(修正!A57:A68,H54,修正!D57:D68)</f>
        <v>0.2</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2350</v>
      </c>
      <c r="B56" s="224">
        <f t="shared" si="17"/>
        <v>90</v>
      </c>
      <c r="C56" s="176">
        <f t="shared" si="16"/>
        <v>0.2</v>
      </c>
      <c r="D56" s="1057">
        <v>0.25</v>
      </c>
      <c r="E56" s="223">
        <f>'数据-汇总表'!E11</f>
        <v>0</v>
      </c>
      <c r="F56" s="647">
        <f t="shared" si="15"/>
        <v>0</v>
      </c>
      <c r="G56" s="2122" t="s">
        <v>2351</v>
      </c>
      <c r="H56" s="999" t="str">
        <f>项目基本情况!C37</f>
        <v>十级</v>
      </c>
      <c r="I56" s="860">
        <f>SUMIF(修正!A57:A68,H56,修正!E57:E68)</f>
        <v>0.2</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2352</v>
      </c>
      <c r="B57" s="224">
        <f t="shared" si="17"/>
        <v>90</v>
      </c>
      <c r="C57" s="176">
        <f t="shared" si="16"/>
        <v>0.2</v>
      </c>
      <c r="D57" s="1057">
        <v>0.25</v>
      </c>
      <c r="E57" s="223">
        <f>'数据-汇总表'!E12</f>
        <v>29778.85</v>
      </c>
      <c r="F57" s="647">
        <f t="shared" si="15"/>
        <v>268</v>
      </c>
      <c r="G57" s="1004" t="s">
        <v>2353</v>
      </c>
      <c r="H57" s="999" t="str">
        <f>IF(G57="商业",项目基本情况!B37,IF(G57="办公",项目基本情况!C37,IF(G57="住宅",项目基本情况!D37,项目基本情况!E37)))</f>
        <v>十级</v>
      </c>
      <c r="I57" s="860">
        <f>SUMIF(修正!A57:A68,H57,修正!F57:F68)</f>
        <v>0.2</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2354</v>
      </c>
      <c r="B58" s="224">
        <f t="shared" si="17"/>
        <v>45</v>
      </c>
      <c r="C58" s="176">
        <f t="shared" si="16"/>
        <v>0.1</v>
      </c>
      <c r="D58" s="1057">
        <v>0.25</v>
      </c>
      <c r="E58" s="223">
        <f>'数据-汇总表'!E13</f>
        <v>30257.699999999997</v>
      </c>
      <c r="F58" s="647">
        <f t="shared" si="15"/>
        <v>136</v>
      </c>
      <c r="G58" s="1004" t="s">
        <v>2355</v>
      </c>
      <c r="H58" s="999" t="str">
        <f>IF(G58="商业",项目基本情况!B37,IF(G58="办公",项目基本情况!C37,IF(G58="住宅",项目基本情况!D37,项目基本情况!E37)))</f>
        <v>十级</v>
      </c>
      <c r="I58" s="860">
        <f>SUMIF(修正!A57:A68,H58,修正!G57:G68)</f>
        <v>0.1</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2356</v>
      </c>
      <c r="B59" s="224">
        <f t="shared" si="17"/>
        <v>45</v>
      </c>
      <c r="C59" s="176">
        <f t="shared" si="16"/>
        <v>0.1</v>
      </c>
      <c r="D59" s="1057">
        <v>0.25</v>
      </c>
      <c r="E59" s="223">
        <f>'数据-汇总表'!E14</f>
        <v>0</v>
      </c>
      <c r="F59" s="647">
        <f t="shared" si="15"/>
        <v>0</v>
      </c>
      <c r="G59" s="2122" t="s">
        <v>2347</v>
      </c>
      <c r="H59" s="999" t="str">
        <f>项目基本情况!B37</f>
        <v>十级</v>
      </c>
      <c r="I59" s="860">
        <f>SUMIF(修正!A57:A68,H59,修正!G57:G68)</f>
        <v>0.1</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4.4" thickBot="1">
      <c r="A60" s="649" t="s">
        <v>2357</v>
      </c>
      <c r="B60" s="224">
        <f t="shared" si="17"/>
        <v>45</v>
      </c>
      <c r="C60" s="176">
        <f t="shared" si="16"/>
        <v>0.1</v>
      </c>
      <c r="D60" s="1057">
        <v>0.25</v>
      </c>
      <c r="E60" s="223">
        <f>'数据-汇总表'!E15</f>
        <v>0</v>
      </c>
      <c r="F60" s="647">
        <f t="shared" si="15"/>
        <v>0</v>
      </c>
      <c r="G60" s="2123" t="s">
        <v>2351</v>
      </c>
      <c r="H60" s="1009" t="str">
        <f>项目基本情况!C37</f>
        <v>十级</v>
      </c>
      <c r="I60" s="860">
        <f>SUMIF(修正!A57:A68,H60,修正!G57:G68)</f>
        <v>0.1</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4.4" thickBot="1">
      <c r="A61" s="651" t="s">
        <v>2358</v>
      </c>
      <c r="B61" s="652" t="s">
        <v>28</v>
      </c>
      <c r="C61" s="652" t="s">
        <v>29</v>
      </c>
      <c r="D61" s="652" t="s">
        <v>816</v>
      </c>
      <c r="E61" s="652">
        <f>IF(B41="楼面地价",SUM(E51:E60),'数据-汇总表'!D3)</f>
        <v>235999.26</v>
      </c>
      <c r="F61" s="653">
        <f>IF(B41="楼面地价",SUM(F51:F60),ROUND(C43*E61/10000,0))</f>
        <v>32112</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M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v>43647</v>
      </c>
      <c r="O63" s="701">
        <v>43466</v>
      </c>
      <c r="P63" s="2902"/>
      <c r="Q63" s="2902"/>
      <c r="R63" s="2902"/>
      <c r="S63" s="2902"/>
      <c r="T63" s="2902"/>
      <c r="U63" s="2902"/>
      <c r="V63" s="2902"/>
      <c r="W63" s="2902"/>
      <c r="X63" s="2902"/>
      <c r="Y63" s="2902"/>
      <c r="Z63" s="2902"/>
      <c r="AA63" s="2902"/>
      <c r="AB63" s="2902"/>
      <c r="AC63" s="2902"/>
      <c r="AD63" s="2902"/>
      <c r="AE63" s="2902"/>
    </row>
    <row r="64" spans="1:31" ht="22.2" thickBot="1">
      <c r="A64" s="703" t="s">
        <v>2252</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4.4">
      <c r="A65" s="2124" t="s">
        <v>2359</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2019-3</v>
      </c>
      <c r="O65" s="1296" t="str">
        <f t="shared" si="19"/>
        <v>2019-1</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f>C66-0.2</f>
        <v>99.8</v>
      </c>
      <c r="E66" s="552">
        <f t="shared" ref="E66:M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552">
        <f>M66-0.4</f>
        <v>97.599999999999966</v>
      </c>
      <c r="O66" s="552">
        <f>N66-0.4</f>
        <v>97.19999999999996</v>
      </c>
      <c r="P66" s="2916"/>
      <c r="Q66" s="2836"/>
      <c r="R66" s="2836"/>
      <c r="S66" s="2836"/>
      <c r="T66" s="2836"/>
      <c r="U66" s="2836"/>
      <c r="V66" s="2836"/>
      <c r="W66" s="2836"/>
      <c r="X66" s="2836"/>
      <c r="Y66" s="2836"/>
      <c r="Z66" s="2836"/>
      <c r="AA66" s="2836"/>
      <c r="AB66" s="2836"/>
      <c r="AC66" s="2836"/>
      <c r="AD66" s="2836"/>
      <c r="AE66" s="2836"/>
    </row>
    <row r="67" spans="1:31" s="113" customFormat="1" ht="15" thickBot="1">
      <c r="A67" s="472" t="s">
        <v>2163</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4.4">
      <c r="A68" s="478" t="s">
        <v>2128</v>
      </c>
      <c r="B68" s="467"/>
      <c r="C68" s="479" t="s">
        <v>2230</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4.4"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ht="14.4">
      <c r="A70" s="484" t="s">
        <v>2166</v>
      </c>
      <c r="B70" s="485" t="s">
        <v>2132</v>
      </c>
      <c r="C70" s="3248" t="s">
        <v>3478</v>
      </c>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4.4"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9.4" thickTop="1">
      <c r="A72" s="491"/>
      <c r="B72" s="495" t="s">
        <v>2135</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4.4"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 thickTop="1">
      <c r="A74" s="491"/>
      <c r="B74" s="503" t="s">
        <v>2136</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v>
      </c>
      <c r="I74" s="504" t="str">
        <f t="shared" si="21"/>
        <v>（含）-</v>
      </c>
      <c r="J74" s="504" t="str">
        <f t="shared" si="21"/>
        <v>（含）-</v>
      </c>
      <c r="K74" s="504" t="str">
        <f t="shared" si="21"/>
        <v>（含）-</v>
      </c>
      <c r="L74" s="504" t="str">
        <f t="shared" si="21"/>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c r="A75" s="491"/>
      <c r="B75" s="505"/>
      <c r="C75" s="506">
        <v>0</v>
      </c>
      <c r="D75" s="506">
        <v>0.5</v>
      </c>
      <c r="E75" s="506">
        <v>1</v>
      </c>
      <c r="F75" s="506">
        <v>1.5</v>
      </c>
      <c r="G75" s="506">
        <v>2</v>
      </c>
      <c r="H75" s="506">
        <v>2.5</v>
      </c>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4.4"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4.4"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4.4"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4.4"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4.4"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4.4"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4.4"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ht="14.4">
      <c r="A83" s="484" t="s">
        <v>2137</v>
      </c>
      <c r="B83" s="485" t="s">
        <v>2283</v>
      </c>
      <c r="C83" s="530" t="s">
        <v>2175</v>
      </c>
      <c r="D83" s="530" t="s">
        <v>2176</v>
      </c>
      <c r="E83" s="530" t="s">
        <v>2177</v>
      </c>
      <c r="F83" s="530" t="s">
        <v>2178</v>
      </c>
      <c r="G83" s="530" t="s">
        <v>2179</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4.4" thickBot="1">
      <c r="A84" s="491"/>
      <c r="B84" s="500"/>
      <c r="C84" s="501">
        <v>100</v>
      </c>
      <c r="D84" s="501">
        <f>C84-$K15</f>
        <v>95</v>
      </c>
      <c r="E84" s="501">
        <f>D84-$K15</f>
        <v>90</v>
      </c>
      <c r="F84" s="501">
        <f>E84-$K15</f>
        <v>85</v>
      </c>
      <c r="G84" s="501">
        <f>F84-$K15</f>
        <v>80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 thickTop="1">
      <c r="A85" s="491"/>
      <c r="B85" s="495" t="s">
        <v>2180</v>
      </c>
      <c r="C85" s="535" t="s">
        <v>2175</v>
      </c>
      <c r="D85" s="535" t="s">
        <v>2176</v>
      </c>
      <c r="E85" s="535" t="s">
        <v>2177</v>
      </c>
      <c r="F85" s="535" t="s">
        <v>2178</v>
      </c>
      <c r="G85" s="535" t="s">
        <v>2179</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4.4" thickBot="1">
      <c r="A86" s="491"/>
      <c r="B86" s="500"/>
      <c r="C86" s="501">
        <v>100</v>
      </c>
      <c r="D86" s="501">
        <f>C86-$K17</f>
        <v>95</v>
      </c>
      <c r="E86" s="501">
        <f>D86-$K17</f>
        <v>90</v>
      </c>
      <c r="F86" s="501">
        <f>E86-$K17</f>
        <v>85</v>
      </c>
      <c r="G86" s="501">
        <f>F86-$K17</f>
        <v>80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29.4" thickTop="1">
      <c r="A87" s="536"/>
      <c r="B87" s="495" t="s">
        <v>2362</v>
      </c>
      <c r="C87" s="530" t="s">
        <v>2175</v>
      </c>
      <c r="D87" s="530" t="s">
        <v>2176</v>
      </c>
      <c r="E87" s="530" t="s">
        <v>2177</v>
      </c>
      <c r="F87" s="530" t="s">
        <v>2178</v>
      </c>
      <c r="G87" s="530" t="s">
        <v>2179</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4.4"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9.4" thickTop="1">
      <c r="A89" s="536"/>
      <c r="B89" s="495" t="s">
        <v>2363</v>
      </c>
      <c r="C89" s="530" t="s">
        <v>2175</v>
      </c>
      <c r="D89" s="530" t="s">
        <v>2176</v>
      </c>
      <c r="E89" s="530" t="s">
        <v>2177</v>
      </c>
      <c r="F89" s="530" t="s">
        <v>2178</v>
      </c>
      <c r="G89" s="530" t="s">
        <v>2179</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4.4"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 thickTop="1">
      <c r="A91" s="510"/>
      <c r="B91" s="495" t="s">
        <v>2232</v>
      </c>
      <c r="C91" s="530" t="s">
        <v>2175</v>
      </c>
      <c r="D91" s="530" t="s">
        <v>2176</v>
      </c>
      <c r="E91" s="530" t="s">
        <v>2177</v>
      </c>
      <c r="F91" s="530" t="s">
        <v>2178</v>
      </c>
      <c r="G91" s="530" t="s">
        <v>2179</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4.4" thickBot="1">
      <c r="A92" s="510"/>
      <c r="B92" s="500"/>
      <c r="C92" s="501">
        <v>100</v>
      </c>
      <c r="D92" s="501">
        <f>C92-$K23</f>
        <v>97</v>
      </c>
      <c r="E92" s="501">
        <f>D92-$K23</f>
        <v>94</v>
      </c>
      <c r="F92" s="501">
        <f>E92-$K23</f>
        <v>91</v>
      </c>
      <c r="G92" s="501">
        <f>F92-$K23</f>
        <v>88</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 thickTop="1">
      <c r="A93" s="510"/>
      <c r="B93" s="503" t="s">
        <v>2379</v>
      </c>
      <c r="C93" s="616" t="s">
        <v>2253</v>
      </c>
      <c r="D93" s="616" t="s">
        <v>2254</v>
      </c>
      <c r="E93" s="616" t="s">
        <v>2255</v>
      </c>
      <c r="F93" s="616" t="s">
        <v>2256</v>
      </c>
      <c r="G93" s="616" t="s">
        <v>2257</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4.4"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 thickTop="1">
      <c r="A95" s="491"/>
      <c r="B95" s="495" t="str">
        <f>B27</f>
        <v>临街状况</v>
      </c>
      <c r="C95" s="496" t="s">
        <v>2364</v>
      </c>
      <c r="D95" s="496" t="s">
        <v>2365</v>
      </c>
      <c r="E95" s="496" t="s">
        <v>2366</v>
      </c>
      <c r="F95" s="496" t="s">
        <v>2367</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1"/>
      <c r="O96" s="2931"/>
      <c r="P96" s="2955"/>
      <c r="Q96" s="2916"/>
      <c r="R96" s="2902"/>
      <c r="S96" s="2902"/>
      <c r="T96" s="2902"/>
      <c r="U96" s="2902"/>
      <c r="V96" s="2902"/>
      <c r="W96" s="2902"/>
      <c r="X96" s="2902"/>
      <c r="Y96" s="2902"/>
      <c r="Z96" s="2902"/>
      <c r="AA96" s="2902"/>
      <c r="AB96" s="2902"/>
      <c r="AC96" s="2902"/>
      <c r="AD96" s="2902"/>
      <c r="AE96" s="2902"/>
    </row>
    <row r="97" spans="1:31" ht="29.4" thickTop="1">
      <c r="A97" s="491"/>
      <c r="B97" s="495" t="s">
        <v>2269</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1"/>
      <c r="O98" s="2931"/>
      <c r="P98" s="2955"/>
      <c r="Q98" s="2916"/>
      <c r="R98" s="2902"/>
      <c r="S98" s="2902"/>
      <c r="T98" s="2902"/>
      <c r="U98" s="2902"/>
      <c r="V98" s="2902"/>
      <c r="W98" s="2902"/>
      <c r="X98" s="2902"/>
      <c r="Y98" s="2902"/>
      <c r="Z98" s="2902"/>
      <c r="AA98" s="2902"/>
      <c r="AB98" s="2902"/>
      <c r="AC98" s="2902"/>
      <c r="AD98" s="2902"/>
      <c r="AE98" s="2902"/>
    </row>
    <row r="99" spans="1:31" ht="15" thickTop="1">
      <c r="A99" s="491"/>
      <c r="B99" s="495" t="s">
        <v>2328</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4.4"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4.4"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4.4"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4.4"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4.4"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4.4"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7.6">
      <c r="A107" s="484" t="s">
        <v>2141</v>
      </c>
      <c r="B107" s="485" t="s">
        <v>2368</v>
      </c>
      <c r="C107" s="486" t="str">
        <f t="shared" ref="C107:L107" si="26">C108&amp;"(含)"&amp;"-"&amp;D108</f>
        <v>0(含)-50000</v>
      </c>
      <c r="D107" s="486" t="str">
        <f t="shared" si="26"/>
        <v>50000(含)-100000</v>
      </c>
      <c r="E107" s="486" t="str">
        <f t="shared" si="26"/>
        <v>100000(含)-150000</v>
      </c>
      <c r="F107" s="486" t="str">
        <f t="shared" si="26"/>
        <v>150000(含)-</v>
      </c>
      <c r="G107" s="486" t="str">
        <f t="shared" si="26"/>
        <v>(含)-</v>
      </c>
      <c r="H107" s="486" t="str">
        <f t="shared" si="26"/>
        <v>(含)-</v>
      </c>
      <c r="I107" s="486" t="str">
        <f t="shared" si="26"/>
        <v>(含)-</v>
      </c>
      <c r="J107" s="486" t="str">
        <f t="shared" si="26"/>
        <v>(含)-</v>
      </c>
      <c r="K107" s="1453" t="str">
        <f t="shared" si="26"/>
        <v>(含)-</v>
      </c>
      <c r="L107" s="1453" t="str">
        <f t="shared" si="26"/>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c r="A108" s="491"/>
      <c r="B108" s="503"/>
      <c r="C108" s="552">
        <v>0</v>
      </c>
      <c r="D108" s="552">
        <v>50000</v>
      </c>
      <c r="E108" s="552">
        <v>100000</v>
      </c>
      <c r="F108" s="552">
        <v>150000</v>
      </c>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4.4" thickBot="1">
      <c r="A109" s="491"/>
      <c r="B109" s="500"/>
      <c r="C109" s="527">
        <v>100</v>
      </c>
      <c r="D109" s="548">
        <f>C109+1</f>
        <v>101</v>
      </c>
      <c r="E109" s="548">
        <f t="shared" ref="E109:F109" si="27">D109+1</f>
        <v>102</v>
      </c>
      <c r="F109" s="548">
        <f t="shared" si="27"/>
        <v>103</v>
      </c>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2369</v>
      </c>
      <c r="C110" s="3253" t="s">
        <v>3505</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4.4" thickBot="1">
      <c r="A111" s="491"/>
      <c r="B111" s="500"/>
      <c r="C111" s="501">
        <v>100</v>
      </c>
      <c r="D111" s="501">
        <f t="shared" ref="D111:M111" si="28">C111-$K35</f>
        <v>99</v>
      </c>
      <c r="E111" s="501">
        <f t="shared" si="28"/>
        <v>98</v>
      </c>
      <c r="F111" s="501">
        <f t="shared" si="28"/>
        <v>97</v>
      </c>
      <c r="G111" s="501">
        <f t="shared" si="28"/>
        <v>96</v>
      </c>
      <c r="H111" s="501">
        <f t="shared" si="28"/>
        <v>95</v>
      </c>
      <c r="I111" s="501">
        <f t="shared" si="28"/>
        <v>94</v>
      </c>
      <c r="J111" s="501">
        <f t="shared" si="28"/>
        <v>93</v>
      </c>
      <c r="K111" s="501">
        <f t="shared" si="28"/>
        <v>92</v>
      </c>
      <c r="L111" s="501">
        <f t="shared" si="28"/>
        <v>91</v>
      </c>
      <c r="M111" s="502">
        <f t="shared" si="28"/>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2371</v>
      </c>
      <c r="C112" s="3249" t="s">
        <v>3479</v>
      </c>
      <c r="D112" s="3249" t="s">
        <v>3480</v>
      </c>
      <c r="E112" s="3249" t="s">
        <v>3481</v>
      </c>
      <c r="F112" s="3249" t="s">
        <v>3482</v>
      </c>
      <c r="G112" s="3249" t="s">
        <v>3483</v>
      </c>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4.4" thickBot="1">
      <c r="A113" s="510"/>
      <c r="B113" s="500"/>
      <c r="C113" s="501">
        <v>100</v>
      </c>
      <c r="D113" s="501">
        <f t="shared" ref="D113:M113" si="29">C113-$K36</f>
        <v>99.5</v>
      </c>
      <c r="E113" s="501">
        <f t="shared" si="29"/>
        <v>99</v>
      </c>
      <c r="F113" s="501">
        <f t="shared" si="29"/>
        <v>98.5</v>
      </c>
      <c r="G113" s="501">
        <f t="shared" si="29"/>
        <v>98</v>
      </c>
      <c r="H113" s="501">
        <f t="shared" si="29"/>
        <v>97.5</v>
      </c>
      <c r="I113" s="501">
        <f t="shared" si="29"/>
        <v>97</v>
      </c>
      <c r="J113" s="501">
        <f t="shared" si="29"/>
        <v>96.5</v>
      </c>
      <c r="K113" s="501">
        <f t="shared" si="29"/>
        <v>96</v>
      </c>
      <c r="L113" s="501">
        <f t="shared" si="29"/>
        <v>95.5</v>
      </c>
      <c r="M113" s="502">
        <f t="shared" si="29"/>
        <v>95</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2372</v>
      </c>
      <c r="C114" s="3249" t="s">
        <v>3506</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4.4" thickBot="1">
      <c r="A115" s="491"/>
      <c r="B115" s="500"/>
      <c r="C115" s="501">
        <v>100</v>
      </c>
      <c r="D115" s="501">
        <f t="shared" ref="D115:M115" si="30">C115-$K37</f>
        <v>99</v>
      </c>
      <c r="E115" s="501">
        <f t="shared" si="30"/>
        <v>98</v>
      </c>
      <c r="F115" s="501">
        <f t="shared" si="30"/>
        <v>97</v>
      </c>
      <c r="G115" s="501">
        <f t="shared" si="30"/>
        <v>96</v>
      </c>
      <c r="H115" s="501">
        <f t="shared" si="30"/>
        <v>95</v>
      </c>
      <c r="I115" s="501">
        <f t="shared" si="30"/>
        <v>94</v>
      </c>
      <c r="J115" s="501">
        <f t="shared" si="30"/>
        <v>93</v>
      </c>
      <c r="K115" s="501">
        <f t="shared" si="30"/>
        <v>92</v>
      </c>
      <c r="L115" s="501">
        <f t="shared" si="30"/>
        <v>91</v>
      </c>
      <c r="M115" s="502">
        <f t="shared" si="30"/>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4.4"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4.4"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4.4"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4.4"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4.4"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4.4"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199" customWidth="1"/>
    <col min="2" max="2" width="19.21875" style="2302" customWidth="1"/>
    <col min="3" max="4" width="12" style="2133"/>
    <col min="5" max="5" width="14.6640625" style="2133" customWidth="1"/>
    <col min="6" max="8" width="12" style="2133"/>
    <col min="9" max="9" width="12.21875" style="2133" bestFit="1" customWidth="1"/>
    <col min="10" max="10" width="12" style="2133"/>
    <col min="11" max="11" width="8.109375" style="2194" customWidth="1"/>
    <col min="12" max="12" width="12" style="2133"/>
    <col min="13" max="13" width="8.44140625" style="2133" customWidth="1"/>
    <col min="14" max="14" width="9.77734375" style="2133" customWidth="1"/>
    <col min="15" max="25" width="12" style="2133"/>
    <col min="26" max="26" width="9.33203125" style="2199" customWidth="1"/>
    <col min="27" max="32" width="9.33203125" style="1235" customWidth="1"/>
    <col min="33" max="36" width="9.33203125" style="2199" customWidth="1"/>
    <col min="37" max="38" width="9.33203125" style="2133" customWidth="1"/>
    <col min="39" max="16384" width="12" style="2133"/>
  </cols>
  <sheetData>
    <row r="1" spans="1:36" ht="31.2">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6">
      <c r="A2" s="207" t="s">
        <v>2388</v>
      </c>
      <c r="B2" s="210" t="e">
        <f>C26</f>
        <v>#DIV/0!</v>
      </c>
      <c r="C2" s="2134" t="s">
        <v>2389</v>
      </c>
      <c r="D2" s="2135" t="s">
        <v>2390</v>
      </c>
      <c r="E2" s="2136"/>
      <c r="F2" s="2135" t="s">
        <v>2391</v>
      </c>
      <c r="G2" s="2137" t="str">
        <f>IF(E2="商业",项目基本情况!B37,IF(E2="办公",项目基本情况!C37,IF(E2="住宅",项目基本情况!D37,项目基本情况!E37)))</f>
        <v>十级</v>
      </c>
      <c r="H2" s="2135" t="s">
        <v>2392</v>
      </c>
      <c r="I2" s="2137" t="str">
        <f>IF(E2="商业",项目基本情况!B38,IF(E2="办公",项目基本情况!C38,IF(E2="住宅",项目基本情况!D38,项目基本情况!E38)))</f>
        <v>Ⅹ-房2</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1.9419999999999999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6">
      <c r="A3" s="209" t="s">
        <v>2394</v>
      </c>
      <c r="B3" s="210" t="e">
        <f>ROUND(B2*10000/D1,0)</f>
        <v>#DIV/0!</v>
      </c>
      <c r="C3" s="2134" t="s">
        <v>2395</v>
      </c>
      <c r="D3" s="2135" t="s">
        <v>2396</v>
      </c>
      <c r="E3" s="2140"/>
      <c r="F3" s="2141" t="s">
        <v>2397</v>
      </c>
      <c r="G3" s="837">
        <f>IF(F3="宗地容积率",'数据-汇总表'!I4,IF(F3="估价对象容积率",'数据-汇总表'!I6,'数据-汇总表'!I7))</f>
        <v>1.47</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1.2799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6">
      <c r="A4" s="3576"/>
      <c r="B4" s="3577"/>
      <c r="C4" s="3577"/>
      <c r="D4" s="3578"/>
      <c r="E4" s="3578"/>
      <c r="F4" s="3578"/>
      <c r="G4" s="3578"/>
      <c r="H4" s="3578"/>
      <c r="I4" s="3578"/>
      <c r="J4" s="3579"/>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1.0072000000000001</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6"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0.75249999999999995</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6"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0.56589999999999996</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80"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0.45250000000000001</v>
      </c>
      <c r="T7" s="1326" t="e">
        <f t="shared" si="0"/>
        <v>#DIV/0!</v>
      </c>
      <c r="U7" s="1327"/>
      <c r="V7" s="1326" t="e">
        <f t="shared" si="1"/>
        <v>#DIV/0!</v>
      </c>
      <c r="W7" s="1492" t="s">
        <v>2411</v>
      </c>
      <c r="X7" s="1328" t="str">
        <f>G2</f>
        <v>十级</v>
      </c>
      <c r="Y7" s="1328" t="s">
        <v>2412</v>
      </c>
      <c r="Z7" s="1329">
        <f>G3</f>
        <v>1.47</v>
      </c>
      <c r="AA7" s="1330"/>
      <c r="AB7" s="1330"/>
      <c r="AC7" s="1331"/>
      <c r="AD7" s="1332"/>
      <c r="AE7" s="1332"/>
      <c r="AF7" s="1332"/>
      <c r="AG7" s="1332"/>
      <c r="AH7" s="1332"/>
      <c r="AI7" s="1332"/>
      <c r="AJ7" s="1333"/>
    </row>
    <row r="8" spans="1:36" ht="15">
      <c r="A8" s="3581"/>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73" t="s">
        <v>2416</v>
      </c>
      <c r="X8" s="3574"/>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81"/>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75"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81"/>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7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6" thickBot="1">
      <c r="A11" s="3581"/>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75" t="s">
        <v>2440</v>
      </c>
      <c r="X11" s="1338" t="s">
        <v>2441</v>
      </c>
      <c r="Y11" s="1339">
        <f>$G$3</f>
        <v>1.47</v>
      </c>
      <c r="Z11" s="1339">
        <f t="shared" ref="Z11:AJ11" si="3">$G$3</f>
        <v>1.47</v>
      </c>
      <c r="AA11" s="1339">
        <f t="shared" si="3"/>
        <v>1.47</v>
      </c>
      <c r="AB11" s="1339">
        <f t="shared" si="3"/>
        <v>1.47</v>
      </c>
      <c r="AC11" s="1339">
        <f t="shared" si="3"/>
        <v>1.47</v>
      </c>
      <c r="AD11" s="1339">
        <f t="shared" si="3"/>
        <v>1.47</v>
      </c>
      <c r="AE11" s="1339">
        <f t="shared" si="3"/>
        <v>1.47</v>
      </c>
      <c r="AF11" s="1339">
        <f t="shared" si="3"/>
        <v>1.47</v>
      </c>
      <c r="AG11" s="1339">
        <f t="shared" si="3"/>
        <v>1.47</v>
      </c>
      <c r="AH11" s="1339">
        <f t="shared" si="3"/>
        <v>1.47</v>
      </c>
      <c r="AI11" s="1339">
        <f t="shared" si="3"/>
        <v>1.47</v>
      </c>
      <c r="AJ11" s="1339">
        <f t="shared" si="3"/>
        <v>1.47</v>
      </c>
    </row>
    <row r="12" spans="1:36" ht="25.8" thickBot="1">
      <c r="A12" s="3580"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75"/>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82"/>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75"/>
      <c r="X13" s="1340"/>
      <c r="Y13" s="1337">
        <f>(-0.163*(Y12^2)-0.59*Y12+7617)*(10^(-4))/Y11</f>
        <v>0.51816326530612244</v>
      </c>
      <c r="Z13" s="1337">
        <f t="shared" ref="Z13:AJ13" si="5">(-0.163*(Z12^2)-0.59*Z12+7617)*(10^(-4))/Z11</f>
        <v>0.51816326530612244</v>
      </c>
      <c r="AA13" s="1337">
        <f t="shared" si="5"/>
        <v>0.51816326530612244</v>
      </c>
      <c r="AB13" s="1337">
        <f t="shared" si="5"/>
        <v>0.51816326530612244</v>
      </c>
      <c r="AC13" s="1337">
        <f t="shared" si="5"/>
        <v>0.51816326530612244</v>
      </c>
      <c r="AD13" s="1337">
        <f t="shared" si="5"/>
        <v>0.51816326530612244</v>
      </c>
      <c r="AE13" s="1337">
        <f t="shared" si="5"/>
        <v>0.51816326530612244</v>
      </c>
      <c r="AF13" s="1337">
        <f t="shared" si="5"/>
        <v>0.51816326530612244</v>
      </c>
      <c r="AG13" s="1337">
        <f t="shared" si="5"/>
        <v>0.51816326530612244</v>
      </c>
      <c r="AH13" s="1337">
        <f t="shared" si="5"/>
        <v>0.51816326530612244</v>
      </c>
      <c r="AI13" s="1337">
        <f t="shared" si="5"/>
        <v>0.51816326530612244</v>
      </c>
      <c r="AJ13" s="1337">
        <f t="shared" si="5"/>
        <v>0.51816326530612244</v>
      </c>
    </row>
    <row r="14" spans="1:36" ht="15">
      <c r="A14" s="3582"/>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6" thickBot="1">
      <c r="A15" s="3583"/>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80" t="s">
        <v>2459</v>
      </c>
      <c r="B16" s="2158" t="s">
        <v>2460</v>
      </c>
      <c r="C16" s="2320" t="e">
        <f>ROUND(IF(F17="与级别开发程度一致",0,(G17-E17)/C17),0)</f>
        <v>#DIV/0!</v>
      </c>
      <c r="D16" s="3596" t="s">
        <v>2464</v>
      </c>
      <c r="E16" s="3597"/>
      <c r="F16" s="3596" t="s">
        <v>2461</v>
      </c>
      <c r="G16" s="3597"/>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8" thickBot="1">
      <c r="A17" s="3584"/>
      <c r="B17" s="2331" t="s">
        <v>2463</v>
      </c>
      <c r="C17" s="2332">
        <f>SUMPRODUCT((修正!A2:A7=E2)*(修正!B1:M1=G2)*(修正!B2:M7))</f>
        <v>0</v>
      </c>
      <c r="D17" s="193" t="str">
        <f>IF(OR(G2="八级",G2="九级",G2="十级",G2="十一级",G2="十二级"),"五通一平","七通一平")</f>
        <v>五通一平</v>
      </c>
      <c r="E17" s="2321">
        <f>SUMPRODUCT((修正!B1:M1=G2)*(修正!B17:M17))</f>
        <v>185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9.4"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44769</v>
      </c>
      <c r="H19" s="2201"/>
      <c r="I19" s="848" t="str">
        <f>IF(H19="季度增幅（自定义）",SUMIF(N21:N24,E2,O21:O24),"")</f>
        <v/>
      </c>
      <c r="J19" s="2198"/>
      <c r="K19" s="1240"/>
      <c r="L19" s="2202" t="s">
        <v>2470</v>
      </c>
      <c r="M19" s="1448">
        <f>ROUND(SUMIF(地价!B2:F2,E2,地价!B37:F37),0)</f>
        <v>0</v>
      </c>
      <c r="N19" s="2203" t="s">
        <v>2471</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9.4" thickBot="1">
      <c r="A20" s="2205" t="s">
        <v>629</v>
      </c>
      <c r="B20" s="2206" t="s">
        <v>2472</v>
      </c>
      <c r="C20" s="850" t="e">
        <f>ROUND(POWER(1+G20,J20-I20)*(POWER(1+G20,I20)-1)/(POWER(1+G20,J20)-1),4)</f>
        <v>#DIV/0!</v>
      </c>
      <c r="D20" s="2207" t="s">
        <v>2473</v>
      </c>
      <c r="E20" s="1455">
        <f>存贷款利率!E21/100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4.4">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4">
      <c r="A22" s="2090" t="s">
        <v>2481</v>
      </c>
      <c r="B22" s="2217" t="s">
        <v>2482</v>
      </c>
      <c r="C22" s="1486" t="s">
        <v>2483</v>
      </c>
      <c r="D22" s="1486">
        <f>IF(E22=G22,F22,IF(G3&lt;=10,ROUND(F22+(H22-F22)*(G3-E22)/(G22-E22),4),"——"))</f>
        <v>0.56079999999999997</v>
      </c>
      <c r="E22" s="837">
        <f>ROUNDDOWN(G3,1)</f>
        <v>1.4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9.4"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4.4">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8"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3.8">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36">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93"/>
      <c r="B33" s="2261" t="s">
        <v>2506</v>
      </c>
      <c r="C33" s="180" t="e">
        <f>ROUND(D5*C19*C20*C24*F33,0)</f>
        <v>#DIV/0!</v>
      </c>
      <c r="D33" s="2245"/>
      <c r="E33" s="176" t="e">
        <f>ROUND(C33*D33/10000,0)</f>
        <v>#DIV/0!</v>
      </c>
      <c r="F33" s="176">
        <f>SUMIF(修正!A57:A68,G2,修正!B57:B68)</f>
        <v>0.5</v>
      </c>
      <c r="G33" s="176" t="e">
        <f t="shared" ref="G33" si="6">ROUND(IF(E2="工业",C33*$M$39,C33*$M$38),0)</f>
        <v>#DIV/0!</v>
      </c>
      <c r="H33" s="176">
        <f>D33</f>
        <v>0</v>
      </c>
      <c r="I33" s="176" t="e">
        <f>ROUND(G33*H33/10000,0)</f>
        <v>#DIV/0!</v>
      </c>
      <c r="J33" s="3598"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3.8">
      <c r="A34" s="3594"/>
      <c r="B34" s="2178" t="s">
        <v>2507</v>
      </c>
      <c r="C34" s="180" t="e">
        <f>ROUND(D5*C19*C20*C24*F34,0)</f>
        <v>#DIV/0!</v>
      </c>
      <c r="D34" s="2245"/>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9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94"/>
      <c r="B35" s="2178" t="s">
        <v>2508</v>
      </c>
      <c r="C35" s="180" t="e">
        <f>ROUND(D5*C19*C20*C24*F35,0)</f>
        <v>#DIV/0!</v>
      </c>
      <c r="D35" s="2245"/>
      <c r="E35" s="176" t="e">
        <f t="shared" si="7"/>
        <v>#DIV/0!</v>
      </c>
      <c r="F35" s="176">
        <f>SUMIF(修正!A57:A68,G2,修正!D57:D68)</f>
        <v>0.2</v>
      </c>
      <c r="G35" s="176" t="e">
        <f>ROUND(IF(E2="工业",C35*$M$39,C35*$M$38),0)</f>
        <v>#DIV/0!</v>
      </c>
      <c r="H35" s="176">
        <f t="shared" si="8"/>
        <v>0</v>
      </c>
      <c r="I35" s="176" t="e">
        <f t="shared" si="9"/>
        <v>#DIV/0!</v>
      </c>
      <c r="J35" s="359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8" thickBot="1">
      <c r="A36" s="3595"/>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95"/>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0.2</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0.2</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49"/>
      <c r="B39" s="2267" t="s">
        <v>2514</v>
      </c>
      <c r="C39" s="193" t="e">
        <f>ROUND(D5*C19*C41*C24*F39,0)</f>
        <v>#DIV/0!</v>
      </c>
      <c r="D39" s="2251"/>
      <c r="E39" s="193" t="e">
        <f t="shared" si="7"/>
        <v>#DIV/0!</v>
      </c>
      <c r="F39" s="853">
        <f>SUMIF(修正!A57:A68,G2,修正!G57:G68)</f>
        <v>0.1</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4.4">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5.2">
      <c r="A47" s="2278" t="s">
        <v>2517</v>
      </c>
      <c r="B47" s="1485" t="s">
        <v>2518</v>
      </c>
      <c r="C47" s="1485" t="s">
        <v>2519</v>
      </c>
      <c r="D47" s="1485" t="s">
        <v>2520</v>
      </c>
      <c r="E47" s="758" t="s">
        <v>2521</v>
      </c>
      <c r="F47" s="2279" t="s">
        <v>2522</v>
      </c>
      <c r="G47" s="1485" t="s">
        <v>574</v>
      </c>
      <c r="H47" s="2280" t="s">
        <v>2523</v>
      </c>
      <c r="I47" s="1485" t="s">
        <v>2524</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52.8">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78" t="s">
        <v>2517</v>
      </c>
      <c r="B58" s="1485"/>
      <c r="C58" s="1485" t="s">
        <v>2519</v>
      </c>
      <c r="D58" s="1485" t="s">
        <v>2520</v>
      </c>
      <c r="E58" s="758" t="s">
        <v>2521</v>
      </c>
      <c r="F58" s="2279" t="s">
        <v>2537</v>
      </c>
      <c r="G58" s="1485" t="s">
        <v>574</v>
      </c>
      <c r="H58" s="2280" t="s">
        <v>2523</v>
      </c>
      <c r="I58" s="1485" t="s">
        <v>2524</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52.8">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78" t="s">
        <v>2517</v>
      </c>
      <c r="B69" s="1485"/>
      <c r="C69" s="1485" t="s">
        <v>2519</v>
      </c>
      <c r="D69" s="1485" t="s">
        <v>2520</v>
      </c>
      <c r="E69" s="758" t="s">
        <v>2521</v>
      </c>
      <c r="F69" s="2279" t="s">
        <v>2537</v>
      </c>
      <c r="G69" s="1485" t="s">
        <v>574</v>
      </c>
      <c r="H69" s="2280" t="s">
        <v>2523</v>
      </c>
      <c r="I69" s="1485" t="s">
        <v>2524</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66">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36">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9.6">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36.6"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4.4">
      <c r="A79" s="2274" t="s">
        <v>2543</v>
      </c>
      <c r="B79" s="2275">
        <f>1+E81</f>
        <v>1</v>
      </c>
      <c r="C79" s="753"/>
      <c r="D79" s="753"/>
      <c r="E79" s="754"/>
      <c r="F79" s="2277"/>
      <c r="G79" s="6"/>
      <c r="H79" s="6"/>
      <c r="I79" s="6"/>
      <c r="J79" s="7"/>
      <c r="K79" s="7"/>
      <c r="L79" s="7"/>
      <c r="M79" s="7"/>
      <c r="N79" s="7"/>
      <c r="Z79" s="2133"/>
      <c r="AA79" s="2199"/>
      <c r="AG79" s="1235"/>
      <c r="AK79" s="2199"/>
    </row>
    <row r="80" spans="1:37" ht="25.2">
      <c r="A80" s="2278" t="s">
        <v>2517</v>
      </c>
      <c r="B80" s="1485"/>
      <c r="C80" s="1485" t="s">
        <v>2519</v>
      </c>
      <c r="D80" s="1485" t="s">
        <v>2520</v>
      </c>
      <c r="E80" s="758" t="s">
        <v>2521</v>
      </c>
      <c r="F80" s="2279" t="s">
        <v>2537</v>
      </c>
      <c r="G80" s="1485" t="s">
        <v>574</v>
      </c>
      <c r="H80" s="2280" t="s">
        <v>2523</v>
      </c>
      <c r="I80" s="1485" t="s">
        <v>2524</v>
      </c>
      <c r="J80" s="560" t="s">
        <v>2175</v>
      </c>
      <c r="K80" s="560" t="s">
        <v>2176</v>
      </c>
      <c r="L80" s="560" t="s">
        <v>2177</v>
      </c>
      <c r="M80" s="560" t="s">
        <v>2178</v>
      </c>
      <c r="N80" s="560" t="s">
        <v>2179</v>
      </c>
      <c r="Z80" s="2133"/>
      <c r="AA80" s="2199"/>
      <c r="AG80" s="1235"/>
      <c r="AK80" s="2199"/>
    </row>
    <row r="81" spans="1:37" ht="39.6">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66">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3.8">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6.4">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6.4">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36">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53.4"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85" t="s">
        <v>2547</v>
      </c>
      <c r="B90" s="3585"/>
      <c r="C90" s="3585"/>
      <c r="D90" s="3585"/>
      <c r="E90" s="3585"/>
      <c r="F90" s="3585"/>
      <c r="G90" s="3585"/>
      <c r="H90" s="3585"/>
      <c r="I90" s="3585"/>
      <c r="J90" s="3585"/>
      <c r="K90" s="2292"/>
      <c r="L90" s="2292"/>
      <c r="M90" s="2292"/>
      <c r="N90" s="2292"/>
    </row>
    <row r="91" spans="1:37">
      <c r="A91" s="3587" t="s">
        <v>2548</v>
      </c>
      <c r="B91" s="3587" t="s">
        <v>2549</v>
      </c>
      <c r="C91" s="2246" t="s">
        <v>2550</v>
      </c>
      <c r="D91" s="2247"/>
      <c r="E91" s="2247"/>
      <c r="F91" s="2247"/>
      <c r="G91" s="2247"/>
      <c r="H91" s="2247"/>
      <c r="I91" s="2247"/>
      <c r="J91" s="2293"/>
      <c r="K91" s="2294"/>
      <c r="L91" s="2294"/>
      <c r="M91" s="2294"/>
      <c r="N91" s="2294"/>
    </row>
    <row r="92" spans="1:37">
      <c r="A92" s="3587"/>
      <c r="B92" s="3587"/>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88"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89"/>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89"/>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89"/>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89"/>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89"/>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89"/>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90"/>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88" t="s">
        <v>2552</v>
      </c>
      <c r="B101" s="2299" t="s">
        <v>2553</v>
      </c>
      <c r="C101" s="2300">
        <f>$G$3</f>
        <v>1.47</v>
      </c>
      <c r="D101" s="2300">
        <f t="shared" ref="D101:N101" si="31">$G$3</f>
        <v>1.47</v>
      </c>
      <c r="E101" s="2300">
        <f t="shared" si="31"/>
        <v>1.47</v>
      </c>
      <c r="F101" s="2300">
        <f t="shared" si="31"/>
        <v>1.47</v>
      </c>
      <c r="G101" s="2300">
        <f t="shared" si="31"/>
        <v>1.47</v>
      </c>
      <c r="H101" s="2300">
        <f t="shared" si="31"/>
        <v>1.47</v>
      </c>
      <c r="I101" s="2300">
        <f t="shared" si="31"/>
        <v>1.47</v>
      </c>
      <c r="J101" s="2300">
        <f t="shared" si="31"/>
        <v>1.47</v>
      </c>
      <c r="K101" s="2300">
        <f t="shared" si="31"/>
        <v>1.47</v>
      </c>
      <c r="L101" s="2300">
        <f t="shared" si="31"/>
        <v>1.47</v>
      </c>
      <c r="M101" s="2300">
        <f t="shared" si="31"/>
        <v>1.47</v>
      </c>
      <c r="N101" s="2300">
        <f t="shared" si="31"/>
        <v>1.47</v>
      </c>
    </row>
    <row r="102" spans="1:14">
      <c r="A102" s="3589"/>
      <c r="B102" s="2295">
        <v>1</v>
      </c>
      <c r="C102" s="2296">
        <f>1.9362/C101</f>
        <v>1.3171428571428572</v>
      </c>
      <c r="D102" s="2296">
        <f>1.9362/D101</f>
        <v>1.3171428571428572</v>
      </c>
      <c r="E102" s="2296">
        <f>1.8629/E101</f>
        <v>1.2672789115646259</v>
      </c>
      <c r="F102" s="2296">
        <f>1.8629/F101</f>
        <v>1.2672789115646259</v>
      </c>
      <c r="G102" s="2296">
        <f>1.8629/G101</f>
        <v>1.2672789115646259</v>
      </c>
      <c r="H102" s="2296">
        <f>1.8629/H101</f>
        <v>1.2672789115646259</v>
      </c>
      <c r="I102" s="2296">
        <f>1.8629/I101</f>
        <v>1.2672789115646259</v>
      </c>
      <c r="J102" s="2296">
        <f>1.942/J101</f>
        <v>1.3210884353741497</v>
      </c>
      <c r="K102" s="2296">
        <f>1.942/K101</f>
        <v>1.3210884353741497</v>
      </c>
      <c r="L102" s="2296">
        <f>1.942/L101</f>
        <v>1.3210884353741497</v>
      </c>
      <c r="M102" s="2296">
        <f>1.942/M101</f>
        <v>1.3210884353741497</v>
      </c>
      <c r="N102" s="2296">
        <f>1.942/N101</f>
        <v>1.3210884353741497</v>
      </c>
    </row>
    <row r="103" spans="1:14">
      <c r="A103" s="3589"/>
      <c r="B103" s="2295">
        <v>2</v>
      </c>
      <c r="C103" s="2296">
        <f>1.4198/C101</f>
        <v>0.96585034013605442</v>
      </c>
      <c r="D103" s="2296">
        <f>1.4198/D101</f>
        <v>0.96585034013605442</v>
      </c>
      <c r="E103" s="2296">
        <f>1.3372/E101</f>
        <v>0.90965986394557818</v>
      </c>
      <c r="F103" s="2296">
        <f>1.3372/F101</f>
        <v>0.90965986394557818</v>
      </c>
      <c r="G103" s="2296">
        <f>1.3372/G101</f>
        <v>0.90965986394557818</v>
      </c>
      <c r="H103" s="2296">
        <f>1.3372/H101</f>
        <v>0.90965986394557818</v>
      </c>
      <c r="I103" s="2296">
        <f>1.3372/I101</f>
        <v>0.90965986394557818</v>
      </c>
      <c r="J103" s="2296">
        <f>1.2799/J101</f>
        <v>0.87068027210884358</v>
      </c>
      <c r="K103" s="2296">
        <f>1.2799/K101</f>
        <v>0.87068027210884358</v>
      </c>
      <c r="L103" s="2296">
        <f>1.2799/L101</f>
        <v>0.87068027210884358</v>
      </c>
      <c r="M103" s="2296">
        <f>1.2799/M101</f>
        <v>0.87068027210884358</v>
      </c>
      <c r="N103" s="2296">
        <f>1.2799/N101</f>
        <v>0.87068027210884358</v>
      </c>
    </row>
    <row r="104" spans="1:14">
      <c r="A104" s="3589"/>
      <c r="B104" s="2295">
        <v>3</v>
      </c>
      <c r="C104" s="2296">
        <f>1.1594/C101</f>
        <v>0.78870748299319726</v>
      </c>
      <c r="D104" s="2296">
        <f>1.1594/D101</f>
        <v>0.78870748299319726</v>
      </c>
      <c r="E104" s="2296">
        <f>1.0788/E101</f>
        <v>0.73387755102040819</v>
      </c>
      <c r="F104" s="2296">
        <f>1.0788/F101</f>
        <v>0.73387755102040819</v>
      </c>
      <c r="G104" s="2296">
        <f>1.0788/G101</f>
        <v>0.73387755102040819</v>
      </c>
      <c r="H104" s="2296">
        <f>1.0788/H101</f>
        <v>0.73387755102040819</v>
      </c>
      <c r="I104" s="2296">
        <f>1.0788/I101</f>
        <v>0.73387755102040819</v>
      </c>
      <c r="J104" s="2296">
        <f>1.0072/J101</f>
        <v>0.68517006802721092</v>
      </c>
      <c r="K104" s="2296">
        <f>1.0072/K101</f>
        <v>0.68517006802721092</v>
      </c>
      <c r="L104" s="2296">
        <f>1.0072/L101</f>
        <v>0.68517006802721092</v>
      </c>
      <c r="M104" s="2296">
        <f>1.0072/M101</f>
        <v>0.68517006802721092</v>
      </c>
      <c r="N104" s="2296">
        <f>1.0072/N101</f>
        <v>0.68517006802721092</v>
      </c>
    </row>
    <row r="105" spans="1:14">
      <c r="A105" s="3589"/>
      <c r="B105" s="2295">
        <v>4</v>
      </c>
      <c r="C105" s="2296">
        <f>0.9622/C101</f>
        <v>0.6545578231292517</v>
      </c>
      <c r="D105" s="2296">
        <f>0.9622/D101</f>
        <v>0.6545578231292517</v>
      </c>
      <c r="E105" s="2296">
        <f>0.8656/E101</f>
        <v>0.58884353741496598</v>
      </c>
      <c r="F105" s="2296">
        <f>0.8656/F101</f>
        <v>0.58884353741496598</v>
      </c>
      <c r="G105" s="2296">
        <f>0.8656/G101</f>
        <v>0.58884353741496598</v>
      </c>
      <c r="H105" s="2296">
        <f>0.8656/H101</f>
        <v>0.58884353741496598</v>
      </c>
      <c r="I105" s="2296">
        <f>0.8656/I101</f>
        <v>0.58884353741496598</v>
      </c>
      <c r="J105" s="2296">
        <f>0.7525/J101</f>
        <v>0.51190476190476186</v>
      </c>
      <c r="K105" s="2296">
        <f>0.7525/K101</f>
        <v>0.51190476190476186</v>
      </c>
      <c r="L105" s="2296">
        <f>0.7525/L101</f>
        <v>0.51190476190476186</v>
      </c>
      <c r="M105" s="2296">
        <f>0.7525/M101</f>
        <v>0.51190476190476186</v>
      </c>
      <c r="N105" s="2296">
        <f>0.7525/N101</f>
        <v>0.51190476190476186</v>
      </c>
    </row>
    <row r="106" spans="1:14">
      <c r="A106" s="3589"/>
      <c r="B106" s="2295">
        <v>5</v>
      </c>
      <c r="C106" s="2296">
        <f>0.8417/C101</f>
        <v>0.5725850340136055</v>
      </c>
      <c r="D106" s="2296">
        <f>0.8417/D101</f>
        <v>0.5725850340136055</v>
      </c>
      <c r="E106" s="2296">
        <f>0.7371/E101</f>
        <v>0.50142857142857145</v>
      </c>
      <c r="F106" s="2296">
        <f>0.7371/F101</f>
        <v>0.50142857142857145</v>
      </c>
      <c r="G106" s="2296">
        <f>0.7371/G101</f>
        <v>0.50142857142857145</v>
      </c>
      <c r="H106" s="2296">
        <f>0.7371/H101</f>
        <v>0.50142857142857145</v>
      </c>
      <c r="I106" s="2296">
        <f>0.7371/I101</f>
        <v>0.50142857142857145</v>
      </c>
      <c r="J106" s="2296">
        <f>0.5659/J101</f>
        <v>0.38496598639455781</v>
      </c>
      <c r="K106" s="2296">
        <f>0.5659/K101</f>
        <v>0.38496598639455781</v>
      </c>
      <c r="L106" s="2296">
        <f>0.5659/L101</f>
        <v>0.38496598639455781</v>
      </c>
      <c r="M106" s="2296">
        <f>0.5659/M101</f>
        <v>0.38496598639455781</v>
      </c>
      <c r="N106" s="2296">
        <f>0.5659/N101</f>
        <v>0.38496598639455781</v>
      </c>
    </row>
    <row r="107" spans="1:14">
      <c r="A107" s="3589"/>
      <c r="B107" s="2295">
        <v>6</v>
      </c>
      <c r="C107" s="2296">
        <f>0.7608/C101</f>
        <v>0.51755102040816325</v>
      </c>
      <c r="D107" s="2296">
        <f>0.7608/D101</f>
        <v>0.51755102040816325</v>
      </c>
      <c r="E107" s="2296">
        <f>0.6482/E101</f>
        <v>0.44095238095238098</v>
      </c>
      <c r="F107" s="2296">
        <f>0.6482/F101</f>
        <v>0.44095238095238098</v>
      </c>
      <c r="G107" s="2296">
        <f>0.6482/G101</f>
        <v>0.44095238095238098</v>
      </c>
      <c r="H107" s="2296">
        <f>0.6482/H101</f>
        <v>0.44095238095238098</v>
      </c>
      <c r="I107" s="2296">
        <f>0.6482/I101</f>
        <v>0.44095238095238098</v>
      </c>
      <c r="J107" s="2296">
        <f>0.4525/J101</f>
        <v>0.30782312925170069</v>
      </c>
      <c r="K107" s="2296">
        <f>0.4525/K101</f>
        <v>0.30782312925170069</v>
      </c>
      <c r="L107" s="2296">
        <f>0.4525/L101</f>
        <v>0.30782312925170069</v>
      </c>
      <c r="M107" s="2296">
        <f>0.4525/M101</f>
        <v>0.30782312925170069</v>
      </c>
      <c r="N107" s="2296">
        <f>0.4525/N101</f>
        <v>0.30782312925170069</v>
      </c>
    </row>
    <row r="108" spans="1:14">
      <c r="A108" s="3589"/>
      <c r="B108" s="3591"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90"/>
      <c r="B109" s="3592"/>
      <c r="C109" s="2298">
        <f>(-0.163*(C108^2)-0.59*C108+7617)*(10^(-4))/C101</f>
        <v>0.51816326530612244</v>
      </c>
      <c r="D109" s="2298">
        <f>(-0.163*(D108^2)-0.59*D108+7617)*(10^(-4))/D101</f>
        <v>0.51816326530612244</v>
      </c>
      <c r="E109" s="2298">
        <f>(-0.161*(E108^2)-7.509*E108+6533)*(10^(-4))/E101</f>
        <v>0.44442176870748301</v>
      </c>
      <c r="F109" s="2298">
        <f>(-0.161*(F108^2)-7.509*F108+6533)*(10^(-4))/F101</f>
        <v>0.44442176870748301</v>
      </c>
      <c r="G109" s="2298">
        <f>(-0.161*(G108^2)-7.509*G108+6533)*(10^(-4))/G101</f>
        <v>0.44442176870748301</v>
      </c>
      <c r="H109" s="2298">
        <f>(-0.161*(H108^2)-7.509*H108+6533)*(10^(-4))/H101</f>
        <v>0.44442176870748301</v>
      </c>
      <c r="I109" s="2298">
        <f>(-0.161*(I108^2)-7.509*I108+6533)*(10^(-4))/I101</f>
        <v>0.44442176870748301</v>
      </c>
      <c r="J109" s="2298">
        <f>(-0.214*(J108^2)-21.991*J108+4665)*(10^(-4))/J101</f>
        <v>0.31734693877551023</v>
      </c>
      <c r="K109" s="2298">
        <f>(-0.214*(K108^2)-21.991*K108+4665)*(10^(-4))/K101</f>
        <v>0.31734693877551023</v>
      </c>
      <c r="L109" s="2298">
        <f>(-0.214*(L108^2)-21.991*L108+4665)*(10^(-4))/L101</f>
        <v>0.31734693877551023</v>
      </c>
      <c r="M109" s="2298">
        <f>(-0.214*(M108^2)-21.991*M108+4665)*(10^(-4))/M101</f>
        <v>0.31734693877551023</v>
      </c>
      <c r="N109" s="2298">
        <f>(-0.214*(N108^2)-21.991*N108+4665)*(10^(-4))/N101</f>
        <v>0.31734693877551023</v>
      </c>
    </row>
    <row r="110" spans="1:14">
      <c r="A110" s="3586" t="s">
        <v>2555</v>
      </c>
      <c r="B110" s="3586"/>
      <c r="C110" s="3586"/>
      <c r="D110" s="3586"/>
      <c r="E110" s="3586"/>
      <c r="F110" s="3586"/>
      <c r="G110" s="3586"/>
      <c r="H110" s="3586"/>
      <c r="I110" s="3586"/>
      <c r="J110" s="3586"/>
      <c r="K110" s="2301"/>
      <c r="L110" s="2301"/>
      <c r="M110" s="2301"/>
      <c r="N110" s="2301"/>
    </row>
    <row r="112" spans="1:14" ht="13.8" thickBot="1"/>
    <row r="113" spans="1:13" ht="25.8" thickBot="1">
      <c r="A113" s="824" t="s">
        <v>2556</v>
      </c>
      <c r="B113" s="1178">
        <f>G3</f>
        <v>1.47</v>
      </c>
      <c r="C113" s="825" t="s">
        <v>2557</v>
      </c>
      <c r="D113" s="826">
        <f>SUMPRODUCT((A115:A118=F113)*(B114:M114=H113)*B115:M118)</f>
        <v>0</v>
      </c>
      <c r="E113" s="2137" t="s">
        <v>2390</v>
      </c>
      <c r="F113" s="2303">
        <f>E2</f>
        <v>0</v>
      </c>
      <c r="G113" s="2137" t="s">
        <v>2391</v>
      </c>
      <c r="H113" s="2303" t="str">
        <f>G2</f>
        <v>十级</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0.91969999999999996</v>
      </c>
      <c r="C115" s="831">
        <f>B115</f>
        <v>0.91969999999999996</v>
      </c>
      <c r="D115" s="831">
        <f>ROUND(0.8331-0.0109*B113,4)</f>
        <v>0.81710000000000005</v>
      </c>
      <c r="E115" s="831">
        <f>D115</f>
        <v>0.81710000000000005</v>
      </c>
      <c r="F115" s="831">
        <f>E115</f>
        <v>0.81710000000000005</v>
      </c>
      <c r="G115" s="831">
        <f>F115</f>
        <v>0.81710000000000005</v>
      </c>
      <c r="H115" s="831">
        <f>G115</f>
        <v>0.81710000000000005</v>
      </c>
      <c r="I115" s="831">
        <f>ROUND(0.689-0.0155*B113,4)</f>
        <v>0.66620000000000001</v>
      </c>
      <c r="J115" s="831">
        <f t="shared" ref="J115:M118" si="33">I115</f>
        <v>0.66620000000000001</v>
      </c>
      <c r="K115" s="831">
        <f t="shared" si="33"/>
        <v>0.66620000000000001</v>
      </c>
      <c r="L115" s="831">
        <f t="shared" si="33"/>
        <v>0.66620000000000001</v>
      </c>
      <c r="M115" s="832">
        <f t="shared" si="33"/>
        <v>0.66620000000000001</v>
      </c>
    </row>
    <row r="116" spans="1:13">
      <c r="A116" s="830" t="s">
        <v>2456</v>
      </c>
      <c r="B116" s="831">
        <f>ROUND(0.949-0.012*B113,4)</f>
        <v>0.93140000000000001</v>
      </c>
      <c r="C116" s="831">
        <f>B116</f>
        <v>0.93140000000000001</v>
      </c>
      <c r="D116" s="831">
        <f>ROUND(0.8567-0.013*B113,4)</f>
        <v>0.83760000000000001</v>
      </c>
      <c r="E116" s="831">
        <f t="shared" ref="E116:H117" si="34">D116</f>
        <v>0.83760000000000001</v>
      </c>
      <c r="F116" s="831">
        <f t="shared" si="34"/>
        <v>0.83760000000000001</v>
      </c>
      <c r="G116" s="831">
        <f t="shared" si="34"/>
        <v>0.83760000000000001</v>
      </c>
      <c r="H116" s="831">
        <f t="shared" si="34"/>
        <v>0.83760000000000001</v>
      </c>
      <c r="I116" s="831">
        <f>ROUND(0.7694-0.014*B113,4)</f>
        <v>0.74880000000000002</v>
      </c>
      <c r="J116" s="831">
        <f t="shared" si="33"/>
        <v>0.74880000000000002</v>
      </c>
      <c r="K116" s="831">
        <f t="shared" si="33"/>
        <v>0.74880000000000002</v>
      </c>
      <c r="L116" s="831">
        <f t="shared" si="33"/>
        <v>0.74880000000000002</v>
      </c>
      <c r="M116" s="832">
        <f t="shared" si="33"/>
        <v>0.74880000000000002</v>
      </c>
    </row>
    <row r="117" spans="1:13">
      <c r="A117" s="830" t="s">
        <v>2457</v>
      </c>
      <c r="B117" s="831">
        <f>ROUND(0.8808-0.006*B113,4)</f>
        <v>0.872</v>
      </c>
      <c r="C117" s="831">
        <f>B117</f>
        <v>0.872</v>
      </c>
      <c r="D117" s="831">
        <f>ROUND(0.8748-0.008*B113,4)</f>
        <v>0.86299999999999999</v>
      </c>
      <c r="E117" s="831">
        <f t="shared" si="34"/>
        <v>0.86299999999999999</v>
      </c>
      <c r="F117" s="831">
        <f t="shared" si="34"/>
        <v>0.86299999999999999</v>
      </c>
      <c r="G117" s="831">
        <f t="shared" si="34"/>
        <v>0.86299999999999999</v>
      </c>
      <c r="H117" s="831">
        <f t="shared" si="34"/>
        <v>0.86299999999999999</v>
      </c>
      <c r="I117" s="831">
        <f>ROUND(0.7412-0.0095*B113,4)</f>
        <v>0.72719999999999996</v>
      </c>
      <c r="J117" s="831">
        <f t="shared" si="33"/>
        <v>0.72719999999999996</v>
      </c>
      <c r="K117" s="831">
        <f t="shared" si="33"/>
        <v>0.72719999999999996</v>
      </c>
      <c r="L117" s="831">
        <f t="shared" si="33"/>
        <v>0.72719999999999996</v>
      </c>
      <c r="M117" s="832">
        <f t="shared" si="33"/>
        <v>0.72719999999999996</v>
      </c>
    </row>
    <row r="118" spans="1:13" ht="13.8" thickBot="1">
      <c r="A118" s="670" t="s">
        <v>2458</v>
      </c>
      <c r="B118" s="833">
        <f>ROUND(0.7275-0.01*B113,4)</f>
        <v>0.71279999999999999</v>
      </c>
      <c r="C118" s="833">
        <f>B118</f>
        <v>0.71279999999999999</v>
      </c>
      <c r="D118" s="833">
        <f>ROUND(0.7043-0.012*B113,4)</f>
        <v>0.68669999999999998</v>
      </c>
      <c r="E118" s="833">
        <f>D118</f>
        <v>0.68669999999999998</v>
      </c>
      <c r="F118" s="833">
        <f>E118</f>
        <v>0.68669999999999998</v>
      </c>
      <c r="G118" s="833">
        <f>ROUND(0.6299-0.0122*B113,4)</f>
        <v>0.61199999999999999</v>
      </c>
      <c r="H118" s="833">
        <f>G118</f>
        <v>0.61199999999999999</v>
      </c>
      <c r="I118" s="833">
        <f>ROUND(0.5667-0.0136*B113,4)</f>
        <v>0.54669999999999996</v>
      </c>
      <c r="J118" s="833">
        <f t="shared" si="33"/>
        <v>0.54669999999999996</v>
      </c>
      <c r="K118" s="833">
        <f t="shared" si="33"/>
        <v>0.54669999999999996</v>
      </c>
      <c r="L118" s="833">
        <f t="shared" si="33"/>
        <v>0.54669999999999996</v>
      </c>
      <c r="M118" s="834">
        <f t="shared" si="33"/>
        <v>0.54669999999999996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608" t="s">
        <v>2952</v>
      </c>
      <c r="B20" s="3603" t="s">
        <v>2953</v>
      </c>
      <c r="C20" s="3211" t="s">
        <v>2954</v>
      </c>
      <c r="D20" s="3212"/>
      <c r="E20" s="3213">
        <v>1</v>
      </c>
      <c r="F20" s="3214" t="s">
        <v>2955</v>
      </c>
      <c r="G20" s="807"/>
      <c r="H20" s="801"/>
      <c r="I20" s="801"/>
    </row>
    <row r="21" spans="1:13" s="808" customFormat="1" ht="19.5" customHeight="1">
      <c r="A21" s="3609"/>
      <c r="B21" s="3602"/>
      <c r="C21" s="805" t="s">
        <v>2956</v>
      </c>
      <c r="D21" s="806"/>
      <c r="E21" s="3215">
        <v>1</v>
      </c>
      <c r="F21" s="3214" t="s">
        <v>2957</v>
      </c>
      <c r="G21" s="807"/>
      <c r="H21" s="801"/>
      <c r="I21" s="801"/>
    </row>
    <row r="22" spans="1:13" s="808" customFormat="1" ht="19.5" customHeight="1">
      <c r="A22" s="3609"/>
      <c r="B22" s="3602"/>
      <c r="C22" s="805" t="s">
        <v>2958</v>
      </c>
      <c r="D22" s="806"/>
      <c r="E22" s="3215">
        <v>0.9</v>
      </c>
      <c r="F22" s="3214" t="s">
        <v>2959</v>
      </c>
      <c r="G22" s="807"/>
      <c r="H22" s="801"/>
      <c r="I22" s="801"/>
    </row>
    <row r="23" spans="1:13" s="808" customFormat="1" ht="19.5" customHeight="1">
      <c r="A23" s="3609"/>
      <c r="B23" s="3602"/>
      <c r="C23" s="805" t="s">
        <v>2960</v>
      </c>
      <c r="D23" s="806"/>
      <c r="E23" s="3215">
        <v>0.9</v>
      </c>
      <c r="F23" s="3214" t="s">
        <v>2961</v>
      </c>
      <c r="G23" s="807"/>
      <c r="H23" s="801"/>
      <c r="I23" s="801"/>
    </row>
    <row r="24" spans="1:13" s="808" customFormat="1" ht="19.5" customHeight="1">
      <c r="A24" s="3609"/>
      <c r="B24" s="3602"/>
      <c r="C24" s="805" t="s">
        <v>2962</v>
      </c>
      <c r="D24" s="806"/>
      <c r="E24" s="3215">
        <v>0.8</v>
      </c>
      <c r="F24" s="3214" t="s">
        <v>2963</v>
      </c>
      <c r="G24" s="807"/>
      <c r="H24" s="801"/>
      <c r="I24" s="801"/>
    </row>
    <row r="25" spans="1:13" s="808" customFormat="1" ht="19.5" customHeight="1" thickBot="1">
      <c r="A25" s="3610"/>
      <c r="B25" s="3604"/>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605" t="s">
        <v>2969</v>
      </c>
      <c r="B27" s="3603" t="s">
        <v>2969</v>
      </c>
      <c r="C27" s="3211" t="s">
        <v>2970</v>
      </c>
      <c r="D27" s="3212"/>
      <c r="E27" s="3213">
        <v>1</v>
      </c>
      <c r="F27" s="3214" t="s">
        <v>2971</v>
      </c>
      <c r="G27" s="807"/>
      <c r="H27" s="801"/>
      <c r="I27" s="801"/>
    </row>
    <row r="28" spans="1:13" s="808" customFormat="1" ht="19.5" customHeight="1">
      <c r="A28" s="3606"/>
      <c r="B28" s="3602"/>
      <c r="C28" s="805" t="s">
        <v>2972</v>
      </c>
      <c r="D28" s="806"/>
      <c r="E28" s="3215">
        <v>1</v>
      </c>
      <c r="F28" s="3214" t="s">
        <v>2973</v>
      </c>
      <c r="G28" s="807"/>
      <c r="H28" s="801"/>
      <c r="I28" s="801"/>
    </row>
    <row r="29" spans="1:13" s="808" customFormat="1" ht="19.5" customHeight="1">
      <c r="A29" s="3606"/>
      <c r="B29" s="3602"/>
      <c r="C29" s="805" t="s">
        <v>2974</v>
      </c>
      <c r="D29" s="806"/>
      <c r="E29" s="3215">
        <v>0.8</v>
      </c>
      <c r="F29" s="3214" t="s">
        <v>2975</v>
      </c>
      <c r="G29" s="807"/>
      <c r="H29" s="801"/>
      <c r="I29" s="801"/>
    </row>
    <row r="30" spans="1:13" s="808" customFormat="1" ht="19.5" customHeight="1">
      <c r="A30" s="3606"/>
      <c r="B30" s="3602"/>
      <c r="C30" s="805" t="s">
        <v>2976</v>
      </c>
      <c r="D30" s="806"/>
      <c r="E30" s="3215">
        <v>0.8</v>
      </c>
      <c r="F30" s="3214" t="s">
        <v>2977</v>
      </c>
      <c r="G30" s="807"/>
      <c r="H30" s="801"/>
      <c r="I30" s="801"/>
    </row>
    <row r="31" spans="1:13" s="808" customFormat="1" ht="19.5" customHeight="1">
      <c r="A31" s="3606"/>
      <c r="B31" s="3602"/>
      <c r="C31" s="805" t="s">
        <v>2978</v>
      </c>
      <c r="D31" s="806"/>
      <c r="E31" s="3215">
        <v>0.8</v>
      </c>
      <c r="F31" s="3214" t="s">
        <v>2979</v>
      </c>
      <c r="G31" s="807"/>
      <c r="H31" s="801"/>
      <c r="I31" s="801"/>
    </row>
    <row r="32" spans="1:13" s="808" customFormat="1" ht="19.5" customHeight="1">
      <c r="A32" s="3606"/>
      <c r="B32" s="3602"/>
      <c r="C32" s="805" t="s">
        <v>2980</v>
      </c>
      <c r="D32" s="806"/>
      <c r="E32" s="3215">
        <v>0.7</v>
      </c>
      <c r="F32" s="3214" t="s">
        <v>2981</v>
      </c>
      <c r="G32" s="807"/>
      <c r="H32" s="801"/>
      <c r="I32" s="801"/>
    </row>
    <row r="33" spans="1:9" s="808" customFormat="1" ht="19.5" customHeight="1">
      <c r="A33" s="3606"/>
      <c r="B33" s="3602"/>
      <c r="C33" s="805" t="s">
        <v>2982</v>
      </c>
      <c r="D33" s="806"/>
      <c r="E33" s="3215">
        <v>0.8</v>
      </c>
      <c r="F33" s="3214" t="s">
        <v>2983</v>
      </c>
      <c r="G33" s="807"/>
      <c r="H33" s="801"/>
      <c r="I33" s="801"/>
    </row>
    <row r="34" spans="1:9" s="808" customFormat="1" ht="19.5" customHeight="1">
      <c r="A34" s="3606"/>
      <c r="B34" s="3602"/>
      <c r="C34" s="805" t="s">
        <v>2984</v>
      </c>
      <c r="D34" s="806"/>
      <c r="E34" s="3215">
        <v>0.6</v>
      </c>
      <c r="F34" s="3214" t="s">
        <v>2985</v>
      </c>
      <c r="G34" s="807"/>
      <c r="H34" s="801"/>
      <c r="I34" s="801"/>
    </row>
    <row r="35" spans="1:9" s="808" customFormat="1" ht="19.5" customHeight="1">
      <c r="A35" s="3606"/>
      <c r="B35" s="3602"/>
      <c r="C35" s="805" t="s">
        <v>2986</v>
      </c>
      <c r="D35" s="806"/>
      <c r="E35" s="3215">
        <v>0.2</v>
      </c>
      <c r="F35" s="3214" t="s">
        <v>2987</v>
      </c>
      <c r="G35" s="807"/>
      <c r="H35" s="801"/>
      <c r="I35" s="801"/>
    </row>
    <row r="36" spans="1:9" s="808" customFormat="1" ht="19.5" customHeight="1">
      <c r="A36" s="3606"/>
      <c r="B36" s="3602"/>
      <c r="C36" s="805" t="s">
        <v>2988</v>
      </c>
      <c r="D36" s="806"/>
      <c r="E36" s="3215">
        <v>0.2</v>
      </c>
      <c r="F36" s="3214" t="s">
        <v>2989</v>
      </c>
      <c r="G36" s="807"/>
      <c r="H36" s="801"/>
      <c r="I36" s="801"/>
    </row>
    <row r="37" spans="1:9" s="808" customFormat="1" ht="19.5" customHeight="1">
      <c r="A37" s="3606"/>
      <c r="B37" s="3600" t="s">
        <v>2990</v>
      </c>
      <c r="C37" s="805" t="s">
        <v>2991</v>
      </c>
      <c r="D37" s="806"/>
      <c r="E37" s="3215">
        <v>0.6</v>
      </c>
      <c r="F37" s="3214" t="s">
        <v>2992</v>
      </c>
      <c r="G37" s="807"/>
      <c r="H37" s="801"/>
      <c r="I37" s="801"/>
    </row>
    <row r="38" spans="1:9" s="808" customFormat="1" ht="19.5" customHeight="1">
      <c r="A38" s="3606"/>
      <c r="B38" s="3602"/>
      <c r="C38" s="805" t="s">
        <v>2993</v>
      </c>
      <c r="D38" s="806"/>
      <c r="E38" s="3215">
        <v>0.6</v>
      </c>
      <c r="F38" s="3214" t="s">
        <v>2994</v>
      </c>
      <c r="G38" s="807"/>
      <c r="H38" s="801"/>
      <c r="I38" s="801"/>
    </row>
    <row r="39" spans="1:9" s="808" customFormat="1" ht="19.5" customHeight="1" thickBot="1">
      <c r="A39" s="3607"/>
      <c r="B39" s="3604"/>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608" t="s">
        <v>3000</v>
      </c>
      <c r="B41" s="3603" t="s">
        <v>3001</v>
      </c>
      <c r="C41" s="3211" t="s">
        <v>3002</v>
      </c>
      <c r="D41" s="3212"/>
      <c r="E41" s="3213">
        <v>1</v>
      </c>
      <c r="F41" s="3214" t="s">
        <v>3003</v>
      </c>
      <c r="G41" s="807"/>
      <c r="H41" s="801"/>
      <c r="I41" s="801"/>
    </row>
    <row r="42" spans="1:9" s="808" customFormat="1" ht="19.5" customHeight="1">
      <c r="A42" s="3609"/>
      <c r="B42" s="3602"/>
      <c r="C42" s="805" t="s">
        <v>3004</v>
      </c>
      <c r="D42" s="806"/>
      <c r="E42" s="3215">
        <v>1</v>
      </c>
      <c r="F42" s="3214" t="s">
        <v>3005</v>
      </c>
      <c r="G42" s="807"/>
      <c r="H42" s="801"/>
      <c r="I42" s="801"/>
    </row>
    <row r="43" spans="1:9" s="808" customFormat="1" ht="19.5" customHeight="1">
      <c r="A43" s="3609"/>
      <c r="B43" s="3601"/>
      <c r="C43" s="805" t="s">
        <v>3006</v>
      </c>
      <c r="D43" s="806"/>
      <c r="E43" s="3215">
        <v>1.5</v>
      </c>
      <c r="F43" s="3214" t="s">
        <v>3007</v>
      </c>
      <c r="G43" s="807"/>
      <c r="H43" s="801"/>
      <c r="I43" s="801"/>
    </row>
    <row r="44" spans="1:9" s="808" customFormat="1" ht="19.5" customHeight="1">
      <c r="A44" s="3609"/>
      <c r="B44" s="3224" t="s">
        <v>2969</v>
      </c>
      <c r="C44" s="805" t="s">
        <v>3008</v>
      </c>
      <c r="D44" s="806"/>
      <c r="E44" s="3215">
        <v>2</v>
      </c>
      <c r="F44" s="3214" t="s">
        <v>3009</v>
      </c>
      <c r="G44" s="807"/>
      <c r="H44" s="801"/>
      <c r="I44" s="801"/>
    </row>
    <row r="45" spans="1:9" s="808" customFormat="1" ht="19.5" customHeight="1">
      <c r="A45" s="3609"/>
      <c r="B45" s="3600" t="s">
        <v>3010</v>
      </c>
      <c r="C45" s="805" t="s">
        <v>3011</v>
      </c>
      <c r="D45" s="806"/>
      <c r="E45" s="3215">
        <v>1</v>
      </c>
      <c r="F45" s="3214" t="s">
        <v>3012</v>
      </c>
      <c r="G45" s="807"/>
      <c r="H45" s="801"/>
      <c r="I45" s="801"/>
    </row>
    <row r="46" spans="1:9" s="808" customFormat="1" ht="19.5" customHeight="1">
      <c r="A46" s="3609"/>
      <c r="B46" s="3602"/>
      <c r="C46" s="805" t="s">
        <v>3013</v>
      </c>
      <c r="D46" s="806"/>
      <c r="E46" s="3215">
        <v>1</v>
      </c>
      <c r="F46" s="3214" t="s">
        <v>3014</v>
      </c>
      <c r="G46" s="807"/>
      <c r="H46" s="801"/>
      <c r="I46" s="801"/>
    </row>
    <row r="47" spans="1:9" s="808" customFormat="1" ht="19.5" customHeight="1">
      <c r="A47" s="3609"/>
      <c r="B47" s="3602"/>
      <c r="C47" s="805" t="s">
        <v>3015</v>
      </c>
      <c r="D47" s="806"/>
      <c r="E47" s="3215">
        <v>1</v>
      </c>
      <c r="F47" s="3214" t="s">
        <v>3016</v>
      </c>
      <c r="G47" s="807"/>
      <c r="H47" s="801"/>
      <c r="I47" s="801"/>
    </row>
    <row r="48" spans="1:9" s="808" customFormat="1" ht="19.5" customHeight="1">
      <c r="A48" s="3609"/>
      <c r="B48" s="3602"/>
      <c r="C48" s="805" t="s">
        <v>3017</v>
      </c>
      <c r="D48" s="806"/>
      <c r="E48" s="3215">
        <v>1</v>
      </c>
      <c r="F48" s="3214" t="s">
        <v>3018</v>
      </c>
      <c r="G48" s="807"/>
      <c r="H48" s="801"/>
      <c r="I48" s="801"/>
    </row>
    <row r="49" spans="1:9" s="808" customFormat="1" ht="19.5" customHeight="1">
      <c r="A49" s="3609"/>
      <c r="B49" s="3602"/>
      <c r="C49" s="805" t="s">
        <v>3019</v>
      </c>
      <c r="D49" s="806"/>
      <c r="E49" s="3215">
        <v>1</v>
      </c>
      <c r="F49" s="3214" t="s">
        <v>3020</v>
      </c>
      <c r="G49" s="807"/>
      <c r="H49" s="801"/>
      <c r="I49" s="801"/>
    </row>
    <row r="50" spans="1:9" s="808" customFormat="1" ht="19.5" customHeight="1">
      <c r="A50" s="3609"/>
      <c r="B50" s="3602"/>
      <c r="C50" s="805" t="s">
        <v>3021</v>
      </c>
      <c r="D50" s="806"/>
      <c r="E50" s="3215">
        <v>1</v>
      </c>
      <c r="F50" s="3214" t="s">
        <v>3022</v>
      </c>
      <c r="G50" s="807"/>
      <c r="H50" s="801"/>
      <c r="I50" s="801"/>
    </row>
    <row r="51" spans="1:9" s="808" customFormat="1" ht="19.5" customHeight="1" thickBot="1">
      <c r="A51" s="3610"/>
      <c r="B51" s="3604"/>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3025</v>
      </c>
      <c r="D72" s="859"/>
      <c r="E72" s="816" t="s">
        <v>1</v>
      </c>
      <c r="F72" s="859" t="s">
        <v>1</v>
      </c>
    </row>
    <row r="73" spans="1:7" s="801" customFormat="1" ht="14.4">
      <c r="A73" s="3224">
        <v>1</v>
      </c>
      <c r="B73" s="3600" t="s">
        <v>3026</v>
      </c>
      <c r="C73" s="3204" t="s">
        <v>3027</v>
      </c>
      <c r="D73" s="3204" t="s">
        <v>3028</v>
      </c>
      <c r="E73" s="3225">
        <v>0.2</v>
      </c>
      <c r="F73" s="3224">
        <v>25</v>
      </c>
    </row>
    <row r="74" spans="1:7" s="801" customFormat="1" ht="24">
      <c r="A74" s="3224">
        <v>2</v>
      </c>
      <c r="B74" s="3602"/>
      <c r="C74" s="3204" t="s">
        <v>3029</v>
      </c>
      <c r="D74" s="3204" t="s">
        <v>3030</v>
      </c>
      <c r="E74" s="3225">
        <v>0.2</v>
      </c>
      <c r="F74" s="3224">
        <v>25</v>
      </c>
    </row>
    <row r="75" spans="1:7" s="801" customFormat="1" ht="24">
      <c r="A75" s="3224">
        <v>3</v>
      </c>
      <c r="B75" s="3602"/>
      <c r="C75" s="3204" t="s">
        <v>3031</v>
      </c>
      <c r="D75" s="3204" t="s">
        <v>3032</v>
      </c>
      <c r="E75" s="3225">
        <v>0.2</v>
      </c>
      <c r="F75" s="3224">
        <v>25</v>
      </c>
    </row>
    <row r="76" spans="1:7" s="801" customFormat="1" ht="14.4">
      <c r="A76" s="3224">
        <v>4</v>
      </c>
      <c r="B76" s="3602"/>
      <c r="C76" s="3204" t="s">
        <v>3033</v>
      </c>
      <c r="D76" s="3204" t="s">
        <v>3034</v>
      </c>
      <c r="E76" s="3225">
        <v>0.15</v>
      </c>
      <c r="F76" s="3224">
        <v>20</v>
      </c>
    </row>
    <row r="77" spans="1:7" s="801" customFormat="1" ht="24">
      <c r="A77" s="3224">
        <v>5</v>
      </c>
      <c r="B77" s="3602"/>
      <c r="C77" s="3204" t="s">
        <v>3035</v>
      </c>
      <c r="D77" s="3204" t="s">
        <v>3036</v>
      </c>
      <c r="E77" s="3225">
        <v>0.15</v>
      </c>
      <c r="F77" s="3224">
        <v>20</v>
      </c>
    </row>
    <row r="78" spans="1:7" s="801" customFormat="1" ht="24">
      <c r="A78" s="3224">
        <v>6</v>
      </c>
      <c r="B78" s="3602"/>
      <c r="C78" s="3204" t="s">
        <v>3037</v>
      </c>
      <c r="D78" s="3204" t="s">
        <v>3038</v>
      </c>
      <c r="E78" s="3225">
        <v>0.15</v>
      </c>
      <c r="F78" s="3224">
        <v>20</v>
      </c>
    </row>
    <row r="79" spans="1:7" s="801" customFormat="1" ht="24">
      <c r="A79" s="3224">
        <v>7</v>
      </c>
      <c r="B79" s="3602"/>
      <c r="C79" s="3204" t="s">
        <v>3039</v>
      </c>
      <c r="D79" s="3204" t="s">
        <v>3040</v>
      </c>
      <c r="E79" s="3225">
        <v>0.15</v>
      </c>
      <c r="F79" s="3224">
        <v>20</v>
      </c>
    </row>
    <row r="80" spans="1:7" s="801" customFormat="1" ht="24">
      <c r="A80" s="3224">
        <v>8</v>
      </c>
      <c r="B80" s="3602"/>
      <c r="C80" s="3204" t="s">
        <v>3041</v>
      </c>
      <c r="D80" s="3204" t="s">
        <v>3042</v>
      </c>
      <c r="E80" s="3225">
        <v>0.1</v>
      </c>
      <c r="F80" s="3224">
        <v>15</v>
      </c>
    </row>
    <row r="81" spans="1:6" s="801" customFormat="1" ht="24">
      <c r="A81" s="3224">
        <v>9</v>
      </c>
      <c r="B81" s="3602"/>
      <c r="C81" s="3204" t="s">
        <v>3043</v>
      </c>
      <c r="D81" s="3204" t="s">
        <v>3044</v>
      </c>
      <c r="E81" s="3225">
        <v>0.1</v>
      </c>
      <c r="F81" s="3224">
        <v>15</v>
      </c>
    </row>
    <row r="82" spans="1:6" s="801" customFormat="1" ht="24">
      <c r="A82" s="3224">
        <v>10</v>
      </c>
      <c r="B82" s="3602"/>
      <c r="C82" s="3204" t="s">
        <v>3045</v>
      </c>
      <c r="D82" s="3204" t="s">
        <v>3046</v>
      </c>
      <c r="E82" s="3225">
        <v>0.1</v>
      </c>
      <c r="F82" s="3224">
        <v>15</v>
      </c>
    </row>
    <row r="83" spans="1:6" s="801" customFormat="1" ht="24">
      <c r="A83" s="3224">
        <v>11</v>
      </c>
      <c r="B83" s="3602"/>
      <c r="C83" s="3204" t="s">
        <v>3047</v>
      </c>
      <c r="D83" s="3204" t="s">
        <v>3048</v>
      </c>
      <c r="E83" s="3225">
        <v>0.1</v>
      </c>
      <c r="F83" s="3224">
        <v>15</v>
      </c>
    </row>
    <row r="84" spans="1:6" s="801" customFormat="1" ht="24">
      <c r="A84" s="3224">
        <v>12</v>
      </c>
      <c r="B84" s="3602"/>
      <c r="C84" s="3204" t="s">
        <v>3049</v>
      </c>
      <c r="D84" s="3204" t="s">
        <v>3050</v>
      </c>
      <c r="E84" s="3225">
        <v>0.1</v>
      </c>
      <c r="F84" s="3224">
        <v>15</v>
      </c>
    </row>
    <row r="85" spans="1:6" s="801" customFormat="1" ht="24">
      <c r="A85" s="3224">
        <v>13</v>
      </c>
      <c r="B85" s="3602"/>
      <c r="C85" s="3204" t="s">
        <v>3051</v>
      </c>
      <c r="D85" s="3204" t="s">
        <v>3052</v>
      </c>
      <c r="E85" s="3225">
        <v>0.1</v>
      </c>
      <c r="F85" s="3224">
        <v>15</v>
      </c>
    </row>
    <row r="86" spans="1:6" s="801" customFormat="1" ht="24">
      <c r="A86" s="3224">
        <v>14</v>
      </c>
      <c r="B86" s="3602"/>
      <c r="C86" s="3204" t="s">
        <v>3053</v>
      </c>
      <c r="D86" s="3204" t="s">
        <v>3054</v>
      </c>
      <c r="E86" s="3225">
        <v>0.1</v>
      </c>
      <c r="F86" s="3224">
        <v>15</v>
      </c>
    </row>
    <row r="87" spans="1:6" s="801" customFormat="1" ht="24">
      <c r="A87" s="3224">
        <v>15</v>
      </c>
      <c r="B87" s="3602"/>
      <c r="C87" s="3204" t="s">
        <v>3055</v>
      </c>
      <c r="D87" s="3204" t="s">
        <v>3056</v>
      </c>
      <c r="E87" s="3225">
        <v>0.1</v>
      </c>
      <c r="F87" s="3224">
        <v>15</v>
      </c>
    </row>
    <row r="88" spans="1:6" s="801" customFormat="1" ht="24">
      <c r="A88" s="3224">
        <v>16</v>
      </c>
      <c r="B88" s="3602"/>
      <c r="C88" s="3204" t="s">
        <v>3057</v>
      </c>
      <c r="D88" s="3204" t="s">
        <v>3058</v>
      </c>
      <c r="E88" s="3225">
        <v>0.1</v>
      </c>
      <c r="F88" s="3224">
        <v>15</v>
      </c>
    </row>
    <row r="89" spans="1:6" s="801" customFormat="1" ht="24">
      <c r="A89" s="3224">
        <v>17</v>
      </c>
      <c r="B89" s="3601"/>
      <c r="C89" s="3204" t="s">
        <v>3059</v>
      </c>
      <c r="D89" s="3204" t="s">
        <v>3060</v>
      </c>
      <c r="E89" s="3225">
        <v>0.1</v>
      </c>
      <c r="F89" s="3224">
        <v>15</v>
      </c>
    </row>
    <row r="90" spans="1:6" s="801" customFormat="1" ht="14.4">
      <c r="A90" s="3224">
        <v>18</v>
      </c>
      <c r="B90" s="3600" t="s">
        <v>3061</v>
      </c>
      <c r="C90" s="3204" t="s">
        <v>3062</v>
      </c>
      <c r="D90" s="3204" t="s">
        <v>3063</v>
      </c>
      <c r="E90" s="3225">
        <v>0.2</v>
      </c>
      <c r="F90" s="3224">
        <v>25</v>
      </c>
    </row>
    <row r="91" spans="1:6" s="801" customFormat="1" ht="24">
      <c r="A91" s="3224">
        <v>19</v>
      </c>
      <c r="B91" s="3602"/>
      <c r="C91" s="3204" t="s">
        <v>3064</v>
      </c>
      <c r="D91" s="3204" t="s">
        <v>3065</v>
      </c>
      <c r="E91" s="3225">
        <v>0.2</v>
      </c>
      <c r="F91" s="3224">
        <v>25</v>
      </c>
    </row>
    <row r="92" spans="1:6" s="801" customFormat="1" ht="14.4">
      <c r="A92" s="3224">
        <v>20</v>
      </c>
      <c r="B92" s="3602"/>
      <c r="C92" s="3204" t="s">
        <v>3066</v>
      </c>
      <c r="D92" s="3204" t="s">
        <v>3067</v>
      </c>
      <c r="E92" s="3225">
        <v>0.15</v>
      </c>
      <c r="F92" s="3224">
        <v>20</v>
      </c>
    </row>
    <row r="93" spans="1:6" s="801" customFormat="1" ht="24">
      <c r="A93" s="3224">
        <v>21</v>
      </c>
      <c r="B93" s="3602"/>
      <c r="C93" s="3204" t="s">
        <v>3068</v>
      </c>
      <c r="D93" s="3204" t="s">
        <v>3069</v>
      </c>
      <c r="E93" s="3225">
        <v>0.15</v>
      </c>
      <c r="F93" s="3224">
        <v>20</v>
      </c>
    </row>
    <row r="94" spans="1:6" s="801" customFormat="1" ht="24">
      <c r="A94" s="3224">
        <v>22</v>
      </c>
      <c r="B94" s="3602"/>
      <c r="C94" s="3204" t="s">
        <v>3070</v>
      </c>
      <c r="D94" s="3204" t="s">
        <v>3071</v>
      </c>
      <c r="E94" s="3225">
        <v>0.15</v>
      </c>
      <c r="F94" s="3224">
        <v>20</v>
      </c>
    </row>
    <row r="95" spans="1:6" s="801" customFormat="1" ht="36">
      <c r="A95" s="3224">
        <v>23</v>
      </c>
      <c r="B95" s="3602"/>
      <c r="C95" s="3204" t="s">
        <v>3072</v>
      </c>
      <c r="D95" s="3204" t="s">
        <v>3073</v>
      </c>
      <c r="E95" s="3225">
        <v>0.15</v>
      </c>
      <c r="F95" s="3224">
        <v>20</v>
      </c>
    </row>
    <row r="96" spans="1:6" s="801" customFormat="1" ht="24">
      <c r="A96" s="3224">
        <v>24</v>
      </c>
      <c r="B96" s="3602"/>
      <c r="C96" s="3204" t="s">
        <v>3074</v>
      </c>
      <c r="D96" s="3204" t="s">
        <v>3075</v>
      </c>
      <c r="E96" s="3225">
        <v>0.1</v>
      </c>
      <c r="F96" s="3224">
        <v>15</v>
      </c>
    </row>
    <row r="97" spans="1:6" s="801" customFormat="1" ht="24">
      <c r="A97" s="3224">
        <v>25</v>
      </c>
      <c r="B97" s="3602"/>
      <c r="C97" s="3204" t="s">
        <v>3076</v>
      </c>
      <c r="D97" s="3204" t="s">
        <v>3077</v>
      </c>
      <c r="E97" s="3225">
        <v>0.1</v>
      </c>
      <c r="F97" s="3224">
        <v>15</v>
      </c>
    </row>
    <row r="98" spans="1:6" s="801" customFormat="1" ht="24">
      <c r="A98" s="3224">
        <v>26</v>
      </c>
      <c r="B98" s="3602"/>
      <c r="C98" s="3204" t="s">
        <v>3078</v>
      </c>
      <c r="D98" s="3204" t="s">
        <v>3079</v>
      </c>
      <c r="E98" s="3225">
        <v>0.1</v>
      </c>
      <c r="F98" s="3224">
        <v>15</v>
      </c>
    </row>
    <row r="99" spans="1:6" s="801" customFormat="1" ht="24">
      <c r="A99" s="3224">
        <v>27</v>
      </c>
      <c r="B99" s="3602"/>
      <c r="C99" s="3204" t="s">
        <v>3080</v>
      </c>
      <c r="D99" s="3204" t="s">
        <v>3081</v>
      </c>
      <c r="E99" s="3225">
        <v>0.1</v>
      </c>
      <c r="F99" s="3224">
        <v>15</v>
      </c>
    </row>
    <row r="100" spans="1:6" s="801" customFormat="1" ht="24">
      <c r="A100" s="3224">
        <v>28</v>
      </c>
      <c r="B100" s="3602"/>
      <c r="C100" s="3204" t="s">
        <v>3082</v>
      </c>
      <c r="D100" s="3204" t="s">
        <v>3083</v>
      </c>
      <c r="E100" s="3225">
        <v>0.1</v>
      </c>
      <c r="F100" s="3224">
        <v>15</v>
      </c>
    </row>
    <row r="101" spans="1:6" s="801" customFormat="1" ht="24">
      <c r="A101" s="3224">
        <v>29</v>
      </c>
      <c r="B101" s="3602"/>
      <c r="C101" s="3204" t="s">
        <v>3084</v>
      </c>
      <c r="D101" s="3204" t="s">
        <v>3085</v>
      </c>
      <c r="E101" s="3225">
        <v>0.1</v>
      </c>
      <c r="F101" s="3224">
        <v>15</v>
      </c>
    </row>
    <row r="102" spans="1:6" s="801" customFormat="1" ht="24">
      <c r="A102" s="3224">
        <v>30</v>
      </c>
      <c r="B102" s="3602"/>
      <c r="C102" s="3204" t="s">
        <v>3086</v>
      </c>
      <c r="D102" s="3204" t="s">
        <v>3087</v>
      </c>
      <c r="E102" s="3225">
        <v>0.1</v>
      </c>
      <c r="F102" s="3224">
        <v>15</v>
      </c>
    </row>
    <row r="103" spans="1:6" s="801" customFormat="1" ht="24">
      <c r="A103" s="3224">
        <v>31</v>
      </c>
      <c r="B103" s="3602"/>
      <c r="C103" s="3204" t="s">
        <v>3088</v>
      </c>
      <c r="D103" s="3204" t="s">
        <v>3089</v>
      </c>
      <c r="E103" s="3225">
        <v>0.1</v>
      </c>
      <c r="F103" s="3224">
        <v>15</v>
      </c>
    </row>
    <row r="104" spans="1:6" s="801" customFormat="1" ht="24">
      <c r="A104" s="3224">
        <v>32</v>
      </c>
      <c r="B104" s="3602"/>
      <c r="C104" s="3204" t="s">
        <v>3090</v>
      </c>
      <c r="D104" s="3204" t="s">
        <v>3091</v>
      </c>
      <c r="E104" s="3225">
        <v>0.1</v>
      </c>
      <c r="F104" s="3224">
        <v>15</v>
      </c>
    </row>
    <row r="105" spans="1:6" s="801" customFormat="1" ht="24">
      <c r="A105" s="3224">
        <v>33</v>
      </c>
      <c r="B105" s="3602"/>
      <c r="C105" s="3204" t="s">
        <v>3092</v>
      </c>
      <c r="D105" s="3204" t="s">
        <v>3093</v>
      </c>
      <c r="E105" s="3225">
        <v>0.1</v>
      </c>
      <c r="F105" s="3224">
        <v>15</v>
      </c>
    </row>
    <row r="106" spans="1:6" s="801" customFormat="1" ht="24">
      <c r="A106" s="3224">
        <v>34</v>
      </c>
      <c r="B106" s="3601"/>
      <c r="C106" s="3204" t="s">
        <v>3094</v>
      </c>
      <c r="D106" s="3204" t="s">
        <v>3095</v>
      </c>
      <c r="E106" s="3225">
        <v>0.1</v>
      </c>
      <c r="F106" s="3224">
        <v>15</v>
      </c>
    </row>
    <row r="107" spans="1:6" s="801" customFormat="1" ht="36">
      <c r="A107" s="3224">
        <v>35</v>
      </c>
      <c r="B107" s="3600" t="s">
        <v>3096</v>
      </c>
      <c r="C107" s="3224" t="s">
        <v>3097</v>
      </c>
      <c r="D107" s="3204" t="s">
        <v>3098</v>
      </c>
      <c r="E107" s="3225">
        <v>0.15</v>
      </c>
      <c r="F107" s="3224">
        <v>20</v>
      </c>
    </row>
    <row r="108" spans="1:6" s="801" customFormat="1" ht="24">
      <c r="A108" s="3224">
        <v>36</v>
      </c>
      <c r="B108" s="3602"/>
      <c r="C108" s="3224" t="s">
        <v>3099</v>
      </c>
      <c r="D108" s="3204" t="s">
        <v>3100</v>
      </c>
      <c r="E108" s="3225">
        <v>0.15</v>
      </c>
      <c r="F108" s="3224">
        <v>20</v>
      </c>
    </row>
    <row r="109" spans="1:6" s="801" customFormat="1" ht="24">
      <c r="A109" s="3224">
        <v>37</v>
      </c>
      <c r="B109" s="3602"/>
      <c r="C109" s="3224" t="s">
        <v>3101</v>
      </c>
      <c r="D109" s="3204" t="s">
        <v>3102</v>
      </c>
      <c r="E109" s="3225">
        <v>0.15</v>
      </c>
      <c r="F109" s="3224">
        <v>20</v>
      </c>
    </row>
    <row r="110" spans="1:6" s="801" customFormat="1" ht="24">
      <c r="A110" s="3224">
        <v>38</v>
      </c>
      <c r="B110" s="3602"/>
      <c r="C110" s="3224" t="s">
        <v>3103</v>
      </c>
      <c r="D110" s="3204" t="s">
        <v>3104</v>
      </c>
      <c r="E110" s="3225">
        <v>0.1</v>
      </c>
      <c r="F110" s="3224">
        <v>15</v>
      </c>
    </row>
    <row r="111" spans="1:6" s="801" customFormat="1" ht="24">
      <c r="A111" s="3224">
        <v>39</v>
      </c>
      <c r="B111" s="3602"/>
      <c r="C111" s="3224" t="s">
        <v>3105</v>
      </c>
      <c r="D111" s="3204" t="s">
        <v>3106</v>
      </c>
      <c r="E111" s="3225">
        <v>0.1</v>
      </c>
      <c r="F111" s="3224">
        <v>15</v>
      </c>
    </row>
    <row r="112" spans="1:6" s="801" customFormat="1" ht="24">
      <c r="A112" s="3224">
        <v>40</v>
      </c>
      <c r="B112" s="3601"/>
      <c r="C112" s="3224" t="s">
        <v>3107</v>
      </c>
      <c r="D112" s="3204" t="s">
        <v>3108</v>
      </c>
      <c r="E112" s="3225">
        <v>0.1</v>
      </c>
      <c r="F112" s="3224">
        <v>15</v>
      </c>
    </row>
    <row r="113" spans="1:6" s="801" customFormat="1" ht="24">
      <c r="A113" s="3224">
        <v>41</v>
      </c>
      <c r="B113" s="3599" t="s">
        <v>3109</v>
      </c>
      <c r="C113" s="3224" t="s">
        <v>3110</v>
      </c>
      <c r="D113" s="3204" t="s">
        <v>3111</v>
      </c>
      <c r="E113" s="3225">
        <v>0.1</v>
      </c>
      <c r="F113" s="3224">
        <v>15</v>
      </c>
    </row>
    <row r="114" spans="1:6" s="801" customFormat="1" ht="24">
      <c r="A114" s="3224">
        <v>42</v>
      </c>
      <c r="B114" s="3599"/>
      <c r="C114" s="3224" t="s">
        <v>3112</v>
      </c>
      <c r="D114" s="3204" t="s">
        <v>3113</v>
      </c>
      <c r="E114" s="3225">
        <v>0.1</v>
      </c>
      <c r="F114" s="3224">
        <v>15</v>
      </c>
    </row>
    <row r="115" spans="1:6" s="801" customFormat="1" ht="24">
      <c r="A115" s="3224">
        <v>43</v>
      </c>
      <c r="B115" s="3599"/>
      <c r="C115" s="3224" t="s">
        <v>3114</v>
      </c>
      <c r="D115" s="3204" t="s">
        <v>3115</v>
      </c>
      <c r="E115" s="3225">
        <v>0.1</v>
      </c>
      <c r="F115" s="3224">
        <v>15</v>
      </c>
    </row>
    <row r="116" spans="1:6" s="801" customFormat="1" ht="24">
      <c r="A116" s="3224">
        <v>44</v>
      </c>
      <c r="B116" s="3600" t="s">
        <v>3116</v>
      </c>
      <c r="C116" s="3224" t="s">
        <v>3117</v>
      </c>
      <c r="D116" s="3204" t="s">
        <v>3118</v>
      </c>
      <c r="E116" s="3225">
        <v>0.1</v>
      </c>
      <c r="F116" s="3224">
        <v>15</v>
      </c>
    </row>
    <row r="117" spans="1:6" s="801" customFormat="1" ht="24">
      <c r="A117" s="3224">
        <v>45</v>
      </c>
      <c r="B117" s="3601"/>
      <c r="C117" s="3204" t="s">
        <v>3119</v>
      </c>
      <c r="D117" s="3204" t="s">
        <v>3120</v>
      </c>
      <c r="E117" s="3225">
        <v>0.1</v>
      </c>
      <c r="F117" s="3224">
        <v>15</v>
      </c>
    </row>
    <row r="118" spans="1:6" s="801" customFormat="1" ht="24">
      <c r="A118" s="3224">
        <v>46</v>
      </c>
      <c r="B118" s="3600" t="s">
        <v>3121</v>
      </c>
      <c r="C118" s="3224" t="s">
        <v>3122</v>
      </c>
      <c r="D118" s="3204" t="s">
        <v>3123</v>
      </c>
      <c r="E118" s="3225">
        <v>0.1</v>
      </c>
      <c r="F118" s="3224">
        <v>15</v>
      </c>
    </row>
    <row r="119" spans="1:6" s="801" customFormat="1" ht="24">
      <c r="A119" s="3224">
        <v>47</v>
      </c>
      <c r="B119" s="3601"/>
      <c r="C119" s="3224" t="s">
        <v>3124</v>
      </c>
      <c r="D119" s="3204" t="s">
        <v>3125</v>
      </c>
      <c r="E119" s="3225">
        <v>0.1</v>
      </c>
      <c r="F119" s="3224">
        <v>15</v>
      </c>
    </row>
    <row r="120" spans="1:6" s="801" customFormat="1" ht="24">
      <c r="A120" s="3224">
        <v>48</v>
      </c>
      <c r="B120" s="3600" t="s">
        <v>3126</v>
      </c>
      <c r="C120" s="3224" t="s">
        <v>3127</v>
      </c>
      <c r="D120" s="3204" t="s">
        <v>3128</v>
      </c>
      <c r="E120" s="3225">
        <v>0.1</v>
      </c>
      <c r="F120" s="3224">
        <v>15</v>
      </c>
    </row>
    <row r="121" spans="1:6" s="801" customFormat="1" ht="24">
      <c r="A121" s="3224">
        <v>49</v>
      </c>
      <c r="B121" s="3601"/>
      <c r="C121" s="3224" t="s">
        <v>3129</v>
      </c>
      <c r="D121" s="3204" t="s">
        <v>3130</v>
      </c>
      <c r="E121" s="3225">
        <v>0.1</v>
      </c>
      <c r="F121" s="3224">
        <v>15</v>
      </c>
    </row>
    <row r="122" spans="1:6" s="801" customFormat="1" ht="24">
      <c r="A122" s="3224">
        <v>50</v>
      </c>
      <c r="B122" s="3599" t="s">
        <v>3131</v>
      </c>
      <c r="C122" s="3224" t="s">
        <v>3132</v>
      </c>
      <c r="D122" s="3204" t="s">
        <v>3133</v>
      </c>
      <c r="E122" s="3225">
        <v>0.1</v>
      </c>
      <c r="F122" s="3224">
        <v>15</v>
      </c>
    </row>
    <row r="123" spans="1:6" s="801" customFormat="1" ht="24">
      <c r="A123" s="3224">
        <v>51</v>
      </c>
      <c r="B123" s="3599"/>
      <c r="C123" s="3224" t="s">
        <v>3134</v>
      </c>
      <c r="D123" s="3204" t="s">
        <v>3135</v>
      </c>
      <c r="E123" s="3225">
        <v>0.1</v>
      </c>
      <c r="F123" s="3224">
        <v>15</v>
      </c>
    </row>
    <row r="124" spans="1:6" s="801" customFormat="1" ht="24">
      <c r="A124" s="3224">
        <v>52</v>
      </c>
      <c r="B124" s="3599" t="s">
        <v>3136</v>
      </c>
      <c r="C124" s="3224" t="s">
        <v>3137</v>
      </c>
      <c r="D124" s="3204" t="s">
        <v>3138</v>
      </c>
      <c r="E124" s="3225">
        <v>0.1</v>
      </c>
      <c r="F124" s="3224">
        <v>15</v>
      </c>
    </row>
    <row r="125" spans="1:6" s="801" customFormat="1" ht="24">
      <c r="A125" s="3224">
        <v>53</v>
      </c>
      <c r="B125" s="3599"/>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24">
      <c r="A127" s="3224">
        <v>55</v>
      </c>
      <c r="B127" s="3599" t="s">
        <v>3144</v>
      </c>
      <c r="C127" s="3224" t="s">
        <v>3145</v>
      </c>
      <c r="D127" s="3204" t="s">
        <v>3146</v>
      </c>
      <c r="E127" s="3225">
        <v>0.1</v>
      </c>
      <c r="F127" s="3224">
        <v>15</v>
      </c>
    </row>
    <row r="128" spans="1:6" ht="24">
      <c r="A128" s="3224">
        <v>56</v>
      </c>
      <c r="B128" s="3599"/>
      <c r="C128" s="3224" t="s">
        <v>3147</v>
      </c>
      <c r="D128" s="3204" t="s">
        <v>3148</v>
      </c>
      <c r="E128" s="3225">
        <v>0.1</v>
      </c>
      <c r="F128" s="3224">
        <v>15</v>
      </c>
    </row>
    <row r="129" spans="1:6" ht="24">
      <c r="A129" s="3224">
        <v>57</v>
      </c>
      <c r="B129" s="3599"/>
      <c r="C129" s="3224" t="s">
        <v>3149</v>
      </c>
      <c r="D129" s="3204" t="s">
        <v>3150</v>
      </c>
      <c r="E129" s="3225">
        <v>0.1</v>
      </c>
      <c r="F129" s="3224">
        <v>15</v>
      </c>
    </row>
    <row r="130" spans="1:6" ht="24">
      <c r="A130" s="3224">
        <v>58</v>
      </c>
      <c r="B130" s="3599" t="s">
        <v>3151</v>
      </c>
      <c r="C130" s="3224" t="s">
        <v>3152</v>
      </c>
      <c r="D130" s="3204" t="s">
        <v>3153</v>
      </c>
      <c r="E130" s="3225">
        <v>0.1</v>
      </c>
      <c r="F130" s="3224">
        <v>15</v>
      </c>
    </row>
    <row r="131" spans="1:6" ht="24">
      <c r="A131" s="3224">
        <v>59</v>
      </c>
      <c r="B131" s="3599"/>
      <c r="C131" s="3224" t="s">
        <v>3154</v>
      </c>
      <c r="D131" s="3204" t="s">
        <v>3155</v>
      </c>
      <c r="E131" s="3225">
        <v>0.1</v>
      </c>
      <c r="F131" s="3224">
        <v>15</v>
      </c>
    </row>
    <row r="132" spans="1:6" ht="24">
      <c r="A132" s="3224">
        <v>60</v>
      </c>
      <c r="B132" s="3600" t="s">
        <v>3156</v>
      </c>
      <c r="C132" s="3224" t="s">
        <v>3157</v>
      </c>
      <c r="D132" s="3204" t="s">
        <v>3158</v>
      </c>
      <c r="E132" s="3225">
        <v>0.1</v>
      </c>
      <c r="F132" s="3224">
        <v>15</v>
      </c>
    </row>
    <row r="133" spans="1:6" ht="24">
      <c r="A133" s="3224">
        <v>61</v>
      </c>
      <c r="B133" s="3601"/>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599" t="s">
        <v>3164</v>
      </c>
      <c r="C135" s="3224" t="s">
        <v>3165</v>
      </c>
      <c r="D135" s="3204" t="s">
        <v>3166</v>
      </c>
      <c r="E135" s="3225">
        <v>0.1</v>
      </c>
      <c r="F135" s="3224">
        <v>15</v>
      </c>
    </row>
    <row r="136" spans="1:6" ht="24">
      <c r="A136" s="3224">
        <v>64</v>
      </c>
      <c r="B136" s="3599"/>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1.1200000000000001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7" customWidth="1"/>
    <col min="2" max="2" width="37.21875" style="1627" customWidth="1"/>
    <col min="3" max="3" width="11.33203125" style="1627" customWidth="1"/>
    <col min="4" max="4" width="31.77734375" style="1627" customWidth="1"/>
    <col min="5" max="5" width="0.44140625" style="1627" customWidth="1"/>
    <col min="6" max="7" width="13" style="1627" customWidth="1"/>
    <col min="8" max="16384" width="9" style="1627"/>
  </cols>
  <sheetData>
    <row r="1" spans="1:5" ht="17.399999999999999">
      <c r="A1" s="1625" t="s">
        <v>1345</v>
      </c>
      <c r="B1" s="1626"/>
      <c r="C1" s="1626"/>
      <c r="D1" s="1626"/>
      <c r="E1" s="1626"/>
    </row>
    <row r="2" spans="1:5" ht="78" customHeight="1">
      <c r="A2" s="32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3"/>
      <c r="C2" s="3283"/>
      <c r="D2" s="3283"/>
      <c r="E2" s="3283"/>
    </row>
    <row r="3" spans="1:5" ht="17.399999999999999">
      <c r="A3" s="3284" t="str">
        <f>IF(项目基本情况!B9="房地产市场价值","估价结果一览表（市场价值不需“结果表-1”）","估价结果一览表")</f>
        <v>估价结果一览表</v>
      </c>
      <c r="B3" s="3284"/>
      <c r="C3" s="3284"/>
      <c r="D3" s="3284"/>
      <c r="E3" s="3284"/>
    </row>
    <row r="4" spans="1:5" ht="18" thickBot="1">
      <c r="A4" s="1628"/>
      <c r="B4" s="3282" t="s">
        <v>1354</v>
      </c>
      <c r="C4" s="3282"/>
      <c r="D4" s="3282"/>
      <c r="E4" s="1628"/>
    </row>
    <row r="5" spans="1:5" ht="16.2" thickTop="1">
      <c r="A5" s="1626"/>
      <c r="B5" s="3280" t="s">
        <v>1346</v>
      </c>
      <c r="C5" s="1629" t="s">
        <v>1347</v>
      </c>
      <c r="D5" s="940">
        <f ca="1">结果表!H101</f>
        <v>159583</v>
      </c>
      <c r="E5" s="1626"/>
    </row>
    <row r="6" spans="1:5" ht="15.6">
      <c r="A6" s="1626"/>
      <c r="B6" s="3280"/>
      <c r="C6" s="1629" t="s">
        <v>1348</v>
      </c>
      <c r="D6" s="940" t="str">
        <f ca="1">NUMBERSTRING(INT(D5*10000),2)&amp;"元整"</f>
        <v>壹拾伍亿玖仟伍佰捌拾叁万元整</v>
      </c>
      <c r="E6" s="1626"/>
    </row>
    <row r="7" spans="1:5" ht="15.6">
      <c r="A7" s="1626"/>
      <c r="B7" s="3285"/>
      <c r="C7" s="1630" t="s">
        <v>1349</v>
      </c>
      <c r="D7" s="941">
        <f ca="1">结果表!H102</f>
        <v>6542</v>
      </c>
      <c r="E7" s="1626"/>
    </row>
    <row r="8" spans="1:5" ht="15.6">
      <c r="A8" s="1626"/>
      <c r="B8" s="3286" t="str">
        <f>结果表!E103</f>
        <v>2.估价师知悉的法定优先受偿款</v>
      </c>
      <c r="C8" s="1631" t="s">
        <v>1350</v>
      </c>
      <c r="D8" s="941">
        <f>结果表!H103</f>
        <v>0</v>
      </c>
      <c r="E8" s="1626"/>
    </row>
    <row r="9" spans="1:5" ht="15.6">
      <c r="A9" s="1626"/>
      <c r="B9" s="3288"/>
      <c r="C9" s="1629" t="s">
        <v>1348</v>
      </c>
      <c r="D9" s="940" t="str">
        <f>NUMBERSTRING(INT(D8*10000),2)&amp;"元整"</f>
        <v>零元整</v>
      </c>
      <c r="E9" s="1626"/>
    </row>
    <row r="10" spans="1:5" ht="15.6">
      <c r="A10" s="1626"/>
      <c r="B10" s="1632" t="s">
        <v>1353</v>
      </c>
      <c r="C10" s="1633" t="s">
        <v>1351</v>
      </c>
      <c r="D10" s="942">
        <f>结果表!H104</f>
        <v>0</v>
      </c>
      <c r="E10" s="1626"/>
    </row>
    <row r="11" spans="1:5" ht="15.6">
      <c r="A11" s="1626"/>
      <c r="B11" s="1632" t="s">
        <v>1355</v>
      </c>
      <c r="C11" s="1633" t="s">
        <v>1356</v>
      </c>
      <c r="D11" s="942">
        <f>结果表!H105</f>
        <v>0</v>
      </c>
      <c r="E11" s="1626"/>
    </row>
    <row r="12" spans="1:5" ht="15.6">
      <c r="A12" s="1626"/>
      <c r="B12" s="1632" t="s">
        <v>1357</v>
      </c>
      <c r="C12" s="1633" t="s">
        <v>1356</v>
      </c>
      <c r="D12" s="942">
        <f>结果表!H106</f>
        <v>0</v>
      </c>
      <c r="E12" s="1626"/>
    </row>
    <row r="13" spans="1:5" ht="15.6">
      <c r="A13" s="1626"/>
      <c r="B13" s="3279" t="str">
        <f>结果表!E107</f>
        <v>3.房地产抵押价值</v>
      </c>
      <c r="C13" s="1634" t="s">
        <v>1347</v>
      </c>
      <c r="D13" s="943">
        <f ca="1">结果表!H107</f>
        <v>159583</v>
      </c>
      <c r="E13" s="1626"/>
    </row>
    <row r="14" spans="1:5" ht="15.6">
      <c r="A14" s="1626"/>
      <c r="B14" s="3280"/>
      <c r="C14" s="1629" t="s">
        <v>1348</v>
      </c>
      <c r="D14" s="940" t="str">
        <f ca="1">NUMBERSTRING(INT(D13*10000),2)&amp;"元整"</f>
        <v>壹拾伍亿玖仟伍佰捌拾叁万元整</v>
      </c>
      <c r="E14" s="1626"/>
    </row>
    <row r="15" spans="1:5" ht="15.6">
      <c r="A15" s="1626"/>
      <c r="B15" s="3285"/>
      <c r="C15" s="1630" t="s">
        <v>1358</v>
      </c>
      <c r="D15" s="949">
        <f ca="1">结果表!H108</f>
        <v>6542</v>
      </c>
      <c r="E15" s="1626"/>
    </row>
    <row r="16" spans="1:5" ht="15.6">
      <c r="A16" s="1626"/>
      <c r="B16" s="3286" t="str">
        <f>结果表!E109</f>
        <v>——</v>
      </c>
      <c r="C16" s="1634" t="s">
        <v>1359</v>
      </c>
      <c r="D16" s="1635" t="str">
        <f>结果表!H109</f>
        <v>——</v>
      </c>
      <c r="E16" s="1626"/>
    </row>
    <row r="17" spans="1:5" ht="15.6">
      <c r="A17" s="1626"/>
      <c r="B17" s="3287"/>
      <c r="C17" s="1629" t="s">
        <v>1360</v>
      </c>
      <c r="D17" s="940" t="e">
        <f>NUMBERSTRING(INT(D16*10000),2)&amp;"元整"</f>
        <v>#VALUE!</v>
      </c>
      <c r="E17" s="1626"/>
    </row>
    <row r="18" spans="1:5" ht="15.6">
      <c r="A18" s="1626"/>
      <c r="B18" s="3288"/>
      <c r="C18" s="1630" t="s">
        <v>1349</v>
      </c>
      <c r="D18" s="949" t="str">
        <f>结果表!H110</f>
        <v>——</v>
      </c>
      <c r="E18" s="1626"/>
    </row>
    <row r="19" spans="1:5" ht="15.6">
      <c r="A19" s="1626"/>
      <c r="B19" s="3279" t="str">
        <f>结果表!E111</f>
        <v>——</v>
      </c>
      <c r="C19" s="1634" t="s">
        <v>1347</v>
      </c>
      <c r="D19" s="941" t="str">
        <f>结果表!H111</f>
        <v>——</v>
      </c>
      <c r="E19" s="1626"/>
    </row>
    <row r="20" spans="1:5" ht="15.6">
      <c r="A20" s="1626"/>
      <c r="B20" s="3280"/>
      <c r="C20" s="1629" t="s">
        <v>1360</v>
      </c>
      <c r="D20" s="940" t="e">
        <f>NUMBERSTRING(INT(D19*10000),2)&amp;"元整"</f>
        <v>#VALUE!</v>
      </c>
      <c r="E20" s="1626"/>
    </row>
    <row r="21" spans="1:5" ht="16.2" thickBot="1">
      <c r="A21" s="1626"/>
      <c r="B21" s="3281"/>
      <c r="C21" s="1636" t="s">
        <v>1358</v>
      </c>
      <c r="D21" s="950" t="str">
        <f>结果表!H112</f>
        <v>——</v>
      </c>
      <c r="E21" s="1626"/>
    </row>
    <row r="22" spans="1:5" ht="14.4" thickTop="1">
      <c r="A22" s="1626"/>
      <c r="B22" s="1637" t="s">
        <v>1361</v>
      </c>
      <c r="C22" s="1626"/>
      <c r="D22" s="1626"/>
      <c r="E22" s="1626"/>
    </row>
    <row r="23" spans="1:5">
      <c r="A23" s="1626"/>
      <c r="B23" s="1626"/>
      <c r="C23" s="1626"/>
      <c r="D23" s="1626"/>
      <c r="E23" s="1626"/>
    </row>
    <row r="24" spans="1:5" ht="17.399999999999999">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2" customWidth="1"/>
    <col min="2" max="2" width="12.44140625" style="1612" customWidth="1"/>
    <col min="3" max="3" width="12.109375" style="1612" customWidth="1"/>
    <col min="4" max="4" width="14.109375" style="1612" customWidth="1"/>
    <col min="5" max="5" width="12.44140625" style="1612" customWidth="1"/>
    <col min="6" max="16384" width="9" style="1612"/>
  </cols>
  <sheetData>
    <row r="1" spans="1:16" ht="21.6">
      <c r="A1" s="2002" t="s">
        <v>2578</v>
      </c>
      <c r="B1" s="2312"/>
      <c r="C1" s="2312"/>
      <c r="D1" s="2312"/>
      <c r="E1" s="2312"/>
      <c r="F1" s="2972"/>
      <c r="G1" s="2972"/>
      <c r="H1" s="2972"/>
      <c r="I1" s="2972"/>
      <c r="J1" s="2972"/>
      <c r="K1" s="2972"/>
      <c r="L1" s="2972"/>
      <c r="M1" s="2972"/>
      <c r="N1" s="2972"/>
      <c r="O1" s="2972"/>
      <c r="P1" s="2972"/>
    </row>
    <row r="2" spans="1:16" ht="15.6">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6">
      <c r="A3" s="2310" t="s">
        <v>2573</v>
      </c>
      <c r="B3" s="2776" t="e">
        <f ca="1">ROUND(B2*10000/E2,0)</f>
        <v>#DIV/0!</v>
      </c>
      <c r="C3" s="2310" t="s">
        <v>2579</v>
      </c>
      <c r="D3" s="2972"/>
      <c r="E3" s="2972"/>
      <c r="F3" s="2972"/>
      <c r="G3" s="2972"/>
      <c r="H3" s="2972"/>
      <c r="I3" s="2972"/>
      <c r="J3" s="2972"/>
      <c r="K3" s="2972"/>
      <c r="L3" s="2972"/>
      <c r="M3" s="2972"/>
      <c r="N3" s="2972"/>
      <c r="O3" s="2972"/>
      <c r="P3" s="2972"/>
    </row>
    <row r="4" spans="1:16" ht="15.6">
      <c r="A4" s="2973"/>
      <c r="B4" s="2972"/>
      <c r="C4" s="2972"/>
      <c r="D4" s="2972"/>
      <c r="E4" s="2972"/>
      <c r="F4" s="2972"/>
      <c r="G4" s="2972"/>
      <c r="H4" s="2972"/>
      <c r="I4" s="2972"/>
      <c r="J4" s="2972"/>
      <c r="K4" s="2972"/>
      <c r="L4" s="2972"/>
      <c r="M4" s="2972"/>
      <c r="N4" s="2972"/>
      <c r="O4" s="2972"/>
      <c r="P4" s="2972"/>
    </row>
    <row r="5" spans="1:16" ht="31.2">
      <c r="A5" s="2782" t="s">
        <v>2574</v>
      </c>
      <c r="B5" s="2784" t="s">
        <v>2575</v>
      </c>
      <c r="C5" s="2311"/>
      <c r="D5" s="2972"/>
      <c r="E5" s="2785" t="s">
        <v>2576</v>
      </c>
      <c r="F5" s="2972"/>
      <c r="G5" s="2972"/>
      <c r="H5" s="2972"/>
      <c r="I5" s="2972"/>
      <c r="J5" s="2972"/>
      <c r="K5" s="2972"/>
      <c r="L5" s="2972"/>
      <c r="M5" s="2972"/>
      <c r="N5" s="2972"/>
      <c r="O5" s="2972"/>
      <c r="P5" s="2972"/>
    </row>
    <row r="6" spans="1:16" ht="15.6">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6">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6">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6">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6">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6">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6">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6">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H14"/>
    </sheetView>
  </sheetViews>
  <sheetFormatPr defaultColWidth="9" defaultRowHeight="13.2"/>
  <cols>
    <col min="1" max="1" width="9" style="2359"/>
    <col min="2" max="6" width="9" style="2359" customWidth="1"/>
    <col min="7" max="7" width="9" style="2397"/>
    <col min="8" max="8" width="9" style="2359"/>
    <col min="9" max="12" width="9" style="2359" customWidth="1"/>
    <col min="13" max="13" width="2.21875" style="2359" customWidth="1"/>
    <col min="14" max="14" width="9" style="2397" customWidth="1"/>
    <col min="15" max="17" width="9" style="2359" customWidth="1"/>
    <col min="18" max="18" width="2.33203125" style="2359" customWidth="1"/>
    <col min="19" max="19" width="7.109375" style="2397" customWidth="1"/>
    <col min="20" max="22" width="7.109375" style="2359" customWidth="1"/>
    <col min="23" max="23" width="24.21875" style="2359" customWidth="1"/>
    <col min="24" max="25" width="9" style="2359"/>
    <col min="26" max="27" width="11.6640625" style="2359" customWidth="1"/>
    <col min="28" max="28" width="9" style="2359"/>
    <col min="29" max="29" width="2" style="2359" customWidth="1"/>
    <col min="30" max="16384" width="9" style="2359"/>
  </cols>
  <sheetData>
    <row r="1" spans="1:34" s="2338" customFormat="1">
      <c r="B1" s="3616" t="s">
        <v>877</v>
      </c>
      <c r="C1" s="3616"/>
      <c r="D1" s="3616"/>
      <c r="E1" s="3616"/>
      <c r="F1" s="3616"/>
      <c r="G1" s="3615" t="s">
        <v>878</v>
      </c>
      <c r="H1" s="3615"/>
      <c r="I1" s="3615"/>
      <c r="J1" s="3615"/>
      <c r="K1" s="3615"/>
      <c r="L1" s="3615"/>
      <c r="N1" s="3615" t="s">
        <v>879</v>
      </c>
      <c r="O1" s="3615"/>
      <c r="P1" s="3615"/>
      <c r="Q1" s="3615"/>
      <c r="S1" s="3615" t="s">
        <v>880</v>
      </c>
      <c r="T1" s="3615"/>
      <c r="U1" s="3615"/>
      <c r="V1" s="3615"/>
      <c r="X1" s="3614" t="s">
        <v>881</v>
      </c>
      <c r="Y1" s="3615"/>
      <c r="Z1" s="3615"/>
      <c r="AA1" s="3615"/>
      <c r="AB1" s="3615"/>
      <c r="AD1" s="3614" t="s">
        <v>882</v>
      </c>
      <c r="AE1" s="3615"/>
      <c r="AF1" s="3615"/>
      <c r="AG1" s="3615"/>
      <c r="AH1" s="3615"/>
    </row>
    <row r="2" spans="1:34" s="2339" customFormat="1" ht="1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4">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4">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8"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8"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12">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12"/>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12"/>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21"/>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7">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12"/>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12"/>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21"/>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7">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12"/>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12"/>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8"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13"/>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8" thickBot="1">
      <c r="A30" s="2372" t="s">
        <v>151</v>
      </c>
      <c r="B30" s="2387">
        <v>333</v>
      </c>
      <c r="C30" s="2387">
        <v>277</v>
      </c>
      <c r="D30" s="2387">
        <f t="shared" si="213"/>
        <v>277</v>
      </c>
      <c r="E30" s="2387">
        <v>459</v>
      </c>
      <c r="F30" s="2388">
        <v>249</v>
      </c>
      <c r="G30" s="3611">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12"/>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12"/>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13"/>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8" thickBot="1">
      <c r="A34" s="2372" t="s">
        <v>147</v>
      </c>
      <c r="B34" s="2401">
        <v>318</v>
      </c>
      <c r="C34" s="2401">
        <v>268</v>
      </c>
      <c r="D34" s="2401">
        <f t="shared" si="213"/>
        <v>268</v>
      </c>
      <c r="E34" s="2401">
        <v>437</v>
      </c>
      <c r="F34" s="2402">
        <v>237</v>
      </c>
      <c r="G34" s="3611">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12"/>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8"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12"/>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8"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13"/>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8" thickBot="1">
      <c r="A38" s="2372" t="s">
        <v>890</v>
      </c>
      <c r="B38" s="2387">
        <v>299</v>
      </c>
      <c r="C38" s="2387">
        <v>252</v>
      </c>
      <c r="D38" s="2387">
        <f t="shared" si="213"/>
        <v>252</v>
      </c>
      <c r="E38" s="2387">
        <v>409</v>
      </c>
      <c r="F38" s="2388">
        <v>227</v>
      </c>
      <c r="G38" s="3618">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9"/>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9"/>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20"/>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8" thickBot="1">
      <c r="A42" s="2372" t="s">
        <v>894</v>
      </c>
      <c r="B42" s="2422">
        <v>278</v>
      </c>
      <c r="C42" s="2422">
        <v>234</v>
      </c>
      <c r="D42" s="2422">
        <f t="shared" si="213"/>
        <v>234</v>
      </c>
      <c r="E42" s="2422">
        <v>379</v>
      </c>
      <c r="F42" s="2423">
        <v>220</v>
      </c>
      <c r="G42" s="3611">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12"/>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12"/>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8" thickBot="1">
      <c r="A45" s="2372" t="s">
        <v>897</v>
      </c>
      <c r="B45" s="2373">
        <f>B44/(1+N44)</f>
        <v>275.19025476197027</v>
      </c>
      <c r="C45" s="2424">
        <v>232</v>
      </c>
      <c r="D45" s="2424">
        <f t="shared" si="213"/>
        <v>232</v>
      </c>
      <c r="E45" s="2373">
        <f t="shared" si="224"/>
        <v>375.65990977608692</v>
      </c>
      <c r="F45" s="2373">
        <f t="shared" si="224"/>
        <v>214.12518283971252</v>
      </c>
      <c r="G45" s="3613"/>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8" thickBot="1">
      <c r="A46" s="2372" t="s">
        <v>898</v>
      </c>
      <c r="B46" s="2387">
        <v>275</v>
      </c>
      <c r="C46" s="2387">
        <v>232</v>
      </c>
      <c r="D46" s="2387">
        <f t="shared" si="213"/>
        <v>232</v>
      </c>
      <c r="E46" s="2387">
        <v>376</v>
      </c>
      <c r="F46" s="2388">
        <v>213</v>
      </c>
      <c r="G46" s="3611">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12">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12">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8"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13">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8" thickBot="1">
      <c r="A50" s="2372" t="s">
        <v>902</v>
      </c>
      <c r="B50" s="2387">
        <v>269</v>
      </c>
      <c r="C50" s="2387">
        <v>221</v>
      </c>
      <c r="D50" s="2387">
        <f t="shared" si="213"/>
        <v>221</v>
      </c>
      <c r="E50" s="2387">
        <v>373</v>
      </c>
      <c r="F50" s="2388">
        <v>196</v>
      </c>
      <c r="G50" s="3611">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12">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12">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8"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13">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8" thickBot="1">
      <c r="A54" s="2372" t="s">
        <v>906</v>
      </c>
      <c r="B54" s="2387">
        <v>220</v>
      </c>
      <c r="C54" s="2387">
        <v>187</v>
      </c>
      <c r="D54" s="2387">
        <f t="shared" si="213"/>
        <v>187</v>
      </c>
      <c r="E54" s="2387">
        <v>301</v>
      </c>
      <c r="F54" s="2388">
        <v>168</v>
      </c>
      <c r="G54" s="3611">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12">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12">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13">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8" thickBot="1">
      <c r="A58" s="2372" t="s">
        <v>910</v>
      </c>
      <c r="B58" s="2422">
        <v>214</v>
      </c>
      <c r="C58" s="2422">
        <v>188</v>
      </c>
      <c r="D58" s="2422">
        <f t="shared" si="213"/>
        <v>188</v>
      </c>
      <c r="E58" s="2422">
        <v>289</v>
      </c>
      <c r="F58" s="2423">
        <v>166</v>
      </c>
      <c r="G58" s="3611">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12">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12">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8"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13">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8" thickBot="1">
      <c r="A62" s="2372" t="s">
        <v>914</v>
      </c>
      <c r="B62" s="2387">
        <v>188</v>
      </c>
      <c r="C62" s="2387">
        <v>165</v>
      </c>
      <c r="D62" s="2387">
        <f t="shared" si="213"/>
        <v>165</v>
      </c>
      <c r="E62" s="2387">
        <v>254</v>
      </c>
      <c r="F62" s="2388">
        <v>148</v>
      </c>
      <c r="G62" s="3611">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12">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12">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13">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8" thickBot="1">
      <c r="A66" s="2372" t="s">
        <v>918</v>
      </c>
      <c r="B66" s="2401">
        <v>159</v>
      </c>
      <c r="C66" s="2401">
        <v>141</v>
      </c>
      <c r="D66" s="2401">
        <f t="shared" si="213"/>
        <v>141</v>
      </c>
      <c r="E66" s="2401">
        <v>195</v>
      </c>
      <c r="F66" s="2402">
        <v>122</v>
      </c>
      <c r="G66" s="3611">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12">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12">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13">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8" thickBot="1">
      <c r="A70" s="2372" t="s">
        <v>922</v>
      </c>
      <c r="B70" s="2401">
        <v>138</v>
      </c>
      <c r="C70" s="2401">
        <v>131</v>
      </c>
      <c r="D70" s="2401">
        <f t="shared" si="213"/>
        <v>131</v>
      </c>
      <c r="E70" s="2401">
        <v>155</v>
      </c>
      <c r="F70" s="2402">
        <v>114</v>
      </c>
      <c r="G70" s="3611">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12">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12">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13">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8" thickBot="1">
      <c r="A74" s="2372" t="s">
        <v>926</v>
      </c>
      <c r="B74" s="2422">
        <v>121</v>
      </c>
      <c r="C74" s="2422">
        <v>122</v>
      </c>
      <c r="D74" s="2422">
        <f t="shared" si="213"/>
        <v>122</v>
      </c>
      <c r="E74" s="2422">
        <v>124</v>
      </c>
      <c r="F74" s="2423">
        <v>107</v>
      </c>
      <c r="G74" s="3611">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12">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12">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8"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13">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8" thickBot="1">
      <c r="A78" s="2372" t="s">
        <v>930</v>
      </c>
      <c r="B78" s="2442">
        <v>111</v>
      </c>
      <c r="C78" s="2442">
        <v>114</v>
      </c>
      <c r="D78" s="2442">
        <f t="shared" si="213"/>
        <v>114</v>
      </c>
      <c r="E78" s="2442">
        <v>108</v>
      </c>
      <c r="F78" s="2443">
        <v>104</v>
      </c>
      <c r="G78" s="3611">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12">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12">
        <v>2003</v>
      </c>
      <c r="H80" s="2385">
        <v>2</v>
      </c>
      <c r="I80" s="2444"/>
      <c r="J80" s="2444"/>
      <c r="K80" s="2444"/>
      <c r="L80" s="2444"/>
      <c r="X80" s="2436"/>
      <c r="Y80" s="2436"/>
      <c r="Z80" s="2436"/>
    </row>
    <row r="81" spans="1:26" ht="13.8" thickBot="1">
      <c r="A81" s="2372" t="s">
        <v>933</v>
      </c>
      <c r="B81" s="2446">
        <f t="shared" si="249"/>
        <v>107.25</v>
      </c>
      <c r="C81" s="2446">
        <f t="shared" si="249"/>
        <v>108.75</v>
      </c>
      <c r="D81" s="2446">
        <f t="shared" si="213"/>
        <v>108.75</v>
      </c>
      <c r="E81" s="2446">
        <f t="shared" si="250"/>
        <v>105.75</v>
      </c>
      <c r="F81" s="2446">
        <f t="shared" si="250"/>
        <v>102.5</v>
      </c>
      <c r="G81" s="3613">
        <v>2003</v>
      </c>
      <c r="H81" s="2447">
        <v>1</v>
      </c>
      <c r="I81" s="2444"/>
      <c r="J81" s="2444"/>
      <c r="K81" s="2444"/>
      <c r="L81" s="2444"/>
      <c r="S81" s="2375"/>
      <c r="T81" s="2360"/>
      <c r="U81" s="2360"/>
      <c r="X81" s="2436"/>
      <c r="Y81" s="2436"/>
      <c r="Z81" s="2436"/>
    </row>
    <row r="82" spans="1:26" ht="13.8" thickBot="1">
      <c r="A82" s="2372" t="s">
        <v>934</v>
      </c>
      <c r="B82" s="2448">
        <v>106</v>
      </c>
      <c r="C82" s="2448">
        <v>107</v>
      </c>
      <c r="D82" s="2448">
        <f t="shared" si="213"/>
        <v>107</v>
      </c>
      <c r="E82" s="2448">
        <v>105</v>
      </c>
      <c r="F82" s="2449">
        <v>102</v>
      </c>
      <c r="G82" s="3611">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12">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12">
        <v>2002</v>
      </c>
      <c r="H84" s="2385">
        <v>2</v>
      </c>
      <c r="I84" s="2444"/>
      <c r="J84" s="2444"/>
      <c r="K84" s="2444"/>
      <c r="L84" s="2444"/>
      <c r="X84" s="2436"/>
      <c r="Y84" s="2436"/>
      <c r="Z84" s="2436"/>
    </row>
    <row r="85" spans="1:26" s="2409" customFormat="1" ht="13.8" thickBot="1">
      <c r="A85" s="2405" t="s">
        <v>937</v>
      </c>
      <c r="B85" s="2412">
        <f t="shared" si="251"/>
        <v>103</v>
      </c>
      <c r="C85" s="2412">
        <f t="shared" si="251"/>
        <v>104</v>
      </c>
      <c r="D85" s="2412">
        <f t="shared" si="213"/>
        <v>104</v>
      </c>
      <c r="E85" s="2412">
        <f t="shared" si="252"/>
        <v>103.5</v>
      </c>
      <c r="F85" s="2412">
        <f t="shared" si="252"/>
        <v>100.5</v>
      </c>
      <c r="G85" s="3613">
        <v>2002</v>
      </c>
      <c r="H85" s="2450">
        <v>1</v>
      </c>
      <c r="I85" s="2451"/>
      <c r="J85" s="2451"/>
      <c r="K85" s="2451"/>
      <c r="L85" s="2451"/>
      <c r="N85" s="2452"/>
      <c r="S85" s="2452"/>
      <c r="X85" s="2453"/>
      <c r="Y85" s="2453"/>
      <c r="Z85" s="2453"/>
    </row>
    <row r="86" spans="1:26" ht="13.8"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8"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8"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H14"/>
      <selection pane="bottomLeft" activeCell="C14" sqref="C14:H14"/>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25" t="s">
        <v>2581</v>
      </c>
      <c r="D1" s="3626"/>
      <c r="E1" s="3626"/>
      <c r="F1" s="3626"/>
      <c r="G1" s="3626"/>
      <c r="H1" s="3626"/>
      <c r="I1" s="3626"/>
      <c r="J1" s="3626"/>
      <c r="K1" s="3626"/>
      <c r="L1" s="3626"/>
      <c r="M1" s="3626"/>
      <c r="N1" s="3626"/>
      <c r="O1" s="3626"/>
      <c r="P1" s="3626"/>
      <c r="Q1" s="3626"/>
      <c r="R1" s="3626"/>
      <c r="S1" s="3627"/>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2"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6">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22" t="s">
        <v>33</v>
      </c>
      <c r="D22" s="3623"/>
      <c r="E22" s="3623"/>
      <c r="F22" s="3623"/>
      <c r="G22" s="3623"/>
      <c r="H22" s="3623"/>
      <c r="I22" s="3623"/>
      <c r="J22" s="3623"/>
      <c r="K22" s="3623"/>
      <c r="L22" s="3623"/>
      <c r="M22" s="3623"/>
      <c r="N22" s="3623"/>
      <c r="O22" s="3623"/>
      <c r="P22" s="3623"/>
      <c r="Q22" s="3624"/>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149014</v>
      </c>
      <c r="C2" s="2" t="s">
        <v>133</v>
      </c>
      <c r="D2" s="205"/>
      <c r="E2" s="205"/>
      <c r="F2" s="205"/>
      <c r="G2" s="205"/>
    </row>
    <row r="3" spans="1:7" s="206" customFormat="1" ht="18" customHeight="1" thickBot="1">
      <c r="A3" s="209" t="s">
        <v>85</v>
      </c>
      <c r="B3" s="210">
        <f ca="1">ROUND(B2*10000/'数据-汇总表'!E3,0)</f>
        <v>6109</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4635</v>
      </c>
      <c r="D10" s="935">
        <f>'数据-汇总表'!E6</f>
        <v>243924.88</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3659</v>
      </c>
      <c r="D19" s="939">
        <f>'数据-汇总表'!E3</f>
        <v>243924.88</v>
      </c>
      <c r="E19" s="217">
        <f>'数据-取费表'!B31</f>
        <v>150</v>
      </c>
      <c r="F19" s="237"/>
      <c r="G19" s="1" t="s">
        <v>861</v>
      </c>
    </row>
    <row r="20" spans="1:7" s="220" customFormat="1" ht="13.5" customHeight="1">
      <c r="A20" s="866" t="s">
        <v>844</v>
      </c>
      <c r="B20" s="216" t="s">
        <v>104</v>
      </c>
      <c r="C20" s="238">
        <f>ROUND((C5+C19)*F20,0)</f>
        <v>485</v>
      </c>
      <c r="D20" s="238"/>
      <c r="E20" s="238"/>
      <c r="F20" s="239">
        <f>'数据-取费表'!B37</f>
        <v>0.02</v>
      </c>
      <c r="G20" s="1180"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7">
        <f ca="1">ROUND(SUM(C23:C25),0)</f>
        <v>3219</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2707</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481</v>
      </c>
      <c r="D24" s="244"/>
      <c r="E24" s="244"/>
      <c r="F24" s="245"/>
      <c r="G24" s="246" t="s">
        <v>109</v>
      </c>
    </row>
    <row r="25" spans="1:7" s="220" customFormat="1" ht="24">
      <c r="A25" s="869" t="s">
        <v>612</v>
      </c>
      <c r="B25" s="221" t="s">
        <v>845</v>
      </c>
      <c r="C25" s="1218">
        <f ca="1">ROUND(IF('数据-取费表'!B22&lt;=1,C20*F22*'数据-取费表'!B23/2,C20*(POWER((1+F22),'数据-取费表'!B23/2)-1)),0)</f>
        <v>31</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6.4">
      <c r="A27" s="866" t="s">
        <v>606</v>
      </c>
      <c r="B27" s="250" t="s">
        <v>112</v>
      </c>
      <c r="C27" s="251">
        <f>C28</f>
        <v>3218</v>
      </c>
      <c r="D27" s="241">
        <f>C29</f>
        <v>1.2999999999999999E-3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3218</v>
      </c>
      <c r="D28" s="241"/>
      <c r="E28" s="242"/>
      <c r="F28" s="252"/>
      <c r="G28" s="253"/>
    </row>
    <row r="29" spans="1:7" s="220" customFormat="1" ht="13.5" customHeight="1">
      <c r="A29" s="869" t="s">
        <v>611</v>
      </c>
      <c r="B29" s="254" t="s">
        <v>850</v>
      </c>
      <c r="C29" s="244">
        <f>ROUND(C21*F27*'数据-取费表'!B21/'数据-取费表'!B20,4)</f>
        <v>1.2999999999999999E-3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33334</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91655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85374</v>
      </c>
      <c r="D34" s="223"/>
      <c r="E34" s="226"/>
      <c r="F34" s="263">
        <f>IF('数据-取费表'!B24=0,1,'数据-取费表'!N16)</f>
        <v>1</v>
      </c>
      <c r="G34" s="225" t="s">
        <v>116</v>
      </c>
    </row>
    <row r="35" spans="1:7" ht="13.5" customHeight="1">
      <c r="A35" s="869" t="s">
        <v>615</v>
      </c>
      <c r="B35" s="221" t="s">
        <v>60</v>
      </c>
      <c r="C35" s="226">
        <f>ROUND(C34*F35,0)</f>
        <v>2561</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2439</v>
      </c>
      <c r="D37" s="223">
        <f>'数据-汇总表'!E3</f>
        <v>243924.88</v>
      </c>
      <c r="E37" s="255">
        <f>'数据-取费表'!B35</f>
        <v>100</v>
      </c>
      <c r="F37" s="265"/>
      <c r="G37" s="267" t="s">
        <v>119</v>
      </c>
    </row>
    <row r="38" spans="1:7" ht="13.5" customHeight="1">
      <c r="A38" s="869" t="s">
        <v>618</v>
      </c>
      <c r="B38" s="221" t="s">
        <v>63</v>
      </c>
      <c r="C38" s="226">
        <f>ROUND(C34*F38,0)</f>
        <v>1281</v>
      </c>
      <c r="D38" s="226"/>
      <c r="E38" s="226"/>
      <c r="F38" s="265">
        <f>'数据-取费表'!B36</f>
        <v>1.4999999999999999E-2</v>
      </c>
      <c r="G38" s="225" t="s">
        <v>117</v>
      </c>
    </row>
    <row r="39" spans="1:7" s="220" customFormat="1" ht="13.5" customHeight="1">
      <c r="A39" s="866" t="s">
        <v>602</v>
      </c>
      <c r="B39" s="216" t="s">
        <v>104</v>
      </c>
      <c r="C39" s="238">
        <f>ROUND(C33*F20,0)</f>
        <v>1833</v>
      </c>
      <c r="D39" s="238"/>
      <c r="E39" s="238"/>
      <c r="F39" s="239"/>
      <c r="G39" s="1180"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5951</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5834</v>
      </c>
      <c r="D42" s="244"/>
      <c r="E42" s="244"/>
      <c r="F42" s="245"/>
      <c r="G42" s="3474" t="s">
        <v>121</v>
      </c>
    </row>
    <row r="43" spans="1:7" ht="13.5" customHeight="1">
      <c r="A43" s="869" t="s">
        <v>611</v>
      </c>
      <c r="B43" s="221" t="s">
        <v>851</v>
      </c>
      <c r="C43" s="244">
        <f ca="1">ROUND(IF('数据-取费表'!B22&lt;=1,C39*F22*'数据-取费表'!B21/2,C39*(POWER((1+F22),'数据-取费表'!B21/2)-1)),0)</f>
        <v>117</v>
      </c>
      <c r="D43" s="244"/>
      <c r="E43" s="244"/>
      <c r="F43" s="245"/>
      <c r="G43" s="3475"/>
    </row>
    <row r="44" spans="1:7" ht="13.5" customHeight="1">
      <c r="A44" s="869" t="s">
        <v>612</v>
      </c>
      <c r="B44" s="221" t="s">
        <v>853</v>
      </c>
      <c r="C44" s="244">
        <f ca="1">ROUND(IF('数据-取费表'!B22&lt;=1,C40*F22*'数据-取费表'!B21/2,C40*(POWER((1+F22),'数据-取费表'!B21/2)-1)),4)</f>
        <v>5.9999999999999995E-4</v>
      </c>
      <c r="D44" s="244"/>
      <c r="E44" s="244"/>
      <c r="F44" s="245"/>
      <c r="G44" s="3476"/>
    </row>
    <row r="45" spans="1:7" s="220" customFormat="1" ht="13.5" customHeight="1">
      <c r="A45" s="866" t="s">
        <v>605</v>
      </c>
      <c r="B45" s="250" t="s">
        <v>112</v>
      </c>
      <c r="C45" s="251">
        <f>C46</f>
        <v>12153</v>
      </c>
      <c r="D45" s="241">
        <f>C47</f>
        <v>1.2999999999999999E-3</v>
      </c>
      <c r="E45" s="242" t="s">
        <v>129</v>
      </c>
      <c r="F45" s="252"/>
      <c r="G45" s="253" t="s">
        <v>859</v>
      </c>
    </row>
    <row r="46" spans="1:7" s="220" customFormat="1" ht="13.5" customHeight="1">
      <c r="A46" s="869" t="s">
        <v>613</v>
      </c>
      <c r="B46" s="254" t="s">
        <v>852</v>
      </c>
      <c r="C46" s="255">
        <f>ROUND((C33+C39)*F27,0)</f>
        <v>12153</v>
      </c>
      <c r="D46" s="269"/>
      <c r="E46" s="242"/>
      <c r="F46" s="252"/>
      <c r="G46" s="253"/>
    </row>
    <row r="47" spans="1:7" s="220" customFormat="1" ht="13.5" customHeight="1">
      <c r="A47" s="869" t="s">
        <v>611</v>
      </c>
      <c r="B47" s="254" t="s">
        <v>854</v>
      </c>
      <c r="C47" s="244">
        <f>ROUND(C40*F27,4)</f>
        <v>1.2999999999999999E-3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119258</v>
      </c>
      <c r="D49" s="238"/>
      <c r="E49" s="238"/>
      <c r="F49" s="270"/>
      <c r="G49" s="240" t="s">
        <v>860</v>
      </c>
    </row>
    <row r="50" spans="1:7" s="264" customFormat="1" ht="24">
      <c r="A50" s="866" t="s">
        <v>608</v>
      </c>
      <c r="B50" s="216" t="s">
        <v>124</v>
      </c>
      <c r="C50" s="238"/>
      <c r="D50" s="238"/>
      <c r="E50" s="238"/>
      <c r="F50" s="270">
        <f>IF('数据-取费表'!B24=0,'数据-取费表'!N16,1)</f>
        <v>0.97</v>
      </c>
      <c r="G50" s="253" t="s">
        <v>125</v>
      </c>
    </row>
    <row r="51" spans="1:7" ht="16.5" customHeight="1">
      <c r="A51" s="866" t="s">
        <v>609</v>
      </c>
      <c r="B51" s="216" t="s">
        <v>132</v>
      </c>
      <c r="C51" s="238">
        <f ca="1">ROUND(C49*F50,0)</f>
        <v>115680</v>
      </c>
      <c r="D51" s="238"/>
      <c r="E51" s="238"/>
      <c r="F51" s="270"/>
      <c r="G51" s="240" t="s">
        <v>64</v>
      </c>
    </row>
    <row r="52" spans="1:7" s="214" customFormat="1" ht="16.8" thickBot="1">
      <c r="A52" s="271" t="s">
        <v>65</v>
      </c>
      <c r="B52" s="272"/>
      <c r="C52" s="273">
        <f ca="1">C31+C51</f>
        <v>149014</v>
      </c>
      <c r="D52" s="272"/>
      <c r="E52" s="272"/>
      <c r="F52" s="272"/>
      <c r="G52" s="274"/>
    </row>
    <row r="55" spans="1:7" ht="15">
      <c r="B55" s="276" t="s">
        <v>66</v>
      </c>
      <c r="C55" s="277"/>
    </row>
    <row r="56" spans="1:7">
      <c r="B56" s="279" t="s">
        <v>67</v>
      </c>
      <c r="C56" s="280">
        <f ca="1">ROUND(C51/C52,3)</f>
        <v>0.77600000000000002</v>
      </c>
    </row>
    <row r="57" spans="1:7">
      <c r="B57" s="279" t="s">
        <v>68</v>
      </c>
      <c r="C57" s="281">
        <f ca="1">1-C56</f>
        <v>0.22399999999999998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628" t="s">
        <v>156</v>
      </c>
      <c r="B1" s="3628"/>
      <c r="C1" s="3628"/>
      <c r="D1" s="3628"/>
      <c r="E1" s="3628"/>
      <c r="F1" s="362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29" t="s">
        <v>169</v>
      </c>
      <c r="B2" s="3629"/>
      <c r="C2" s="3629"/>
      <c r="D2" s="3629"/>
      <c r="E2" s="3629"/>
      <c r="F2" s="362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3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628" t="s">
        <v>658</v>
      </c>
      <c r="B1" s="3628"/>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4.4"/>
  <cols>
    <col min="1" max="1" width="4.88671875" style="1362" customWidth="1"/>
    <col min="2" max="2" width="13.21875" style="1368" customWidth="1"/>
    <col min="3" max="3" width="15.6640625" style="1368" customWidth="1"/>
    <col min="4" max="4" width="9.33203125" style="1368" bestFit="1" customWidth="1"/>
    <col min="5" max="5" width="13.44140625" style="1368" customWidth="1"/>
    <col min="6" max="6" width="9" style="1368"/>
    <col min="7" max="7" width="9.33203125" style="1368" bestFit="1" customWidth="1"/>
    <col min="8" max="8" width="12.21875" style="1368" customWidth="1"/>
    <col min="9" max="9" width="9" style="1368"/>
    <col min="10" max="10" width="9.33203125" style="1368" bestFit="1" customWidth="1"/>
    <col min="11" max="11" width="4" style="1362" customWidth="1"/>
    <col min="12" max="12" width="5.109375" style="1368" customWidth="1"/>
    <col min="13" max="13" width="13.77734375" style="1368" customWidth="1"/>
    <col min="14" max="256" width="9" style="1368"/>
    <col min="257" max="257" width="4.88671875" style="1359" customWidth="1"/>
    <col min="258" max="258" width="13.21875" style="1359" customWidth="1"/>
    <col min="259" max="259" width="15.6640625" style="1359" customWidth="1"/>
    <col min="260" max="260" width="9.33203125" style="1359" bestFit="1" customWidth="1"/>
    <col min="261" max="261" width="13.44140625" style="1359" customWidth="1"/>
    <col min="262" max="262" width="9" style="1359"/>
    <col min="263" max="263" width="9.33203125" style="1359" bestFit="1" customWidth="1"/>
    <col min="264" max="265" width="9" style="1359"/>
    <col min="266" max="266" width="9.33203125" style="1359" bestFit="1" customWidth="1"/>
    <col min="267" max="267" width="4" style="1359" customWidth="1"/>
    <col min="268" max="268" width="5.109375" style="1359" customWidth="1"/>
    <col min="269" max="269" width="13.77734375" style="1359" customWidth="1"/>
    <col min="270" max="512" width="9" style="1359"/>
    <col min="513" max="513" width="4.88671875" style="1359" customWidth="1"/>
    <col min="514" max="514" width="13.21875" style="1359" customWidth="1"/>
    <col min="515" max="515" width="15.6640625" style="1359" customWidth="1"/>
    <col min="516" max="516" width="9.33203125" style="1359" bestFit="1" customWidth="1"/>
    <col min="517" max="517" width="13.44140625" style="1359" customWidth="1"/>
    <col min="518" max="518" width="9" style="1359"/>
    <col min="519" max="519" width="9.33203125" style="1359" bestFit="1" customWidth="1"/>
    <col min="520" max="521" width="9" style="1359"/>
    <col min="522" max="522" width="9.33203125" style="1359" bestFit="1" customWidth="1"/>
    <col min="523" max="523" width="4" style="1359" customWidth="1"/>
    <col min="524" max="524" width="5.109375" style="1359" customWidth="1"/>
    <col min="525" max="525" width="13.77734375" style="1359" customWidth="1"/>
    <col min="526" max="768" width="9" style="1359"/>
    <col min="769" max="769" width="4.88671875" style="1359" customWidth="1"/>
    <col min="770" max="770" width="13.21875" style="1359" customWidth="1"/>
    <col min="771" max="771" width="15.6640625" style="1359" customWidth="1"/>
    <col min="772" max="772" width="9.33203125" style="1359" bestFit="1" customWidth="1"/>
    <col min="773" max="773" width="13.44140625" style="1359" customWidth="1"/>
    <col min="774" max="774" width="9" style="1359"/>
    <col min="775" max="775" width="9.33203125" style="1359" bestFit="1" customWidth="1"/>
    <col min="776" max="777" width="9" style="1359"/>
    <col min="778" max="778" width="9.33203125" style="1359" bestFit="1" customWidth="1"/>
    <col min="779" max="779" width="4" style="1359" customWidth="1"/>
    <col min="780" max="780" width="5.109375" style="1359" customWidth="1"/>
    <col min="781" max="781" width="13.77734375" style="1359" customWidth="1"/>
    <col min="782" max="1024" width="9" style="1359"/>
    <col min="1025" max="1025" width="4.88671875" style="1359" customWidth="1"/>
    <col min="1026" max="1026" width="13.21875" style="1359" customWidth="1"/>
    <col min="1027" max="1027" width="15.6640625" style="1359" customWidth="1"/>
    <col min="1028" max="1028" width="9.33203125" style="1359" bestFit="1" customWidth="1"/>
    <col min="1029" max="1029" width="13.44140625" style="1359" customWidth="1"/>
    <col min="1030" max="1030" width="9" style="1359"/>
    <col min="1031" max="1031" width="9.33203125" style="1359" bestFit="1" customWidth="1"/>
    <col min="1032" max="1033" width="9" style="1359"/>
    <col min="1034" max="1034" width="9.33203125" style="1359" bestFit="1" customWidth="1"/>
    <col min="1035" max="1035" width="4" style="1359" customWidth="1"/>
    <col min="1036" max="1036" width="5.109375" style="1359" customWidth="1"/>
    <col min="1037" max="1037" width="13.77734375" style="1359" customWidth="1"/>
    <col min="1038" max="1280" width="9" style="1359"/>
    <col min="1281" max="1281" width="4.88671875" style="1359" customWidth="1"/>
    <col min="1282" max="1282" width="13.21875" style="1359" customWidth="1"/>
    <col min="1283" max="1283" width="15.6640625" style="1359" customWidth="1"/>
    <col min="1284" max="1284" width="9.33203125" style="1359" bestFit="1" customWidth="1"/>
    <col min="1285" max="1285" width="13.44140625" style="1359" customWidth="1"/>
    <col min="1286" max="1286" width="9" style="1359"/>
    <col min="1287" max="1287" width="9.33203125" style="1359" bestFit="1" customWidth="1"/>
    <col min="1288" max="1289" width="9" style="1359"/>
    <col min="1290" max="1290" width="9.33203125" style="1359" bestFit="1" customWidth="1"/>
    <col min="1291" max="1291" width="4" style="1359" customWidth="1"/>
    <col min="1292" max="1292" width="5.109375" style="1359" customWidth="1"/>
    <col min="1293" max="1293" width="13.77734375" style="1359" customWidth="1"/>
    <col min="1294" max="1536" width="9" style="1359"/>
    <col min="1537" max="1537" width="4.88671875" style="1359" customWidth="1"/>
    <col min="1538" max="1538" width="13.21875" style="1359" customWidth="1"/>
    <col min="1539" max="1539" width="15.6640625" style="1359" customWidth="1"/>
    <col min="1540" max="1540" width="9.33203125" style="1359" bestFit="1" customWidth="1"/>
    <col min="1541" max="1541" width="13.44140625" style="1359" customWidth="1"/>
    <col min="1542" max="1542" width="9" style="1359"/>
    <col min="1543" max="1543" width="9.33203125" style="1359" bestFit="1" customWidth="1"/>
    <col min="1544" max="1545" width="9" style="1359"/>
    <col min="1546" max="1546" width="9.33203125" style="1359" bestFit="1" customWidth="1"/>
    <col min="1547" max="1547" width="4" style="1359" customWidth="1"/>
    <col min="1548" max="1548" width="5.109375" style="1359" customWidth="1"/>
    <col min="1549" max="1549" width="13.77734375" style="1359" customWidth="1"/>
    <col min="1550" max="1792" width="9" style="1359"/>
    <col min="1793" max="1793" width="4.88671875" style="1359" customWidth="1"/>
    <col min="1794" max="1794" width="13.21875" style="1359" customWidth="1"/>
    <col min="1795" max="1795" width="15.6640625" style="1359" customWidth="1"/>
    <col min="1796" max="1796" width="9.33203125" style="1359" bestFit="1" customWidth="1"/>
    <col min="1797" max="1797" width="13.44140625" style="1359" customWidth="1"/>
    <col min="1798" max="1798" width="9" style="1359"/>
    <col min="1799" max="1799" width="9.33203125" style="1359" bestFit="1" customWidth="1"/>
    <col min="1800" max="1801" width="9" style="1359"/>
    <col min="1802" max="1802" width="9.33203125" style="1359" bestFit="1" customWidth="1"/>
    <col min="1803" max="1803" width="4" style="1359" customWidth="1"/>
    <col min="1804" max="1804" width="5.109375" style="1359" customWidth="1"/>
    <col min="1805" max="1805" width="13.77734375" style="1359" customWidth="1"/>
    <col min="1806" max="2048" width="9" style="1359"/>
    <col min="2049" max="2049" width="4.88671875" style="1359" customWidth="1"/>
    <col min="2050" max="2050" width="13.21875" style="1359" customWidth="1"/>
    <col min="2051" max="2051" width="15.6640625" style="1359" customWidth="1"/>
    <col min="2052" max="2052" width="9.33203125" style="1359" bestFit="1" customWidth="1"/>
    <col min="2053" max="2053" width="13.44140625" style="1359" customWidth="1"/>
    <col min="2054" max="2054" width="9" style="1359"/>
    <col min="2055" max="2055" width="9.33203125" style="1359" bestFit="1" customWidth="1"/>
    <col min="2056" max="2057" width="9" style="1359"/>
    <col min="2058" max="2058" width="9.33203125" style="1359" bestFit="1" customWidth="1"/>
    <col min="2059" max="2059" width="4" style="1359" customWidth="1"/>
    <col min="2060" max="2060" width="5.109375" style="1359" customWidth="1"/>
    <col min="2061" max="2061" width="13.77734375" style="1359" customWidth="1"/>
    <col min="2062" max="2304" width="9" style="1359"/>
    <col min="2305" max="2305" width="4.88671875" style="1359" customWidth="1"/>
    <col min="2306" max="2306" width="13.21875" style="1359" customWidth="1"/>
    <col min="2307" max="2307" width="15.6640625" style="1359" customWidth="1"/>
    <col min="2308" max="2308" width="9.33203125" style="1359" bestFit="1" customWidth="1"/>
    <col min="2309" max="2309" width="13.44140625" style="1359" customWidth="1"/>
    <col min="2310" max="2310" width="9" style="1359"/>
    <col min="2311" max="2311" width="9.33203125" style="1359" bestFit="1" customWidth="1"/>
    <col min="2312" max="2313" width="9" style="1359"/>
    <col min="2314" max="2314" width="9.33203125" style="1359" bestFit="1" customWidth="1"/>
    <col min="2315" max="2315" width="4" style="1359" customWidth="1"/>
    <col min="2316" max="2316" width="5.109375" style="1359" customWidth="1"/>
    <col min="2317" max="2317" width="13.77734375" style="1359" customWidth="1"/>
    <col min="2318" max="2560" width="9" style="1359"/>
    <col min="2561" max="2561" width="4.88671875" style="1359" customWidth="1"/>
    <col min="2562" max="2562" width="13.21875" style="1359" customWidth="1"/>
    <col min="2563" max="2563" width="15.6640625" style="1359" customWidth="1"/>
    <col min="2564" max="2564" width="9.33203125" style="1359" bestFit="1" customWidth="1"/>
    <col min="2565" max="2565" width="13.44140625" style="1359" customWidth="1"/>
    <col min="2566" max="2566" width="9" style="1359"/>
    <col min="2567" max="2567" width="9.33203125" style="1359" bestFit="1" customWidth="1"/>
    <col min="2568" max="2569" width="9" style="1359"/>
    <col min="2570" max="2570" width="9.33203125" style="1359" bestFit="1" customWidth="1"/>
    <col min="2571" max="2571" width="4" style="1359" customWidth="1"/>
    <col min="2572" max="2572" width="5.109375" style="1359" customWidth="1"/>
    <col min="2573" max="2573" width="13.77734375" style="1359" customWidth="1"/>
    <col min="2574" max="2816" width="9" style="1359"/>
    <col min="2817" max="2817" width="4.88671875" style="1359" customWidth="1"/>
    <col min="2818" max="2818" width="13.21875" style="1359" customWidth="1"/>
    <col min="2819" max="2819" width="15.6640625" style="1359" customWidth="1"/>
    <col min="2820" max="2820" width="9.33203125" style="1359" bestFit="1" customWidth="1"/>
    <col min="2821" max="2821" width="13.44140625" style="1359" customWidth="1"/>
    <col min="2822" max="2822" width="9" style="1359"/>
    <col min="2823" max="2823" width="9.33203125" style="1359" bestFit="1" customWidth="1"/>
    <col min="2824" max="2825" width="9" style="1359"/>
    <col min="2826" max="2826" width="9.33203125" style="1359" bestFit="1" customWidth="1"/>
    <col min="2827" max="2827" width="4" style="1359" customWidth="1"/>
    <col min="2828" max="2828" width="5.109375" style="1359" customWidth="1"/>
    <col min="2829" max="2829" width="13.77734375" style="1359" customWidth="1"/>
    <col min="2830" max="3072" width="9" style="1359"/>
    <col min="3073" max="3073" width="4.88671875" style="1359" customWidth="1"/>
    <col min="3074" max="3074" width="13.21875" style="1359" customWidth="1"/>
    <col min="3075" max="3075" width="15.6640625" style="1359" customWidth="1"/>
    <col min="3076" max="3076" width="9.33203125" style="1359" bestFit="1" customWidth="1"/>
    <col min="3077" max="3077" width="13.44140625" style="1359" customWidth="1"/>
    <col min="3078" max="3078" width="9" style="1359"/>
    <col min="3079" max="3079" width="9.33203125" style="1359" bestFit="1" customWidth="1"/>
    <col min="3080" max="3081" width="9" style="1359"/>
    <col min="3082" max="3082" width="9.33203125" style="1359" bestFit="1" customWidth="1"/>
    <col min="3083" max="3083" width="4" style="1359" customWidth="1"/>
    <col min="3084" max="3084" width="5.109375" style="1359" customWidth="1"/>
    <col min="3085" max="3085" width="13.77734375" style="1359" customWidth="1"/>
    <col min="3086" max="3328" width="9" style="1359"/>
    <col min="3329" max="3329" width="4.88671875" style="1359" customWidth="1"/>
    <col min="3330" max="3330" width="13.21875" style="1359" customWidth="1"/>
    <col min="3331" max="3331" width="15.6640625" style="1359" customWidth="1"/>
    <col min="3332" max="3332" width="9.33203125" style="1359" bestFit="1" customWidth="1"/>
    <col min="3333" max="3333" width="13.44140625" style="1359" customWidth="1"/>
    <col min="3334" max="3334" width="9" style="1359"/>
    <col min="3335" max="3335" width="9.33203125" style="1359" bestFit="1" customWidth="1"/>
    <col min="3336" max="3337" width="9" style="1359"/>
    <col min="3338" max="3338" width="9.33203125" style="1359" bestFit="1" customWidth="1"/>
    <col min="3339" max="3339" width="4" style="1359" customWidth="1"/>
    <col min="3340" max="3340" width="5.109375" style="1359" customWidth="1"/>
    <col min="3341" max="3341" width="13.77734375" style="1359" customWidth="1"/>
    <col min="3342" max="3584" width="9" style="1359"/>
    <col min="3585" max="3585" width="4.88671875" style="1359" customWidth="1"/>
    <col min="3586" max="3586" width="13.21875" style="1359" customWidth="1"/>
    <col min="3587" max="3587" width="15.6640625" style="1359" customWidth="1"/>
    <col min="3588" max="3588" width="9.33203125" style="1359" bestFit="1" customWidth="1"/>
    <col min="3589" max="3589" width="13.44140625" style="1359" customWidth="1"/>
    <col min="3590" max="3590" width="9" style="1359"/>
    <col min="3591" max="3591" width="9.33203125" style="1359" bestFit="1" customWidth="1"/>
    <col min="3592" max="3593" width="9" style="1359"/>
    <col min="3594" max="3594" width="9.33203125" style="1359" bestFit="1" customWidth="1"/>
    <col min="3595" max="3595" width="4" style="1359" customWidth="1"/>
    <col min="3596" max="3596" width="5.109375" style="1359" customWidth="1"/>
    <col min="3597" max="3597" width="13.77734375" style="1359" customWidth="1"/>
    <col min="3598" max="3840" width="9" style="1359"/>
    <col min="3841" max="3841" width="4.88671875" style="1359" customWidth="1"/>
    <col min="3842" max="3842" width="13.21875" style="1359" customWidth="1"/>
    <col min="3843" max="3843" width="15.6640625" style="1359" customWidth="1"/>
    <col min="3844" max="3844" width="9.33203125" style="1359" bestFit="1" customWidth="1"/>
    <col min="3845" max="3845" width="13.44140625" style="1359" customWidth="1"/>
    <col min="3846" max="3846" width="9" style="1359"/>
    <col min="3847" max="3847" width="9.33203125" style="1359" bestFit="1" customWidth="1"/>
    <col min="3848" max="3849" width="9" style="1359"/>
    <col min="3850" max="3850" width="9.33203125" style="1359" bestFit="1" customWidth="1"/>
    <col min="3851" max="3851" width="4" style="1359" customWidth="1"/>
    <col min="3852" max="3852" width="5.109375" style="1359" customWidth="1"/>
    <col min="3853" max="3853" width="13.77734375" style="1359" customWidth="1"/>
    <col min="3854" max="4096" width="9" style="1359"/>
    <col min="4097" max="4097" width="4.88671875" style="1359" customWidth="1"/>
    <col min="4098" max="4098" width="13.21875" style="1359" customWidth="1"/>
    <col min="4099" max="4099" width="15.6640625" style="1359" customWidth="1"/>
    <col min="4100" max="4100" width="9.33203125" style="1359" bestFit="1" customWidth="1"/>
    <col min="4101" max="4101" width="13.44140625" style="1359" customWidth="1"/>
    <col min="4102" max="4102" width="9" style="1359"/>
    <col min="4103" max="4103" width="9.33203125" style="1359" bestFit="1" customWidth="1"/>
    <col min="4104" max="4105" width="9" style="1359"/>
    <col min="4106" max="4106" width="9.33203125" style="1359" bestFit="1" customWidth="1"/>
    <col min="4107" max="4107" width="4" style="1359" customWidth="1"/>
    <col min="4108" max="4108" width="5.109375" style="1359" customWidth="1"/>
    <col min="4109" max="4109" width="13.77734375" style="1359" customWidth="1"/>
    <col min="4110" max="4352" width="9" style="1359"/>
    <col min="4353" max="4353" width="4.88671875" style="1359" customWidth="1"/>
    <col min="4354" max="4354" width="13.21875" style="1359" customWidth="1"/>
    <col min="4355" max="4355" width="15.6640625" style="1359" customWidth="1"/>
    <col min="4356" max="4356" width="9.33203125" style="1359" bestFit="1" customWidth="1"/>
    <col min="4357" max="4357" width="13.44140625" style="1359" customWidth="1"/>
    <col min="4358" max="4358" width="9" style="1359"/>
    <col min="4359" max="4359" width="9.33203125" style="1359" bestFit="1" customWidth="1"/>
    <col min="4360" max="4361" width="9" style="1359"/>
    <col min="4362" max="4362" width="9.33203125" style="1359" bestFit="1" customWidth="1"/>
    <col min="4363" max="4363" width="4" style="1359" customWidth="1"/>
    <col min="4364" max="4364" width="5.109375" style="1359" customWidth="1"/>
    <col min="4365" max="4365" width="13.77734375" style="1359" customWidth="1"/>
    <col min="4366" max="4608" width="9" style="1359"/>
    <col min="4609" max="4609" width="4.88671875" style="1359" customWidth="1"/>
    <col min="4610" max="4610" width="13.21875" style="1359" customWidth="1"/>
    <col min="4611" max="4611" width="15.6640625" style="1359" customWidth="1"/>
    <col min="4612" max="4612" width="9.33203125" style="1359" bestFit="1" customWidth="1"/>
    <col min="4613" max="4613" width="13.44140625" style="1359" customWidth="1"/>
    <col min="4614" max="4614" width="9" style="1359"/>
    <col min="4615" max="4615" width="9.33203125" style="1359" bestFit="1" customWidth="1"/>
    <col min="4616" max="4617" width="9" style="1359"/>
    <col min="4618" max="4618" width="9.33203125" style="1359" bestFit="1" customWidth="1"/>
    <col min="4619" max="4619" width="4" style="1359" customWidth="1"/>
    <col min="4620" max="4620" width="5.109375" style="1359" customWidth="1"/>
    <col min="4621" max="4621" width="13.77734375" style="1359" customWidth="1"/>
    <col min="4622" max="4864" width="9" style="1359"/>
    <col min="4865" max="4865" width="4.88671875" style="1359" customWidth="1"/>
    <col min="4866" max="4866" width="13.21875" style="1359" customWidth="1"/>
    <col min="4867" max="4867" width="15.6640625" style="1359" customWidth="1"/>
    <col min="4868" max="4868" width="9.33203125" style="1359" bestFit="1" customWidth="1"/>
    <col min="4869" max="4869" width="13.44140625" style="1359" customWidth="1"/>
    <col min="4870" max="4870" width="9" style="1359"/>
    <col min="4871" max="4871" width="9.33203125" style="1359" bestFit="1" customWidth="1"/>
    <col min="4872" max="4873" width="9" style="1359"/>
    <col min="4874" max="4874" width="9.33203125" style="1359" bestFit="1" customWidth="1"/>
    <col min="4875" max="4875" width="4" style="1359" customWidth="1"/>
    <col min="4876" max="4876" width="5.109375" style="1359" customWidth="1"/>
    <col min="4877" max="4877" width="13.77734375" style="1359" customWidth="1"/>
    <col min="4878" max="5120" width="9" style="1359"/>
    <col min="5121" max="5121" width="4.88671875" style="1359" customWidth="1"/>
    <col min="5122" max="5122" width="13.21875" style="1359" customWidth="1"/>
    <col min="5123" max="5123" width="15.6640625" style="1359" customWidth="1"/>
    <col min="5124" max="5124" width="9.33203125" style="1359" bestFit="1" customWidth="1"/>
    <col min="5125" max="5125" width="13.44140625" style="1359" customWidth="1"/>
    <col min="5126" max="5126" width="9" style="1359"/>
    <col min="5127" max="5127" width="9.33203125" style="1359" bestFit="1" customWidth="1"/>
    <col min="5128" max="5129" width="9" style="1359"/>
    <col min="5130" max="5130" width="9.33203125" style="1359" bestFit="1" customWidth="1"/>
    <col min="5131" max="5131" width="4" style="1359" customWidth="1"/>
    <col min="5132" max="5132" width="5.109375" style="1359" customWidth="1"/>
    <col min="5133" max="5133" width="13.77734375" style="1359" customWidth="1"/>
    <col min="5134" max="5376" width="9" style="1359"/>
    <col min="5377" max="5377" width="4.88671875" style="1359" customWidth="1"/>
    <col min="5378" max="5378" width="13.21875" style="1359" customWidth="1"/>
    <col min="5379" max="5379" width="15.6640625" style="1359" customWidth="1"/>
    <col min="5380" max="5380" width="9.33203125" style="1359" bestFit="1" customWidth="1"/>
    <col min="5381" max="5381" width="13.44140625" style="1359" customWidth="1"/>
    <col min="5382" max="5382" width="9" style="1359"/>
    <col min="5383" max="5383" width="9.33203125" style="1359" bestFit="1" customWidth="1"/>
    <col min="5384" max="5385" width="9" style="1359"/>
    <col min="5386" max="5386" width="9.33203125" style="1359" bestFit="1" customWidth="1"/>
    <col min="5387" max="5387" width="4" style="1359" customWidth="1"/>
    <col min="5388" max="5388" width="5.109375" style="1359" customWidth="1"/>
    <col min="5389" max="5389" width="13.77734375" style="1359" customWidth="1"/>
    <col min="5390" max="5632" width="9" style="1359"/>
    <col min="5633" max="5633" width="4.88671875" style="1359" customWidth="1"/>
    <col min="5634" max="5634" width="13.21875" style="1359" customWidth="1"/>
    <col min="5635" max="5635" width="15.6640625" style="1359" customWidth="1"/>
    <col min="5636" max="5636" width="9.33203125" style="1359" bestFit="1" customWidth="1"/>
    <col min="5637" max="5637" width="13.44140625" style="1359" customWidth="1"/>
    <col min="5638" max="5638" width="9" style="1359"/>
    <col min="5639" max="5639" width="9.33203125" style="1359" bestFit="1" customWidth="1"/>
    <col min="5640" max="5641" width="9" style="1359"/>
    <col min="5642" max="5642" width="9.33203125" style="1359" bestFit="1" customWidth="1"/>
    <col min="5643" max="5643" width="4" style="1359" customWidth="1"/>
    <col min="5644" max="5644" width="5.109375" style="1359" customWidth="1"/>
    <col min="5645" max="5645" width="13.77734375" style="1359" customWidth="1"/>
    <col min="5646" max="5888" width="9" style="1359"/>
    <col min="5889" max="5889" width="4.88671875" style="1359" customWidth="1"/>
    <col min="5890" max="5890" width="13.21875" style="1359" customWidth="1"/>
    <col min="5891" max="5891" width="15.6640625" style="1359" customWidth="1"/>
    <col min="5892" max="5892" width="9.33203125" style="1359" bestFit="1" customWidth="1"/>
    <col min="5893" max="5893" width="13.44140625" style="1359" customWidth="1"/>
    <col min="5894" max="5894" width="9" style="1359"/>
    <col min="5895" max="5895" width="9.33203125" style="1359" bestFit="1" customWidth="1"/>
    <col min="5896" max="5897" width="9" style="1359"/>
    <col min="5898" max="5898" width="9.33203125" style="1359" bestFit="1" customWidth="1"/>
    <col min="5899" max="5899" width="4" style="1359" customWidth="1"/>
    <col min="5900" max="5900" width="5.109375" style="1359" customWidth="1"/>
    <col min="5901" max="5901" width="13.77734375" style="1359" customWidth="1"/>
    <col min="5902" max="6144" width="9" style="1359"/>
    <col min="6145" max="6145" width="4.88671875" style="1359" customWidth="1"/>
    <col min="6146" max="6146" width="13.21875" style="1359" customWidth="1"/>
    <col min="6147" max="6147" width="15.6640625" style="1359" customWidth="1"/>
    <col min="6148" max="6148" width="9.33203125" style="1359" bestFit="1" customWidth="1"/>
    <col min="6149" max="6149" width="13.44140625" style="1359" customWidth="1"/>
    <col min="6150" max="6150" width="9" style="1359"/>
    <col min="6151" max="6151" width="9.33203125" style="1359" bestFit="1" customWidth="1"/>
    <col min="6152" max="6153" width="9" style="1359"/>
    <col min="6154" max="6154" width="9.33203125" style="1359" bestFit="1" customWidth="1"/>
    <col min="6155" max="6155" width="4" style="1359" customWidth="1"/>
    <col min="6156" max="6156" width="5.109375" style="1359" customWidth="1"/>
    <col min="6157" max="6157" width="13.77734375" style="1359" customWidth="1"/>
    <col min="6158" max="6400" width="9" style="1359"/>
    <col min="6401" max="6401" width="4.88671875" style="1359" customWidth="1"/>
    <col min="6402" max="6402" width="13.21875" style="1359" customWidth="1"/>
    <col min="6403" max="6403" width="15.6640625" style="1359" customWidth="1"/>
    <col min="6404" max="6404" width="9.33203125" style="1359" bestFit="1" customWidth="1"/>
    <col min="6405" max="6405" width="13.44140625" style="1359" customWidth="1"/>
    <col min="6406" max="6406" width="9" style="1359"/>
    <col min="6407" max="6407" width="9.33203125" style="1359" bestFit="1" customWidth="1"/>
    <col min="6408" max="6409" width="9" style="1359"/>
    <col min="6410" max="6410" width="9.33203125" style="1359" bestFit="1" customWidth="1"/>
    <col min="6411" max="6411" width="4" style="1359" customWidth="1"/>
    <col min="6412" max="6412" width="5.109375" style="1359" customWidth="1"/>
    <col min="6413" max="6413" width="13.77734375" style="1359" customWidth="1"/>
    <col min="6414" max="6656" width="9" style="1359"/>
    <col min="6657" max="6657" width="4.88671875" style="1359" customWidth="1"/>
    <col min="6658" max="6658" width="13.21875" style="1359" customWidth="1"/>
    <col min="6659" max="6659" width="15.6640625" style="1359" customWidth="1"/>
    <col min="6660" max="6660" width="9.33203125" style="1359" bestFit="1" customWidth="1"/>
    <col min="6661" max="6661" width="13.44140625" style="1359" customWidth="1"/>
    <col min="6662" max="6662" width="9" style="1359"/>
    <col min="6663" max="6663" width="9.33203125" style="1359" bestFit="1" customWidth="1"/>
    <col min="6664" max="6665" width="9" style="1359"/>
    <col min="6666" max="6666" width="9.33203125" style="1359" bestFit="1" customWidth="1"/>
    <col min="6667" max="6667" width="4" style="1359" customWidth="1"/>
    <col min="6668" max="6668" width="5.109375" style="1359" customWidth="1"/>
    <col min="6669" max="6669" width="13.77734375" style="1359" customWidth="1"/>
    <col min="6670" max="6912" width="9" style="1359"/>
    <col min="6913" max="6913" width="4.88671875" style="1359" customWidth="1"/>
    <col min="6914" max="6914" width="13.21875" style="1359" customWidth="1"/>
    <col min="6915" max="6915" width="15.6640625" style="1359" customWidth="1"/>
    <col min="6916" max="6916" width="9.33203125" style="1359" bestFit="1" customWidth="1"/>
    <col min="6917" max="6917" width="13.44140625" style="1359" customWidth="1"/>
    <col min="6918" max="6918" width="9" style="1359"/>
    <col min="6919" max="6919" width="9.33203125" style="1359" bestFit="1" customWidth="1"/>
    <col min="6920" max="6921" width="9" style="1359"/>
    <col min="6922" max="6922" width="9.33203125" style="1359" bestFit="1" customWidth="1"/>
    <col min="6923" max="6923" width="4" style="1359" customWidth="1"/>
    <col min="6924" max="6924" width="5.109375" style="1359" customWidth="1"/>
    <col min="6925" max="6925" width="13.77734375" style="1359" customWidth="1"/>
    <col min="6926" max="7168" width="9" style="1359"/>
    <col min="7169" max="7169" width="4.88671875" style="1359" customWidth="1"/>
    <col min="7170" max="7170" width="13.21875" style="1359" customWidth="1"/>
    <col min="7171" max="7171" width="15.6640625" style="1359" customWidth="1"/>
    <col min="7172" max="7172" width="9.33203125" style="1359" bestFit="1" customWidth="1"/>
    <col min="7173" max="7173" width="13.44140625" style="1359" customWidth="1"/>
    <col min="7174" max="7174" width="9" style="1359"/>
    <col min="7175" max="7175" width="9.33203125" style="1359" bestFit="1" customWidth="1"/>
    <col min="7176" max="7177" width="9" style="1359"/>
    <col min="7178" max="7178" width="9.33203125" style="1359" bestFit="1" customWidth="1"/>
    <col min="7179" max="7179" width="4" style="1359" customWidth="1"/>
    <col min="7180" max="7180" width="5.109375" style="1359" customWidth="1"/>
    <col min="7181" max="7181" width="13.77734375" style="1359" customWidth="1"/>
    <col min="7182" max="7424" width="9" style="1359"/>
    <col min="7425" max="7425" width="4.88671875" style="1359" customWidth="1"/>
    <col min="7426" max="7426" width="13.21875" style="1359" customWidth="1"/>
    <col min="7427" max="7427" width="15.6640625" style="1359" customWidth="1"/>
    <col min="7428" max="7428" width="9.33203125" style="1359" bestFit="1" customWidth="1"/>
    <col min="7429" max="7429" width="13.44140625" style="1359" customWidth="1"/>
    <col min="7430" max="7430" width="9" style="1359"/>
    <col min="7431" max="7431" width="9.33203125" style="1359" bestFit="1" customWidth="1"/>
    <col min="7432" max="7433" width="9" style="1359"/>
    <col min="7434" max="7434" width="9.33203125" style="1359" bestFit="1" customWidth="1"/>
    <col min="7435" max="7435" width="4" style="1359" customWidth="1"/>
    <col min="7436" max="7436" width="5.109375" style="1359" customWidth="1"/>
    <col min="7437" max="7437" width="13.77734375" style="1359" customWidth="1"/>
    <col min="7438" max="7680" width="9" style="1359"/>
    <col min="7681" max="7681" width="4.88671875" style="1359" customWidth="1"/>
    <col min="7682" max="7682" width="13.21875" style="1359" customWidth="1"/>
    <col min="7683" max="7683" width="15.6640625" style="1359" customWidth="1"/>
    <col min="7684" max="7684" width="9.33203125" style="1359" bestFit="1" customWidth="1"/>
    <col min="7685" max="7685" width="13.44140625" style="1359" customWidth="1"/>
    <col min="7686" max="7686" width="9" style="1359"/>
    <col min="7687" max="7687" width="9.33203125" style="1359" bestFit="1" customWidth="1"/>
    <col min="7688" max="7689" width="9" style="1359"/>
    <col min="7690" max="7690" width="9.33203125" style="1359" bestFit="1" customWidth="1"/>
    <col min="7691" max="7691" width="4" style="1359" customWidth="1"/>
    <col min="7692" max="7692" width="5.109375" style="1359" customWidth="1"/>
    <col min="7693" max="7693" width="13.77734375" style="1359" customWidth="1"/>
    <col min="7694" max="7936" width="9" style="1359"/>
    <col min="7937" max="7937" width="4.88671875" style="1359" customWidth="1"/>
    <col min="7938" max="7938" width="13.21875" style="1359" customWidth="1"/>
    <col min="7939" max="7939" width="15.6640625" style="1359" customWidth="1"/>
    <col min="7940" max="7940" width="9.33203125" style="1359" bestFit="1" customWidth="1"/>
    <col min="7941" max="7941" width="13.44140625" style="1359" customWidth="1"/>
    <col min="7942" max="7942" width="9" style="1359"/>
    <col min="7943" max="7943" width="9.33203125" style="1359" bestFit="1" customWidth="1"/>
    <col min="7944" max="7945" width="9" style="1359"/>
    <col min="7946" max="7946" width="9.33203125" style="1359" bestFit="1" customWidth="1"/>
    <col min="7947" max="7947" width="4" style="1359" customWidth="1"/>
    <col min="7948" max="7948" width="5.109375" style="1359" customWidth="1"/>
    <col min="7949" max="7949" width="13.77734375" style="1359" customWidth="1"/>
    <col min="7950" max="8192" width="9" style="1359"/>
    <col min="8193" max="8193" width="4.88671875" style="1359" customWidth="1"/>
    <col min="8194" max="8194" width="13.21875" style="1359" customWidth="1"/>
    <col min="8195" max="8195" width="15.6640625" style="1359" customWidth="1"/>
    <col min="8196" max="8196" width="9.33203125" style="1359" bestFit="1" customWidth="1"/>
    <col min="8197" max="8197" width="13.44140625" style="1359" customWidth="1"/>
    <col min="8198" max="8198" width="9" style="1359"/>
    <col min="8199" max="8199" width="9.33203125" style="1359" bestFit="1" customWidth="1"/>
    <col min="8200" max="8201" width="9" style="1359"/>
    <col min="8202" max="8202" width="9.33203125" style="1359" bestFit="1" customWidth="1"/>
    <col min="8203" max="8203" width="4" style="1359" customWidth="1"/>
    <col min="8204" max="8204" width="5.109375" style="1359" customWidth="1"/>
    <col min="8205" max="8205" width="13.77734375" style="1359" customWidth="1"/>
    <col min="8206" max="8448" width="9" style="1359"/>
    <col min="8449" max="8449" width="4.88671875" style="1359" customWidth="1"/>
    <col min="8450" max="8450" width="13.21875" style="1359" customWidth="1"/>
    <col min="8451" max="8451" width="15.6640625" style="1359" customWidth="1"/>
    <col min="8452" max="8452" width="9.33203125" style="1359" bestFit="1" customWidth="1"/>
    <col min="8453" max="8453" width="13.44140625" style="1359" customWidth="1"/>
    <col min="8454" max="8454" width="9" style="1359"/>
    <col min="8455" max="8455" width="9.33203125" style="1359" bestFit="1" customWidth="1"/>
    <col min="8456" max="8457" width="9" style="1359"/>
    <col min="8458" max="8458" width="9.33203125" style="1359" bestFit="1" customWidth="1"/>
    <col min="8459" max="8459" width="4" style="1359" customWidth="1"/>
    <col min="8460" max="8460" width="5.109375" style="1359" customWidth="1"/>
    <col min="8461" max="8461" width="13.77734375" style="1359" customWidth="1"/>
    <col min="8462" max="8704" width="9" style="1359"/>
    <col min="8705" max="8705" width="4.88671875" style="1359" customWidth="1"/>
    <col min="8706" max="8706" width="13.21875" style="1359" customWidth="1"/>
    <col min="8707" max="8707" width="15.6640625" style="1359" customWidth="1"/>
    <col min="8708" max="8708" width="9.33203125" style="1359" bestFit="1" customWidth="1"/>
    <col min="8709" max="8709" width="13.44140625" style="1359" customWidth="1"/>
    <col min="8710" max="8710" width="9" style="1359"/>
    <col min="8711" max="8711" width="9.33203125" style="1359" bestFit="1" customWidth="1"/>
    <col min="8712" max="8713" width="9" style="1359"/>
    <col min="8714" max="8714" width="9.33203125" style="1359" bestFit="1" customWidth="1"/>
    <col min="8715" max="8715" width="4" style="1359" customWidth="1"/>
    <col min="8716" max="8716" width="5.109375" style="1359" customWidth="1"/>
    <col min="8717" max="8717" width="13.77734375" style="1359" customWidth="1"/>
    <col min="8718" max="8960" width="9" style="1359"/>
    <col min="8961" max="8961" width="4.88671875" style="1359" customWidth="1"/>
    <col min="8962" max="8962" width="13.21875" style="1359" customWidth="1"/>
    <col min="8963" max="8963" width="15.6640625" style="1359" customWidth="1"/>
    <col min="8964" max="8964" width="9.33203125" style="1359" bestFit="1" customWidth="1"/>
    <col min="8965" max="8965" width="13.44140625" style="1359" customWidth="1"/>
    <col min="8966" max="8966" width="9" style="1359"/>
    <col min="8967" max="8967" width="9.33203125" style="1359" bestFit="1" customWidth="1"/>
    <col min="8968" max="8969" width="9" style="1359"/>
    <col min="8970" max="8970" width="9.33203125" style="1359" bestFit="1" customWidth="1"/>
    <col min="8971" max="8971" width="4" style="1359" customWidth="1"/>
    <col min="8972" max="8972" width="5.109375" style="1359" customWidth="1"/>
    <col min="8973" max="8973" width="13.77734375" style="1359" customWidth="1"/>
    <col min="8974" max="9216" width="9" style="1359"/>
    <col min="9217" max="9217" width="4.88671875" style="1359" customWidth="1"/>
    <col min="9218" max="9218" width="13.21875" style="1359" customWidth="1"/>
    <col min="9219" max="9219" width="15.6640625" style="1359" customWidth="1"/>
    <col min="9220" max="9220" width="9.33203125" style="1359" bestFit="1" customWidth="1"/>
    <col min="9221" max="9221" width="13.44140625" style="1359" customWidth="1"/>
    <col min="9222" max="9222" width="9" style="1359"/>
    <col min="9223" max="9223" width="9.33203125" style="1359" bestFit="1" customWidth="1"/>
    <col min="9224" max="9225" width="9" style="1359"/>
    <col min="9226" max="9226" width="9.33203125" style="1359" bestFit="1" customWidth="1"/>
    <col min="9227" max="9227" width="4" style="1359" customWidth="1"/>
    <col min="9228" max="9228" width="5.109375" style="1359" customWidth="1"/>
    <col min="9229" max="9229" width="13.77734375" style="1359" customWidth="1"/>
    <col min="9230" max="9472" width="9" style="1359"/>
    <col min="9473" max="9473" width="4.88671875" style="1359" customWidth="1"/>
    <col min="9474" max="9474" width="13.21875" style="1359" customWidth="1"/>
    <col min="9475" max="9475" width="15.6640625" style="1359" customWidth="1"/>
    <col min="9476" max="9476" width="9.33203125" style="1359" bestFit="1" customWidth="1"/>
    <col min="9477" max="9477" width="13.44140625" style="1359" customWidth="1"/>
    <col min="9478" max="9478" width="9" style="1359"/>
    <col min="9479" max="9479" width="9.33203125" style="1359" bestFit="1" customWidth="1"/>
    <col min="9480" max="9481" width="9" style="1359"/>
    <col min="9482" max="9482" width="9.33203125" style="1359" bestFit="1" customWidth="1"/>
    <col min="9483" max="9483" width="4" style="1359" customWidth="1"/>
    <col min="9484" max="9484" width="5.109375" style="1359" customWidth="1"/>
    <col min="9485" max="9485" width="13.77734375" style="1359" customWidth="1"/>
    <col min="9486" max="9728" width="9" style="1359"/>
    <col min="9729" max="9729" width="4.88671875" style="1359" customWidth="1"/>
    <col min="9730" max="9730" width="13.21875" style="1359" customWidth="1"/>
    <col min="9731" max="9731" width="15.6640625" style="1359" customWidth="1"/>
    <col min="9732" max="9732" width="9.33203125" style="1359" bestFit="1" customWidth="1"/>
    <col min="9733" max="9733" width="13.44140625" style="1359" customWidth="1"/>
    <col min="9734" max="9734" width="9" style="1359"/>
    <col min="9735" max="9735" width="9.33203125" style="1359" bestFit="1" customWidth="1"/>
    <col min="9736" max="9737" width="9" style="1359"/>
    <col min="9738" max="9738" width="9.33203125" style="1359" bestFit="1" customWidth="1"/>
    <col min="9739" max="9739" width="4" style="1359" customWidth="1"/>
    <col min="9740" max="9740" width="5.109375" style="1359" customWidth="1"/>
    <col min="9741" max="9741" width="13.77734375" style="1359" customWidth="1"/>
    <col min="9742" max="9984" width="9" style="1359"/>
    <col min="9985" max="9985" width="4.88671875" style="1359" customWidth="1"/>
    <col min="9986" max="9986" width="13.21875" style="1359" customWidth="1"/>
    <col min="9987" max="9987" width="15.6640625" style="1359" customWidth="1"/>
    <col min="9988" max="9988" width="9.33203125" style="1359" bestFit="1" customWidth="1"/>
    <col min="9989" max="9989" width="13.44140625" style="1359" customWidth="1"/>
    <col min="9990" max="9990" width="9" style="1359"/>
    <col min="9991" max="9991" width="9.33203125" style="1359" bestFit="1" customWidth="1"/>
    <col min="9992" max="9993" width="9" style="1359"/>
    <col min="9994" max="9994" width="9.33203125" style="1359" bestFit="1" customWidth="1"/>
    <col min="9995" max="9995" width="4" style="1359" customWidth="1"/>
    <col min="9996" max="9996" width="5.109375" style="1359" customWidth="1"/>
    <col min="9997" max="9997" width="13.77734375" style="1359" customWidth="1"/>
    <col min="9998" max="10240" width="9" style="1359"/>
    <col min="10241" max="10241" width="4.88671875" style="1359" customWidth="1"/>
    <col min="10242" max="10242" width="13.21875" style="1359" customWidth="1"/>
    <col min="10243" max="10243" width="15.6640625" style="1359" customWidth="1"/>
    <col min="10244" max="10244" width="9.33203125" style="1359" bestFit="1" customWidth="1"/>
    <col min="10245" max="10245" width="13.44140625" style="1359" customWidth="1"/>
    <col min="10246" max="10246" width="9" style="1359"/>
    <col min="10247" max="10247" width="9.33203125" style="1359" bestFit="1" customWidth="1"/>
    <col min="10248" max="10249" width="9" style="1359"/>
    <col min="10250" max="10250" width="9.33203125" style="1359" bestFit="1" customWidth="1"/>
    <col min="10251" max="10251" width="4" style="1359" customWidth="1"/>
    <col min="10252" max="10252" width="5.109375" style="1359" customWidth="1"/>
    <col min="10253" max="10253" width="13.77734375" style="1359" customWidth="1"/>
    <col min="10254" max="10496" width="9" style="1359"/>
    <col min="10497" max="10497" width="4.88671875" style="1359" customWidth="1"/>
    <col min="10498" max="10498" width="13.21875" style="1359" customWidth="1"/>
    <col min="10499" max="10499" width="15.6640625" style="1359" customWidth="1"/>
    <col min="10500" max="10500" width="9.33203125" style="1359" bestFit="1" customWidth="1"/>
    <col min="10501" max="10501" width="13.44140625" style="1359" customWidth="1"/>
    <col min="10502" max="10502" width="9" style="1359"/>
    <col min="10503" max="10503" width="9.33203125" style="1359" bestFit="1" customWidth="1"/>
    <col min="10504" max="10505" width="9" style="1359"/>
    <col min="10506" max="10506" width="9.33203125" style="1359" bestFit="1" customWidth="1"/>
    <col min="10507" max="10507" width="4" style="1359" customWidth="1"/>
    <col min="10508" max="10508" width="5.109375" style="1359" customWidth="1"/>
    <col min="10509" max="10509" width="13.77734375" style="1359" customWidth="1"/>
    <col min="10510" max="10752" width="9" style="1359"/>
    <col min="10753" max="10753" width="4.88671875" style="1359" customWidth="1"/>
    <col min="10754" max="10754" width="13.21875" style="1359" customWidth="1"/>
    <col min="10755" max="10755" width="15.6640625" style="1359" customWidth="1"/>
    <col min="10756" max="10756" width="9.33203125" style="1359" bestFit="1" customWidth="1"/>
    <col min="10757" max="10757" width="13.44140625" style="1359" customWidth="1"/>
    <col min="10758" max="10758" width="9" style="1359"/>
    <col min="10759" max="10759" width="9.33203125" style="1359" bestFit="1" customWidth="1"/>
    <col min="10760" max="10761" width="9" style="1359"/>
    <col min="10762" max="10762" width="9.33203125" style="1359" bestFit="1" customWidth="1"/>
    <col min="10763" max="10763" width="4" style="1359" customWidth="1"/>
    <col min="10764" max="10764" width="5.109375" style="1359" customWidth="1"/>
    <col min="10765" max="10765" width="13.77734375" style="1359" customWidth="1"/>
    <col min="10766" max="11008" width="9" style="1359"/>
    <col min="11009" max="11009" width="4.88671875" style="1359" customWidth="1"/>
    <col min="11010" max="11010" width="13.21875" style="1359" customWidth="1"/>
    <col min="11011" max="11011" width="15.6640625" style="1359" customWidth="1"/>
    <col min="11012" max="11012" width="9.33203125" style="1359" bestFit="1" customWidth="1"/>
    <col min="11013" max="11013" width="13.44140625" style="1359" customWidth="1"/>
    <col min="11014" max="11014" width="9" style="1359"/>
    <col min="11015" max="11015" width="9.33203125" style="1359" bestFit="1" customWidth="1"/>
    <col min="11016" max="11017" width="9" style="1359"/>
    <col min="11018" max="11018" width="9.33203125" style="1359" bestFit="1" customWidth="1"/>
    <col min="11019" max="11019" width="4" style="1359" customWidth="1"/>
    <col min="11020" max="11020" width="5.109375" style="1359" customWidth="1"/>
    <col min="11021" max="11021" width="13.77734375" style="1359" customWidth="1"/>
    <col min="11022" max="11264" width="9" style="1359"/>
    <col min="11265" max="11265" width="4.88671875" style="1359" customWidth="1"/>
    <col min="11266" max="11266" width="13.21875" style="1359" customWidth="1"/>
    <col min="11267" max="11267" width="15.6640625" style="1359" customWidth="1"/>
    <col min="11268" max="11268" width="9.33203125" style="1359" bestFit="1" customWidth="1"/>
    <col min="11269" max="11269" width="13.44140625" style="1359" customWidth="1"/>
    <col min="11270" max="11270" width="9" style="1359"/>
    <col min="11271" max="11271" width="9.33203125" style="1359" bestFit="1" customWidth="1"/>
    <col min="11272" max="11273" width="9" style="1359"/>
    <col min="11274" max="11274" width="9.33203125" style="1359" bestFit="1" customWidth="1"/>
    <col min="11275" max="11275" width="4" style="1359" customWidth="1"/>
    <col min="11276" max="11276" width="5.109375" style="1359" customWidth="1"/>
    <col min="11277" max="11277" width="13.77734375" style="1359" customWidth="1"/>
    <col min="11278" max="11520" width="9" style="1359"/>
    <col min="11521" max="11521" width="4.88671875" style="1359" customWidth="1"/>
    <col min="11522" max="11522" width="13.21875" style="1359" customWidth="1"/>
    <col min="11523" max="11523" width="15.6640625" style="1359" customWidth="1"/>
    <col min="11524" max="11524" width="9.33203125" style="1359" bestFit="1" customWidth="1"/>
    <col min="11525" max="11525" width="13.44140625" style="1359" customWidth="1"/>
    <col min="11526" max="11526" width="9" style="1359"/>
    <col min="11527" max="11527" width="9.33203125" style="1359" bestFit="1" customWidth="1"/>
    <col min="11528" max="11529" width="9" style="1359"/>
    <col min="11530" max="11530" width="9.33203125" style="1359" bestFit="1" customWidth="1"/>
    <col min="11531" max="11531" width="4" style="1359" customWidth="1"/>
    <col min="11532" max="11532" width="5.109375" style="1359" customWidth="1"/>
    <col min="11533" max="11533" width="13.77734375" style="1359" customWidth="1"/>
    <col min="11534" max="11776" width="9" style="1359"/>
    <col min="11777" max="11777" width="4.88671875" style="1359" customWidth="1"/>
    <col min="11778" max="11778" width="13.21875" style="1359" customWidth="1"/>
    <col min="11779" max="11779" width="15.6640625" style="1359" customWidth="1"/>
    <col min="11780" max="11780" width="9.33203125" style="1359" bestFit="1" customWidth="1"/>
    <col min="11781" max="11781" width="13.44140625" style="1359" customWidth="1"/>
    <col min="11782" max="11782" width="9" style="1359"/>
    <col min="11783" max="11783" width="9.33203125" style="1359" bestFit="1" customWidth="1"/>
    <col min="11784" max="11785" width="9" style="1359"/>
    <col min="11786" max="11786" width="9.33203125" style="1359" bestFit="1" customWidth="1"/>
    <col min="11787" max="11787" width="4" style="1359" customWidth="1"/>
    <col min="11788" max="11788" width="5.109375" style="1359" customWidth="1"/>
    <col min="11789" max="11789" width="13.77734375" style="1359" customWidth="1"/>
    <col min="11790" max="12032" width="9" style="1359"/>
    <col min="12033" max="12033" width="4.88671875" style="1359" customWidth="1"/>
    <col min="12034" max="12034" width="13.21875" style="1359" customWidth="1"/>
    <col min="12035" max="12035" width="15.6640625" style="1359" customWidth="1"/>
    <col min="12036" max="12036" width="9.33203125" style="1359" bestFit="1" customWidth="1"/>
    <col min="12037" max="12037" width="13.44140625" style="1359" customWidth="1"/>
    <col min="12038" max="12038" width="9" style="1359"/>
    <col min="12039" max="12039" width="9.33203125" style="1359" bestFit="1" customWidth="1"/>
    <col min="12040" max="12041" width="9" style="1359"/>
    <col min="12042" max="12042" width="9.33203125" style="1359" bestFit="1" customWidth="1"/>
    <col min="12043" max="12043" width="4" style="1359" customWidth="1"/>
    <col min="12044" max="12044" width="5.109375" style="1359" customWidth="1"/>
    <col min="12045" max="12045" width="13.77734375" style="1359" customWidth="1"/>
    <col min="12046" max="12288" width="9" style="1359"/>
    <col min="12289" max="12289" width="4.88671875" style="1359" customWidth="1"/>
    <col min="12290" max="12290" width="13.21875" style="1359" customWidth="1"/>
    <col min="12291" max="12291" width="15.6640625" style="1359" customWidth="1"/>
    <col min="12292" max="12292" width="9.33203125" style="1359" bestFit="1" customWidth="1"/>
    <col min="12293" max="12293" width="13.44140625" style="1359" customWidth="1"/>
    <col min="12294" max="12294" width="9" style="1359"/>
    <col min="12295" max="12295" width="9.33203125" style="1359" bestFit="1" customWidth="1"/>
    <col min="12296" max="12297" width="9" style="1359"/>
    <col min="12298" max="12298" width="9.33203125" style="1359" bestFit="1" customWidth="1"/>
    <col min="12299" max="12299" width="4" style="1359" customWidth="1"/>
    <col min="12300" max="12300" width="5.109375" style="1359" customWidth="1"/>
    <col min="12301" max="12301" width="13.77734375" style="1359" customWidth="1"/>
    <col min="12302" max="12544" width="9" style="1359"/>
    <col min="12545" max="12545" width="4.88671875" style="1359" customWidth="1"/>
    <col min="12546" max="12546" width="13.21875" style="1359" customWidth="1"/>
    <col min="12547" max="12547" width="15.6640625" style="1359" customWidth="1"/>
    <col min="12548" max="12548" width="9.33203125" style="1359" bestFit="1" customWidth="1"/>
    <col min="12549" max="12549" width="13.44140625" style="1359" customWidth="1"/>
    <col min="12550" max="12550" width="9" style="1359"/>
    <col min="12551" max="12551" width="9.33203125" style="1359" bestFit="1" customWidth="1"/>
    <col min="12552" max="12553" width="9" style="1359"/>
    <col min="12554" max="12554" width="9.33203125" style="1359" bestFit="1" customWidth="1"/>
    <col min="12555" max="12555" width="4" style="1359" customWidth="1"/>
    <col min="12556" max="12556" width="5.109375" style="1359" customWidth="1"/>
    <col min="12557" max="12557" width="13.77734375" style="1359" customWidth="1"/>
    <col min="12558" max="12800" width="9" style="1359"/>
    <col min="12801" max="12801" width="4.88671875" style="1359" customWidth="1"/>
    <col min="12802" max="12802" width="13.21875" style="1359" customWidth="1"/>
    <col min="12803" max="12803" width="15.6640625" style="1359" customWidth="1"/>
    <col min="12804" max="12804" width="9.33203125" style="1359" bestFit="1" customWidth="1"/>
    <col min="12805" max="12805" width="13.44140625" style="1359" customWidth="1"/>
    <col min="12806" max="12806" width="9" style="1359"/>
    <col min="12807" max="12807" width="9.33203125" style="1359" bestFit="1" customWidth="1"/>
    <col min="12808" max="12809" width="9" style="1359"/>
    <col min="12810" max="12810" width="9.33203125" style="1359" bestFit="1" customWidth="1"/>
    <col min="12811" max="12811" width="4" style="1359" customWidth="1"/>
    <col min="12812" max="12812" width="5.109375" style="1359" customWidth="1"/>
    <col min="12813" max="12813" width="13.77734375" style="1359" customWidth="1"/>
    <col min="12814" max="13056" width="9" style="1359"/>
    <col min="13057" max="13057" width="4.88671875" style="1359" customWidth="1"/>
    <col min="13058" max="13058" width="13.21875" style="1359" customWidth="1"/>
    <col min="13059" max="13059" width="15.6640625" style="1359" customWidth="1"/>
    <col min="13060" max="13060" width="9.33203125" style="1359" bestFit="1" customWidth="1"/>
    <col min="13061" max="13061" width="13.44140625" style="1359" customWidth="1"/>
    <col min="13062" max="13062" width="9" style="1359"/>
    <col min="13063" max="13063" width="9.33203125" style="1359" bestFit="1" customWidth="1"/>
    <col min="13064" max="13065" width="9" style="1359"/>
    <col min="13066" max="13066" width="9.33203125" style="1359" bestFit="1" customWidth="1"/>
    <col min="13067" max="13067" width="4" style="1359" customWidth="1"/>
    <col min="13068" max="13068" width="5.109375" style="1359" customWidth="1"/>
    <col min="13069" max="13069" width="13.77734375" style="1359" customWidth="1"/>
    <col min="13070" max="13312" width="9" style="1359"/>
    <col min="13313" max="13313" width="4.88671875" style="1359" customWidth="1"/>
    <col min="13314" max="13314" width="13.21875" style="1359" customWidth="1"/>
    <col min="13315" max="13315" width="15.6640625" style="1359" customWidth="1"/>
    <col min="13316" max="13316" width="9.33203125" style="1359" bestFit="1" customWidth="1"/>
    <col min="13317" max="13317" width="13.44140625" style="1359" customWidth="1"/>
    <col min="13318" max="13318" width="9" style="1359"/>
    <col min="13319" max="13319" width="9.33203125" style="1359" bestFit="1" customWidth="1"/>
    <col min="13320" max="13321" width="9" style="1359"/>
    <col min="13322" max="13322" width="9.33203125" style="1359" bestFit="1" customWidth="1"/>
    <col min="13323" max="13323" width="4" style="1359" customWidth="1"/>
    <col min="13324" max="13324" width="5.109375" style="1359" customWidth="1"/>
    <col min="13325" max="13325" width="13.77734375" style="1359" customWidth="1"/>
    <col min="13326" max="13568" width="9" style="1359"/>
    <col min="13569" max="13569" width="4.88671875" style="1359" customWidth="1"/>
    <col min="13570" max="13570" width="13.21875" style="1359" customWidth="1"/>
    <col min="13571" max="13571" width="15.6640625" style="1359" customWidth="1"/>
    <col min="13572" max="13572" width="9.33203125" style="1359" bestFit="1" customWidth="1"/>
    <col min="13573" max="13573" width="13.44140625" style="1359" customWidth="1"/>
    <col min="13574" max="13574" width="9" style="1359"/>
    <col min="13575" max="13575" width="9.33203125" style="1359" bestFit="1" customWidth="1"/>
    <col min="13576" max="13577" width="9" style="1359"/>
    <col min="13578" max="13578" width="9.33203125" style="1359" bestFit="1" customWidth="1"/>
    <col min="13579" max="13579" width="4" style="1359" customWidth="1"/>
    <col min="13580" max="13580" width="5.109375" style="1359" customWidth="1"/>
    <col min="13581" max="13581" width="13.77734375" style="1359" customWidth="1"/>
    <col min="13582" max="13824" width="9" style="1359"/>
    <col min="13825" max="13825" width="4.88671875" style="1359" customWidth="1"/>
    <col min="13826" max="13826" width="13.21875" style="1359" customWidth="1"/>
    <col min="13827" max="13827" width="15.6640625" style="1359" customWidth="1"/>
    <col min="13828" max="13828" width="9.33203125" style="1359" bestFit="1" customWidth="1"/>
    <col min="13829" max="13829" width="13.44140625" style="1359" customWidth="1"/>
    <col min="13830" max="13830" width="9" style="1359"/>
    <col min="13831" max="13831" width="9.33203125" style="1359" bestFit="1" customWidth="1"/>
    <col min="13832" max="13833" width="9" style="1359"/>
    <col min="13834" max="13834" width="9.33203125" style="1359" bestFit="1" customWidth="1"/>
    <col min="13835" max="13835" width="4" style="1359" customWidth="1"/>
    <col min="13836" max="13836" width="5.109375" style="1359" customWidth="1"/>
    <col min="13837" max="13837" width="13.77734375" style="1359" customWidth="1"/>
    <col min="13838" max="14080" width="9" style="1359"/>
    <col min="14081" max="14081" width="4.88671875" style="1359" customWidth="1"/>
    <col min="14082" max="14082" width="13.21875" style="1359" customWidth="1"/>
    <col min="14083" max="14083" width="15.6640625" style="1359" customWidth="1"/>
    <col min="14084" max="14084" width="9.33203125" style="1359" bestFit="1" customWidth="1"/>
    <col min="14085" max="14085" width="13.44140625" style="1359" customWidth="1"/>
    <col min="14086" max="14086" width="9" style="1359"/>
    <col min="14087" max="14087" width="9.33203125" style="1359" bestFit="1" customWidth="1"/>
    <col min="14088" max="14089" width="9" style="1359"/>
    <col min="14090" max="14090" width="9.33203125" style="1359" bestFit="1" customWidth="1"/>
    <col min="14091" max="14091" width="4" style="1359" customWidth="1"/>
    <col min="14092" max="14092" width="5.109375" style="1359" customWidth="1"/>
    <col min="14093" max="14093" width="13.77734375" style="1359" customWidth="1"/>
    <col min="14094" max="14336" width="9" style="1359"/>
    <col min="14337" max="14337" width="4.88671875" style="1359" customWidth="1"/>
    <col min="14338" max="14338" width="13.21875" style="1359" customWidth="1"/>
    <col min="14339" max="14339" width="15.6640625" style="1359" customWidth="1"/>
    <col min="14340" max="14340" width="9.33203125" style="1359" bestFit="1" customWidth="1"/>
    <col min="14341" max="14341" width="13.44140625" style="1359" customWidth="1"/>
    <col min="14342" max="14342" width="9" style="1359"/>
    <col min="14343" max="14343" width="9.33203125" style="1359" bestFit="1" customWidth="1"/>
    <col min="14344" max="14345" width="9" style="1359"/>
    <col min="14346" max="14346" width="9.33203125" style="1359" bestFit="1" customWidth="1"/>
    <col min="14347" max="14347" width="4" style="1359" customWidth="1"/>
    <col min="14348" max="14348" width="5.109375" style="1359" customWidth="1"/>
    <col min="14349" max="14349" width="13.77734375" style="1359" customWidth="1"/>
    <col min="14350" max="14592" width="9" style="1359"/>
    <col min="14593" max="14593" width="4.88671875" style="1359" customWidth="1"/>
    <col min="14594" max="14594" width="13.21875" style="1359" customWidth="1"/>
    <col min="14595" max="14595" width="15.6640625" style="1359" customWidth="1"/>
    <col min="14596" max="14596" width="9.33203125" style="1359" bestFit="1" customWidth="1"/>
    <col min="14597" max="14597" width="13.44140625" style="1359" customWidth="1"/>
    <col min="14598" max="14598" width="9" style="1359"/>
    <col min="14599" max="14599" width="9.33203125" style="1359" bestFit="1" customWidth="1"/>
    <col min="14600" max="14601" width="9" style="1359"/>
    <col min="14602" max="14602" width="9.33203125" style="1359" bestFit="1" customWidth="1"/>
    <col min="14603" max="14603" width="4" style="1359" customWidth="1"/>
    <col min="14604" max="14604" width="5.109375" style="1359" customWidth="1"/>
    <col min="14605" max="14605" width="13.77734375" style="1359" customWidth="1"/>
    <col min="14606" max="14848" width="9" style="1359"/>
    <col min="14849" max="14849" width="4.88671875" style="1359" customWidth="1"/>
    <col min="14850" max="14850" width="13.21875" style="1359" customWidth="1"/>
    <col min="14851" max="14851" width="15.6640625" style="1359" customWidth="1"/>
    <col min="14852" max="14852" width="9.33203125" style="1359" bestFit="1" customWidth="1"/>
    <col min="14853" max="14853" width="13.44140625" style="1359" customWidth="1"/>
    <col min="14854" max="14854" width="9" style="1359"/>
    <col min="14855" max="14855" width="9.33203125" style="1359" bestFit="1" customWidth="1"/>
    <col min="14856" max="14857" width="9" style="1359"/>
    <col min="14858" max="14858" width="9.33203125" style="1359" bestFit="1" customWidth="1"/>
    <col min="14859" max="14859" width="4" style="1359" customWidth="1"/>
    <col min="14860" max="14860" width="5.109375" style="1359" customWidth="1"/>
    <col min="14861" max="14861" width="13.77734375" style="1359" customWidth="1"/>
    <col min="14862" max="15104" width="9" style="1359"/>
    <col min="15105" max="15105" width="4.88671875" style="1359" customWidth="1"/>
    <col min="15106" max="15106" width="13.21875" style="1359" customWidth="1"/>
    <col min="15107" max="15107" width="15.6640625" style="1359" customWidth="1"/>
    <col min="15108" max="15108" width="9.33203125" style="1359" bestFit="1" customWidth="1"/>
    <col min="15109" max="15109" width="13.44140625" style="1359" customWidth="1"/>
    <col min="15110" max="15110" width="9" style="1359"/>
    <col min="15111" max="15111" width="9.33203125" style="1359" bestFit="1" customWidth="1"/>
    <col min="15112" max="15113" width="9" style="1359"/>
    <col min="15114" max="15114" width="9.33203125" style="1359" bestFit="1" customWidth="1"/>
    <col min="15115" max="15115" width="4" style="1359" customWidth="1"/>
    <col min="15116" max="15116" width="5.109375" style="1359" customWidth="1"/>
    <col min="15117" max="15117" width="13.77734375" style="1359" customWidth="1"/>
    <col min="15118" max="15360" width="9" style="1359"/>
    <col min="15361" max="15361" width="4.88671875" style="1359" customWidth="1"/>
    <col min="15362" max="15362" width="13.21875" style="1359" customWidth="1"/>
    <col min="15363" max="15363" width="15.6640625" style="1359" customWidth="1"/>
    <col min="15364" max="15364" width="9.33203125" style="1359" bestFit="1" customWidth="1"/>
    <col min="15365" max="15365" width="13.44140625" style="1359" customWidth="1"/>
    <col min="15366" max="15366" width="9" style="1359"/>
    <col min="15367" max="15367" width="9.33203125" style="1359" bestFit="1" customWidth="1"/>
    <col min="15368" max="15369" width="9" style="1359"/>
    <col min="15370" max="15370" width="9.33203125" style="1359" bestFit="1" customWidth="1"/>
    <col min="15371" max="15371" width="4" style="1359" customWidth="1"/>
    <col min="15372" max="15372" width="5.109375" style="1359" customWidth="1"/>
    <col min="15373" max="15373" width="13.77734375" style="1359" customWidth="1"/>
    <col min="15374" max="15616" width="9" style="1359"/>
    <col min="15617" max="15617" width="4.88671875" style="1359" customWidth="1"/>
    <col min="15618" max="15618" width="13.21875" style="1359" customWidth="1"/>
    <col min="15619" max="15619" width="15.6640625" style="1359" customWidth="1"/>
    <col min="15620" max="15620" width="9.33203125" style="1359" bestFit="1" customWidth="1"/>
    <col min="15621" max="15621" width="13.44140625" style="1359" customWidth="1"/>
    <col min="15622" max="15622" width="9" style="1359"/>
    <col min="15623" max="15623" width="9.33203125" style="1359" bestFit="1" customWidth="1"/>
    <col min="15624" max="15625" width="9" style="1359"/>
    <col min="15626" max="15626" width="9.33203125" style="1359" bestFit="1" customWidth="1"/>
    <col min="15627" max="15627" width="4" style="1359" customWidth="1"/>
    <col min="15628" max="15628" width="5.109375" style="1359" customWidth="1"/>
    <col min="15629" max="15629" width="13.77734375" style="1359" customWidth="1"/>
    <col min="15630" max="15872" width="9" style="1359"/>
    <col min="15873" max="15873" width="4.88671875" style="1359" customWidth="1"/>
    <col min="15874" max="15874" width="13.21875" style="1359" customWidth="1"/>
    <col min="15875" max="15875" width="15.6640625" style="1359" customWidth="1"/>
    <col min="15876" max="15876" width="9.33203125" style="1359" bestFit="1" customWidth="1"/>
    <col min="15877" max="15877" width="13.44140625" style="1359" customWidth="1"/>
    <col min="15878" max="15878" width="9" style="1359"/>
    <col min="15879" max="15879" width="9.33203125" style="1359" bestFit="1" customWidth="1"/>
    <col min="15880" max="15881" width="9" style="1359"/>
    <col min="15882" max="15882" width="9.33203125" style="1359" bestFit="1" customWidth="1"/>
    <col min="15883" max="15883" width="4" style="1359" customWidth="1"/>
    <col min="15884" max="15884" width="5.109375" style="1359" customWidth="1"/>
    <col min="15885" max="15885" width="13.77734375" style="1359" customWidth="1"/>
    <col min="15886" max="16128" width="9" style="1359"/>
    <col min="16129" max="16129" width="4.88671875" style="1359" customWidth="1"/>
    <col min="16130" max="16130" width="13.21875" style="1359" customWidth="1"/>
    <col min="16131" max="16131" width="15.6640625" style="1359" customWidth="1"/>
    <col min="16132" max="16132" width="9.33203125" style="1359" bestFit="1" customWidth="1"/>
    <col min="16133" max="16133" width="13.44140625" style="1359" customWidth="1"/>
    <col min="16134" max="16134" width="9" style="1359"/>
    <col min="16135" max="16135" width="9.33203125" style="1359" bestFit="1" customWidth="1"/>
    <col min="16136" max="16137" width="9" style="1359"/>
    <col min="16138" max="16138" width="9.33203125" style="1359" bestFit="1" customWidth="1"/>
    <col min="16139" max="16139" width="4" style="1359" customWidth="1"/>
    <col min="16140" max="16140" width="5.109375" style="1359" customWidth="1"/>
    <col min="16141" max="16141" width="13.77734375" style="1359" customWidth="1"/>
    <col min="16142" max="16384" width="9" style="1359"/>
  </cols>
  <sheetData>
    <row r="1" spans="1:257" s="1421" customFormat="1" ht="15" thickBot="1">
      <c r="A1" s="1415"/>
      <c r="B1" s="1422" t="s">
        <v>1027</v>
      </c>
      <c r="C1" s="1416">
        <f>项目基本情况!D3</f>
        <v>44769</v>
      </c>
      <c r="D1" s="1422" t="s">
        <v>1028</v>
      </c>
      <c r="E1" s="1417">
        <f>'数据-取费表'!B22</f>
        <v>3</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6"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399999999999999">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2">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31.2">
      <c r="A13" s="1404"/>
      <c r="B13" s="1405" t="s">
        <v>1057</v>
      </c>
      <c r="C13" s="3000">
        <v>44701</v>
      </c>
      <c r="D13" s="3001">
        <v>3.7</v>
      </c>
      <c r="E13" s="3001">
        <f>D13</f>
        <v>3.7</v>
      </c>
      <c r="F13" s="3001">
        <f>D13</f>
        <v>3.7</v>
      </c>
      <c r="G13" s="3001">
        <f>D13</f>
        <v>3.7</v>
      </c>
      <c r="H13" s="3001">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6">
      <c r="A14" s="1404"/>
      <c r="B14" s="2995"/>
      <c r="C14" s="2997">
        <v>44581</v>
      </c>
      <c r="D14" s="2996">
        <v>3.7</v>
      </c>
      <c r="E14" s="2996">
        <f>D14</f>
        <v>3.7</v>
      </c>
      <c r="F14" s="2996">
        <f>D14</f>
        <v>3.7</v>
      </c>
      <c r="G14" s="2996">
        <f>D14</f>
        <v>3.7</v>
      </c>
      <c r="H14" s="2996">
        <v>4.5999999999999996</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6">
      <c r="A15" s="1404"/>
      <c r="B15" s="2996"/>
      <c r="C15" s="2997">
        <v>44550</v>
      </c>
      <c r="D15" s="2996">
        <v>3.8</v>
      </c>
      <c r="E15" s="2996">
        <f>D15</f>
        <v>3.8</v>
      </c>
      <c r="F15" s="2996">
        <f>D15</f>
        <v>3.8</v>
      </c>
      <c r="G15" s="2996">
        <f>D15</f>
        <v>3.8</v>
      </c>
      <c r="H15" s="2996">
        <v>4.6500000000000004</v>
      </c>
      <c r="I15" s="2996"/>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5.6">
      <c r="A16" s="1404"/>
      <c r="B16" s="2996"/>
      <c r="C16" s="2997">
        <v>43941</v>
      </c>
      <c r="D16" s="2996">
        <v>3.85</v>
      </c>
      <c r="E16" s="2996">
        <v>3.85</v>
      </c>
      <c r="F16" s="2996">
        <v>3.85</v>
      </c>
      <c r="G16" s="2996">
        <v>3.85</v>
      </c>
      <c r="H16" s="2996">
        <v>4.6500000000000004</v>
      </c>
      <c r="I16" s="2996"/>
      <c r="J16" s="2996"/>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6">
      <c r="A17" s="1404"/>
      <c r="B17" s="2996"/>
      <c r="C17" s="2997">
        <v>43881</v>
      </c>
      <c r="D17" s="2996">
        <v>4.05</v>
      </c>
      <c r="E17" s="2996">
        <v>4.05</v>
      </c>
      <c r="F17" s="2996">
        <v>4.05</v>
      </c>
      <c r="G17" s="2996">
        <v>4.05</v>
      </c>
      <c r="H17" s="2996">
        <v>4.75</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8">
      <c r="A18" s="1404"/>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5.6">
      <c r="A19" s="1404"/>
      <c r="B19" s="2996"/>
      <c r="C19" s="2997">
        <v>43728</v>
      </c>
      <c r="D19" s="2996">
        <v>4.2</v>
      </c>
      <c r="E19" s="2996">
        <v>4.2</v>
      </c>
      <c r="F19" s="2996">
        <v>4.2</v>
      </c>
      <c r="G19" s="2996">
        <v>4.2</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6">
      <c r="A20" s="1404"/>
      <c r="B20" s="2995" t="s">
        <v>2812</v>
      </c>
      <c r="C20" s="2998">
        <v>43697</v>
      </c>
      <c r="D20" s="2999">
        <v>4.25</v>
      </c>
      <c r="E20" s="2999">
        <v>4.25</v>
      </c>
      <c r="F20" s="2999">
        <v>4.25</v>
      </c>
      <c r="G20" s="2999">
        <v>4.25</v>
      </c>
      <c r="H20" s="2999">
        <v>4.8499999999999996</v>
      </c>
      <c r="I20" s="2999"/>
      <c r="J20" s="2999"/>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5.6">
      <c r="A21" s="3002"/>
      <c r="B21" s="3003"/>
      <c r="C21" s="3004">
        <v>42301</v>
      </c>
      <c r="D21" s="3005">
        <v>4.3499999999999996</v>
      </c>
      <c r="E21" s="3005">
        <v>4.3499999999999996</v>
      </c>
      <c r="F21" s="3005">
        <v>4.75</v>
      </c>
      <c r="G21" s="3005">
        <v>4.75</v>
      </c>
      <c r="H21" s="3005">
        <v>4.9000000000000004</v>
      </c>
      <c r="I21" s="3005"/>
      <c r="J21" s="3005"/>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8" t="s">
        <v>1097</v>
      </c>
      <c r="E1" s="1462" t="s">
        <v>1101</v>
      </c>
      <c r="F1" s="1463" t="s">
        <v>1105</v>
      </c>
    </row>
    <row r="2" spans="1:13" ht="19.8">
      <c r="A2" s="1469" t="s">
        <v>1098</v>
      </c>
    </row>
    <row r="3" spans="1:13" ht="15.6">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E1" workbookViewId="0">
      <selection activeCell="AD10" sqref="AD10"/>
    </sheetView>
  </sheetViews>
  <sheetFormatPr defaultColWidth="9" defaultRowHeight="12"/>
  <cols>
    <col min="1" max="1" width="20" style="3243" customWidth="1"/>
    <col min="2" max="2" width="13.77734375" style="3243" hidden="1" customWidth="1"/>
    <col min="3" max="4" width="20" style="3243" hidden="1" customWidth="1"/>
    <col min="5" max="5" width="20" style="3243" customWidth="1"/>
    <col min="6" max="6" width="20" style="3243" hidden="1" customWidth="1"/>
    <col min="7" max="7" width="13.33203125" style="3243" customWidth="1"/>
    <col min="8" max="8" width="12.33203125" style="3243" customWidth="1"/>
    <col min="9" max="9" width="6.77734375" style="3243" customWidth="1"/>
    <col min="10" max="10" width="20" style="3243" customWidth="1"/>
    <col min="11" max="11" width="13.33203125" style="3243" customWidth="1"/>
    <col min="12" max="13" width="20" style="3243" hidden="1" customWidth="1"/>
    <col min="14" max="14" width="20" style="3243" customWidth="1"/>
    <col min="15" max="15" width="12.109375" style="3243" customWidth="1"/>
    <col min="16" max="16" width="12.109375" style="3243" hidden="1" customWidth="1"/>
    <col min="17" max="17" width="12.109375" style="3243" customWidth="1"/>
    <col min="18" max="18" width="12.109375" style="3243" hidden="1" customWidth="1"/>
    <col min="19" max="19" width="14.44140625" style="3243" customWidth="1"/>
    <col min="20" max="21" width="20" style="3243" hidden="1" customWidth="1"/>
    <col min="22" max="22" width="10.109375" style="3243" customWidth="1"/>
    <col min="23" max="23" width="12.21875" style="3243" customWidth="1"/>
    <col min="24" max="28" width="20" style="3243" hidden="1" customWidth="1"/>
    <col min="29" max="29" width="20" style="3243" customWidth="1"/>
    <col min="30" max="16384" width="9" style="3243"/>
  </cols>
  <sheetData>
    <row r="1" spans="1:30" ht="14.4">
      <c r="A1" s="3243" t="s">
        <v>3260</v>
      </c>
      <c r="B1" s="3243" t="s">
        <v>3261</v>
      </c>
      <c r="C1" s="3243" t="s">
        <v>3262</v>
      </c>
      <c r="D1" s="3243" t="s">
        <v>3263</v>
      </c>
      <c r="E1" s="3243" t="s">
        <v>3264</v>
      </c>
      <c r="F1" s="3243" t="s">
        <v>3265</v>
      </c>
      <c r="G1" s="3243" t="s">
        <v>3266</v>
      </c>
      <c r="H1" s="3243" t="s">
        <v>3267</v>
      </c>
      <c r="I1" s="3243" t="s">
        <v>3268</v>
      </c>
      <c r="J1" s="3243" t="s">
        <v>3269</v>
      </c>
      <c r="K1" s="3243" t="s">
        <v>3270</v>
      </c>
      <c r="L1" s="3243" t="s">
        <v>3271</v>
      </c>
      <c r="M1" s="3243" t="s">
        <v>3272</v>
      </c>
      <c r="N1" s="3243" t="s">
        <v>3273</v>
      </c>
      <c r="O1" s="3243" t="s">
        <v>3274</v>
      </c>
      <c r="P1" s="3243" t="s">
        <v>3275</v>
      </c>
      <c r="Q1" s="3243" t="s">
        <v>3276</v>
      </c>
      <c r="R1" s="3243" t="s">
        <v>3277</v>
      </c>
      <c r="S1" s="3243" t="s">
        <v>3278</v>
      </c>
      <c r="T1" s="3243" t="s">
        <v>3279</v>
      </c>
      <c r="U1" s="3243" t="s">
        <v>3280</v>
      </c>
      <c r="V1" s="3243" t="s">
        <v>3281</v>
      </c>
      <c r="W1" s="3243" t="s">
        <v>3282</v>
      </c>
      <c r="X1" s="3243" t="s">
        <v>3283</v>
      </c>
      <c r="Y1" s="3243" t="s">
        <v>3284</v>
      </c>
      <c r="Z1" s="3243" t="s">
        <v>3285</v>
      </c>
      <c r="AA1" s="3243" t="s">
        <v>3286</v>
      </c>
      <c r="AB1" s="3243" t="s">
        <v>3287</v>
      </c>
      <c r="AC1" s="3247" t="s">
        <v>3476</v>
      </c>
      <c r="AD1" s="3243" t="s">
        <v>3477</v>
      </c>
    </row>
    <row r="2" spans="1:30" s="3250" customFormat="1" ht="14.4">
      <c r="A2" s="3250" t="s">
        <v>3288</v>
      </c>
      <c r="B2" s="3250" t="s">
        <v>3289</v>
      </c>
      <c r="C2" s="3250" t="s">
        <v>3290</v>
      </c>
      <c r="D2" s="3250" t="s">
        <v>3291</v>
      </c>
      <c r="E2" s="3250" t="s">
        <v>3292</v>
      </c>
      <c r="F2" s="3250" t="s">
        <v>3293</v>
      </c>
      <c r="G2" s="3250">
        <v>60631.73</v>
      </c>
      <c r="H2" s="3250">
        <v>60631</v>
      </c>
      <c r="I2" s="3250" t="s">
        <v>3294</v>
      </c>
      <c r="J2" s="3250" t="s">
        <v>3295</v>
      </c>
      <c r="K2" s="3251">
        <v>44433.000497685185</v>
      </c>
      <c r="L2" s="3250" t="s">
        <v>3289</v>
      </c>
      <c r="M2" s="3250" t="s">
        <v>3298</v>
      </c>
      <c r="N2" s="3250" t="s">
        <v>3299</v>
      </c>
      <c r="O2" s="3250">
        <v>9621.02</v>
      </c>
      <c r="P2" s="3250">
        <v>105.79</v>
      </c>
      <c r="Q2" s="3250">
        <v>105.79</v>
      </c>
      <c r="R2" s="3250">
        <v>1587</v>
      </c>
      <c r="S2" s="3250">
        <v>1587</v>
      </c>
      <c r="T2" s="3250" t="s">
        <v>3297</v>
      </c>
      <c r="U2" s="3250" t="s">
        <v>3297</v>
      </c>
      <c r="V2" s="3250">
        <v>0</v>
      </c>
      <c r="W2" s="3250" t="s">
        <v>3300</v>
      </c>
      <c r="X2" s="3250" t="s">
        <v>3296</v>
      </c>
      <c r="Y2" s="3250" t="s">
        <v>3296</v>
      </c>
      <c r="Z2" s="3250" t="s">
        <v>3297</v>
      </c>
      <c r="AA2" s="3250" t="s">
        <v>3297</v>
      </c>
      <c r="AB2" s="3250" t="s">
        <v>3297</v>
      </c>
      <c r="AC2" s="3277">
        <v>1.5192000000000001</v>
      </c>
      <c r="AD2" s="3250">
        <f>ROUND(S2*$AC$2,0)</f>
        <v>2411</v>
      </c>
    </row>
    <row r="3" spans="1:30" s="3245" customFormat="1">
      <c r="A3" s="3245" t="s">
        <v>3301</v>
      </c>
      <c r="B3" s="3245" t="s">
        <v>3302</v>
      </c>
      <c r="C3" s="3245" t="s">
        <v>3290</v>
      </c>
      <c r="D3" s="3245" t="s">
        <v>3297</v>
      </c>
      <c r="E3" s="3245" t="s">
        <v>3303</v>
      </c>
      <c r="F3" s="3245" t="s">
        <v>3293</v>
      </c>
      <c r="G3" s="3245">
        <v>63922.57</v>
      </c>
      <c r="H3" s="3245">
        <v>102276</v>
      </c>
      <c r="I3" s="3245" t="s">
        <v>3304</v>
      </c>
      <c r="J3" s="3245" t="s">
        <v>3305</v>
      </c>
      <c r="K3" s="3246">
        <v>44189.000497685185</v>
      </c>
      <c r="L3" s="3245" t="s">
        <v>3302</v>
      </c>
      <c r="M3" s="3245" t="s">
        <v>3298</v>
      </c>
      <c r="N3" s="3245" t="s">
        <v>3306</v>
      </c>
      <c r="O3" s="3245">
        <v>13766.35</v>
      </c>
      <c r="P3" s="3245">
        <v>143.57</v>
      </c>
      <c r="Q3" s="3245">
        <v>143.57</v>
      </c>
      <c r="R3" s="3245">
        <v>1346</v>
      </c>
      <c r="S3" s="3245">
        <v>1346</v>
      </c>
      <c r="T3" s="3245" t="s">
        <v>3297</v>
      </c>
      <c r="U3" s="3245" t="s">
        <v>3297</v>
      </c>
      <c r="V3" s="3245">
        <v>0</v>
      </c>
      <c r="W3" s="3245" t="s">
        <v>3300</v>
      </c>
      <c r="X3" s="3245" t="s">
        <v>3296</v>
      </c>
      <c r="Y3" s="3245" t="s">
        <v>3296</v>
      </c>
      <c r="Z3" s="3245" t="s">
        <v>3297</v>
      </c>
      <c r="AA3" s="3245" t="s">
        <v>3297</v>
      </c>
      <c r="AB3" s="3245" t="s">
        <v>3297</v>
      </c>
      <c r="AD3" s="3245">
        <f>ROUND(S3*$AC$2,0)</f>
        <v>2045</v>
      </c>
    </row>
    <row r="4" spans="1:30" s="3250" customFormat="1">
      <c r="A4" s="3250" t="s">
        <v>3307</v>
      </c>
      <c r="B4" s="3250" t="s">
        <v>3308</v>
      </c>
      <c r="C4" s="3250" t="s">
        <v>3290</v>
      </c>
      <c r="D4" s="3250" t="s">
        <v>3297</v>
      </c>
      <c r="E4" s="3250" t="s">
        <v>3309</v>
      </c>
      <c r="F4" s="3250" t="s">
        <v>3293</v>
      </c>
      <c r="G4" s="3250">
        <v>47600.14</v>
      </c>
      <c r="H4" s="3250">
        <v>57120.17</v>
      </c>
      <c r="I4" s="3250" t="s">
        <v>3310</v>
      </c>
      <c r="J4" s="3250" t="s">
        <v>3295</v>
      </c>
      <c r="K4" s="3251">
        <v>44172.000497685185</v>
      </c>
      <c r="L4" s="3250" t="s">
        <v>3308</v>
      </c>
      <c r="M4" s="3250" t="s">
        <v>3298</v>
      </c>
      <c r="N4" s="3250" t="s">
        <v>3311</v>
      </c>
      <c r="O4" s="3250">
        <v>11020.35</v>
      </c>
      <c r="P4" s="3250">
        <v>154.35</v>
      </c>
      <c r="Q4" s="3250">
        <v>154.35</v>
      </c>
      <c r="R4" s="3250">
        <v>1929</v>
      </c>
      <c r="S4" s="3250">
        <v>1929</v>
      </c>
      <c r="T4" s="3250" t="s">
        <v>3297</v>
      </c>
      <c r="U4" s="3250" t="s">
        <v>3297</v>
      </c>
      <c r="V4" s="3250">
        <v>0</v>
      </c>
      <c r="W4" s="3250" t="s">
        <v>3300</v>
      </c>
      <c r="X4" s="3250" t="s">
        <v>3296</v>
      </c>
      <c r="Y4" s="3250" t="s">
        <v>3296</v>
      </c>
      <c r="Z4" s="3250" t="s">
        <v>3297</v>
      </c>
      <c r="AA4" s="3250" t="s">
        <v>3297</v>
      </c>
      <c r="AB4" s="3250" t="s">
        <v>3297</v>
      </c>
      <c r="AD4" s="3250">
        <f t="shared" ref="AD4:AD6" si="0">ROUND(S4*$AC$2,0)</f>
        <v>2931</v>
      </c>
    </row>
    <row r="5" spans="1:30" s="3245" customFormat="1">
      <c r="A5" s="3245" t="s">
        <v>3312</v>
      </c>
      <c r="B5" s="3245" t="s">
        <v>3313</v>
      </c>
      <c r="C5" s="3245" t="s">
        <v>3290</v>
      </c>
      <c r="D5" s="3245" t="s">
        <v>3297</v>
      </c>
      <c r="E5" s="3245" t="s">
        <v>3314</v>
      </c>
      <c r="F5" s="3245" t="s">
        <v>3293</v>
      </c>
      <c r="G5" s="3245">
        <v>65233.04</v>
      </c>
      <c r="H5" s="3245">
        <v>96104</v>
      </c>
      <c r="I5" s="3245" t="s">
        <v>3304</v>
      </c>
      <c r="J5" s="3245" t="s">
        <v>3315</v>
      </c>
      <c r="K5" s="3246">
        <v>43664.000497685185</v>
      </c>
      <c r="L5" s="3245" t="s">
        <v>3313</v>
      </c>
      <c r="M5" s="3245" t="s">
        <v>3298</v>
      </c>
      <c r="N5" s="3245" t="s">
        <v>3306</v>
      </c>
      <c r="O5" s="3245">
        <v>12877.94</v>
      </c>
      <c r="P5" s="3245">
        <v>131.61000000000001</v>
      </c>
      <c r="Q5" s="3245">
        <v>131.61000000000001</v>
      </c>
      <c r="R5" s="3245">
        <v>1340</v>
      </c>
      <c r="S5" s="3245">
        <v>1340</v>
      </c>
      <c r="T5" s="3245" t="s">
        <v>3297</v>
      </c>
      <c r="U5" s="3245" t="s">
        <v>3297</v>
      </c>
      <c r="V5" s="3245">
        <v>0</v>
      </c>
      <c r="W5" s="3245" t="s">
        <v>3300</v>
      </c>
      <c r="X5" s="3245" t="s">
        <v>3296</v>
      </c>
      <c r="Y5" s="3245" t="s">
        <v>3296</v>
      </c>
      <c r="Z5" s="3245" t="s">
        <v>3297</v>
      </c>
      <c r="AA5" s="3245" t="s">
        <v>3297</v>
      </c>
      <c r="AB5" s="3245" t="s">
        <v>3297</v>
      </c>
      <c r="AD5" s="3245">
        <f t="shared" si="0"/>
        <v>2036</v>
      </c>
    </row>
    <row r="6" spans="1:30" s="3245" customFormat="1">
      <c r="A6" s="3245" t="s">
        <v>3316</v>
      </c>
      <c r="B6" s="3245" t="s">
        <v>3317</v>
      </c>
      <c r="C6" s="3245" t="s">
        <v>3290</v>
      </c>
      <c r="D6" s="3245" t="s">
        <v>3297</v>
      </c>
      <c r="E6" s="3245" t="s">
        <v>3318</v>
      </c>
      <c r="F6" s="3245" t="s">
        <v>3293</v>
      </c>
      <c r="G6" s="3245">
        <v>20000</v>
      </c>
      <c r="H6" s="3245">
        <v>24000</v>
      </c>
      <c r="I6" s="3245" t="s">
        <v>3319</v>
      </c>
      <c r="J6" s="3245" t="s">
        <v>3320</v>
      </c>
      <c r="K6" s="3246">
        <v>43476.000497685185</v>
      </c>
      <c r="L6" s="3245" t="s">
        <v>3317</v>
      </c>
      <c r="M6" s="3245" t="s">
        <v>3298</v>
      </c>
      <c r="N6" s="3245" t="s">
        <v>3321</v>
      </c>
      <c r="O6" s="3245">
        <v>3271.5</v>
      </c>
      <c r="P6" s="3245">
        <v>109.05</v>
      </c>
      <c r="Q6" s="3245">
        <v>109.05</v>
      </c>
      <c r="R6" s="3245">
        <v>1363</v>
      </c>
      <c r="S6" s="3245">
        <v>1363</v>
      </c>
      <c r="T6" s="3245" t="s">
        <v>3297</v>
      </c>
      <c r="U6" s="3245" t="s">
        <v>3297</v>
      </c>
      <c r="V6" s="3245">
        <v>0</v>
      </c>
      <c r="W6" s="3245" t="s">
        <v>3300</v>
      </c>
      <c r="X6" s="3245" t="s">
        <v>3296</v>
      </c>
      <c r="Y6" s="3245" t="s">
        <v>3296</v>
      </c>
      <c r="Z6" s="3245" t="s">
        <v>3297</v>
      </c>
      <c r="AA6" s="3245" t="s">
        <v>3297</v>
      </c>
      <c r="AB6" s="3245" t="s">
        <v>3297</v>
      </c>
      <c r="AD6" s="3245">
        <f t="shared" si="0"/>
        <v>2071</v>
      </c>
    </row>
    <row r="7" spans="1:30">
      <c r="A7" s="3243" t="s">
        <v>3322</v>
      </c>
      <c r="B7" s="3243" t="s">
        <v>3323</v>
      </c>
      <c r="C7" s="3243" t="s">
        <v>3290</v>
      </c>
      <c r="D7" s="3243" t="s">
        <v>3297</v>
      </c>
      <c r="E7" s="3243" t="s">
        <v>3318</v>
      </c>
      <c r="F7" s="3243" t="s">
        <v>3293</v>
      </c>
      <c r="G7" s="3243">
        <v>38375</v>
      </c>
      <c r="H7" s="3243">
        <v>46050</v>
      </c>
      <c r="I7" s="3243" t="s">
        <v>3319</v>
      </c>
      <c r="J7" s="3243" t="s">
        <v>3320</v>
      </c>
      <c r="K7" s="3244">
        <v>43469.000497685185</v>
      </c>
      <c r="L7" s="3243" t="s">
        <v>3323</v>
      </c>
      <c r="M7" s="3243" t="s">
        <v>3298</v>
      </c>
      <c r="N7" s="3243" t="s">
        <v>3324</v>
      </c>
      <c r="O7" s="3243">
        <v>10703.66</v>
      </c>
      <c r="P7" s="3243">
        <v>185.95</v>
      </c>
      <c r="Q7" s="3243">
        <v>185.95</v>
      </c>
      <c r="R7" s="3243">
        <v>2324</v>
      </c>
      <c r="S7" s="3243">
        <v>2324</v>
      </c>
      <c r="T7" s="3243" t="s">
        <v>3297</v>
      </c>
      <c r="U7" s="3243" t="s">
        <v>3297</v>
      </c>
      <c r="V7" s="3243">
        <v>0</v>
      </c>
      <c r="W7" s="3243" t="s">
        <v>3300</v>
      </c>
      <c r="X7" s="3243" t="s">
        <v>3296</v>
      </c>
      <c r="Y7" s="3243" t="s">
        <v>3296</v>
      </c>
      <c r="Z7" s="3243" t="s">
        <v>3297</v>
      </c>
      <c r="AA7" s="3243" t="s">
        <v>3297</v>
      </c>
      <c r="AB7" s="3243" t="s">
        <v>3297</v>
      </c>
    </row>
    <row r="8" spans="1:30">
      <c r="A8" s="3243" t="s">
        <v>3325</v>
      </c>
      <c r="B8" s="3243" t="s">
        <v>3326</v>
      </c>
      <c r="C8" s="3243" t="s">
        <v>3290</v>
      </c>
      <c r="D8" s="3243" t="s">
        <v>3297</v>
      </c>
      <c r="E8" s="3243" t="s">
        <v>3309</v>
      </c>
      <c r="F8" s="3243" t="s">
        <v>3293</v>
      </c>
      <c r="G8" s="3243">
        <v>55333.599999999999</v>
      </c>
      <c r="H8" s="3243">
        <v>66400</v>
      </c>
      <c r="I8" s="3243" t="s">
        <v>3310</v>
      </c>
      <c r="J8" s="3243" t="s">
        <v>3320</v>
      </c>
      <c r="K8" s="3244">
        <v>42817.000497685185</v>
      </c>
      <c r="L8" s="3243" t="s">
        <v>3326</v>
      </c>
      <c r="M8" s="3243" t="s">
        <v>3298</v>
      </c>
      <c r="N8" s="3243" t="s">
        <v>3327</v>
      </c>
      <c r="O8" s="3243">
        <v>9634</v>
      </c>
      <c r="P8" s="3243">
        <v>116.07</v>
      </c>
      <c r="Q8" s="3243">
        <v>116.07</v>
      </c>
      <c r="R8" s="3243">
        <v>1451</v>
      </c>
      <c r="S8" s="3243">
        <v>1451</v>
      </c>
      <c r="T8" s="3243" t="s">
        <v>3297</v>
      </c>
      <c r="U8" s="3243" t="s">
        <v>3297</v>
      </c>
      <c r="V8" s="3243">
        <v>0</v>
      </c>
      <c r="W8" s="3243" t="s">
        <v>3328</v>
      </c>
      <c r="X8" s="3243" t="s">
        <v>3296</v>
      </c>
      <c r="Y8" s="3243" t="s">
        <v>3296</v>
      </c>
      <c r="Z8" s="3243" t="s">
        <v>3297</v>
      </c>
      <c r="AA8" s="3243" t="s">
        <v>3297</v>
      </c>
      <c r="AB8" s="3243" t="s">
        <v>3297</v>
      </c>
    </row>
    <row r="9" spans="1:30">
      <c r="A9" s="3243" t="s">
        <v>3329</v>
      </c>
      <c r="B9" s="3243" t="s">
        <v>3330</v>
      </c>
      <c r="C9" s="3243" t="s">
        <v>3290</v>
      </c>
      <c r="D9" s="3243" t="s">
        <v>3297</v>
      </c>
      <c r="E9" s="3243" t="s">
        <v>3331</v>
      </c>
      <c r="F9" s="3243" t="s">
        <v>3293</v>
      </c>
      <c r="G9" s="3243">
        <v>57769</v>
      </c>
      <c r="H9" s="3243">
        <v>57769</v>
      </c>
      <c r="I9" s="3243" t="s">
        <v>3294</v>
      </c>
      <c r="J9" s="3243" t="s">
        <v>3295</v>
      </c>
      <c r="K9" s="3244">
        <v>42698.000497685185</v>
      </c>
      <c r="L9" s="3243" t="s">
        <v>3330</v>
      </c>
      <c r="M9" s="3243" t="s">
        <v>3298</v>
      </c>
      <c r="N9" s="3243" t="s">
        <v>3332</v>
      </c>
      <c r="O9" s="3243">
        <v>7505</v>
      </c>
      <c r="P9" s="3243">
        <v>86.61</v>
      </c>
      <c r="Q9" s="3243">
        <v>86.61</v>
      </c>
      <c r="R9" s="3243">
        <v>1299</v>
      </c>
      <c r="S9" s="3243">
        <v>1299</v>
      </c>
      <c r="T9" s="3243" t="s">
        <v>3297</v>
      </c>
      <c r="U9" s="3243" t="s">
        <v>3297</v>
      </c>
      <c r="V9" s="3243">
        <v>0</v>
      </c>
      <c r="W9" s="3243" t="s">
        <v>3328</v>
      </c>
      <c r="X9" s="3243" t="s">
        <v>3296</v>
      </c>
      <c r="Y9" s="3243" t="s">
        <v>3296</v>
      </c>
      <c r="Z9" s="3243" t="s">
        <v>3297</v>
      </c>
      <c r="AA9" s="3243" t="s">
        <v>3297</v>
      </c>
      <c r="AB9" s="3243" t="s">
        <v>3297</v>
      </c>
    </row>
    <row r="10" spans="1:30">
      <c r="A10" s="3243" t="s">
        <v>3333</v>
      </c>
      <c r="B10" s="3243" t="s">
        <v>3334</v>
      </c>
      <c r="C10" s="3243" t="s">
        <v>3290</v>
      </c>
      <c r="D10" s="3243" t="s">
        <v>3297</v>
      </c>
      <c r="E10" s="3243" t="s">
        <v>3335</v>
      </c>
      <c r="F10" s="3243" t="s">
        <v>3293</v>
      </c>
      <c r="G10" s="3243">
        <v>32779.72</v>
      </c>
      <c r="H10" s="3243">
        <v>39335.660000000003</v>
      </c>
      <c r="I10" s="3243" t="s">
        <v>3310</v>
      </c>
      <c r="J10" s="3243" t="s">
        <v>3295</v>
      </c>
      <c r="K10" s="3244">
        <v>42698.000497685185</v>
      </c>
      <c r="L10" s="3243" t="s">
        <v>3334</v>
      </c>
      <c r="M10" s="3243" t="s">
        <v>3298</v>
      </c>
      <c r="N10" s="3243" t="s">
        <v>3336</v>
      </c>
      <c r="O10" s="3243">
        <v>4456</v>
      </c>
      <c r="P10" s="3243">
        <v>90.63</v>
      </c>
      <c r="Q10" s="3243">
        <v>90.63</v>
      </c>
      <c r="R10" s="3243">
        <v>1133</v>
      </c>
      <c r="S10" s="3243">
        <v>1133</v>
      </c>
      <c r="T10" s="3243" t="s">
        <v>3297</v>
      </c>
      <c r="U10" s="3243" t="s">
        <v>3297</v>
      </c>
      <c r="V10" s="3243">
        <v>0</v>
      </c>
      <c r="W10" s="3243" t="s">
        <v>3328</v>
      </c>
      <c r="X10" s="3243" t="s">
        <v>3296</v>
      </c>
      <c r="Y10" s="3243" t="s">
        <v>3296</v>
      </c>
      <c r="Z10" s="3243" t="s">
        <v>3297</v>
      </c>
      <c r="AA10" s="3243" t="s">
        <v>3297</v>
      </c>
      <c r="AB10" s="3243" t="s">
        <v>3297</v>
      </c>
    </row>
    <row r="11" spans="1:30">
      <c r="A11" s="3243" t="s">
        <v>3337</v>
      </c>
      <c r="B11" s="3243" t="s">
        <v>3338</v>
      </c>
      <c r="C11" s="3243" t="s">
        <v>3290</v>
      </c>
      <c r="D11" s="3243" t="s">
        <v>3297</v>
      </c>
      <c r="E11" s="3243" t="s">
        <v>3309</v>
      </c>
      <c r="F11" s="3243" t="s">
        <v>3293</v>
      </c>
      <c r="G11" s="3243">
        <v>32326.54</v>
      </c>
      <c r="H11" s="3243">
        <v>38791.85</v>
      </c>
      <c r="I11" s="3243" t="s">
        <v>3310</v>
      </c>
      <c r="J11" s="3243" t="s">
        <v>3320</v>
      </c>
      <c r="K11" s="3244">
        <v>42401.000497685185</v>
      </c>
      <c r="L11" s="3243" t="s">
        <v>3338</v>
      </c>
      <c r="M11" s="3243" t="s">
        <v>3298</v>
      </c>
      <c r="N11" s="3243" t="s">
        <v>3339</v>
      </c>
      <c r="O11" s="3243">
        <v>4194</v>
      </c>
      <c r="P11" s="3243">
        <v>86.49</v>
      </c>
      <c r="Q11" s="3243">
        <v>86.49</v>
      </c>
      <c r="R11" s="3243">
        <v>1081</v>
      </c>
      <c r="S11" s="3243">
        <v>1081</v>
      </c>
      <c r="T11" s="3243" t="s">
        <v>3297</v>
      </c>
      <c r="U11" s="3243" t="s">
        <v>3297</v>
      </c>
      <c r="V11" s="3243">
        <v>0</v>
      </c>
      <c r="W11" s="3243" t="s">
        <v>3328</v>
      </c>
      <c r="X11" s="3243" t="s">
        <v>3296</v>
      </c>
      <c r="Y11" s="3243" t="s">
        <v>3296</v>
      </c>
      <c r="Z11" s="3243" t="s">
        <v>3297</v>
      </c>
      <c r="AA11" s="3243" t="s">
        <v>3297</v>
      </c>
      <c r="AB11" s="3243" t="s">
        <v>3297</v>
      </c>
    </row>
    <row r="12" spans="1:30">
      <c r="A12" s="3243" t="s">
        <v>3340</v>
      </c>
      <c r="B12" s="3243" t="s">
        <v>3341</v>
      </c>
      <c r="C12" s="3243" t="s">
        <v>3290</v>
      </c>
      <c r="D12" s="3243" t="s">
        <v>3297</v>
      </c>
      <c r="E12" s="3243" t="s">
        <v>3309</v>
      </c>
      <c r="F12" s="3243" t="s">
        <v>3293</v>
      </c>
      <c r="G12" s="3243">
        <v>31995.71</v>
      </c>
      <c r="H12" s="3243">
        <v>38394.85</v>
      </c>
      <c r="I12" s="3243" t="s">
        <v>3310</v>
      </c>
      <c r="J12" s="3243" t="s">
        <v>3320</v>
      </c>
      <c r="K12" s="3244">
        <v>42397.000497685185</v>
      </c>
      <c r="L12" s="3243" t="s">
        <v>3341</v>
      </c>
      <c r="M12" s="3243" t="s">
        <v>3298</v>
      </c>
      <c r="N12" s="3243" t="s">
        <v>3342</v>
      </c>
      <c r="O12" s="3243">
        <v>4151</v>
      </c>
      <c r="P12" s="3243">
        <v>86.49</v>
      </c>
      <c r="Q12" s="3243">
        <v>86.49</v>
      </c>
      <c r="R12" s="3243">
        <v>1081</v>
      </c>
      <c r="S12" s="3243">
        <v>1081</v>
      </c>
      <c r="T12" s="3243" t="s">
        <v>3297</v>
      </c>
      <c r="U12" s="3243" t="s">
        <v>3297</v>
      </c>
      <c r="V12" s="3243">
        <v>0</v>
      </c>
      <c r="W12" s="3243" t="s">
        <v>3328</v>
      </c>
      <c r="X12" s="3243" t="s">
        <v>3296</v>
      </c>
      <c r="Y12" s="3243" t="s">
        <v>3296</v>
      </c>
      <c r="Z12" s="3243" t="s">
        <v>3297</v>
      </c>
      <c r="AA12" s="3243" t="s">
        <v>3297</v>
      </c>
      <c r="AB12" s="3243" t="s">
        <v>3297</v>
      </c>
    </row>
    <row r="13" spans="1:30">
      <c r="A13" s="3243" t="s">
        <v>3343</v>
      </c>
      <c r="B13" s="3243" t="s">
        <v>3344</v>
      </c>
      <c r="C13" s="3243" t="s">
        <v>3290</v>
      </c>
      <c r="D13" s="3243" t="s">
        <v>3297</v>
      </c>
      <c r="E13" s="3243" t="s">
        <v>3345</v>
      </c>
      <c r="F13" s="3243" t="s">
        <v>3293</v>
      </c>
      <c r="G13" s="3243">
        <v>49749.07</v>
      </c>
      <c r="H13" s="3243">
        <v>49749.07</v>
      </c>
      <c r="I13" s="3243" t="s">
        <v>3294</v>
      </c>
      <c r="J13" s="3243" t="s">
        <v>3320</v>
      </c>
      <c r="K13" s="3244">
        <v>42394.000497685185</v>
      </c>
      <c r="L13" s="3243" t="s">
        <v>3344</v>
      </c>
      <c r="M13" s="3243" t="s">
        <v>3298</v>
      </c>
      <c r="N13" s="3243" t="s">
        <v>3346</v>
      </c>
      <c r="O13" s="3243">
        <v>6156</v>
      </c>
      <c r="P13" s="3243">
        <v>82.49</v>
      </c>
      <c r="Q13" s="3243">
        <v>82.49</v>
      </c>
      <c r="R13" s="3243">
        <v>1237</v>
      </c>
      <c r="S13" s="3243">
        <v>1237</v>
      </c>
      <c r="T13" s="3243" t="s">
        <v>3297</v>
      </c>
      <c r="U13" s="3243" t="s">
        <v>3297</v>
      </c>
      <c r="V13" s="3243">
        <v>0</v>
      </c>
      <c r="W13" s="3243" t="s">
        <v>3328</v>
      </c>
      <c r="X13" s="3243" t="s">
        <v>3296</v>
      </c>
      <c r="Y13" s="3243" t="s">
        <v>3296</v>
      </c>
      <c r="Z13" s="3243" t="s">
        <v>3297</v>
      </c>
      <c r="AA13" s="3243" t="s">
        <v>3297</v>
      </c>
      <c r="AB13" s="3243" t="s">
        <v>3297</v>
      </c>
    </row>
    <row r="14" spans="1:30">
      <c r="A14" s="3243" t="s">
        <v>3347</v>
      </c>
      <c r="B14" s="3243" t="s">
        <v>3348</v>
      </c>
      <c r="C14" s="3243" t="s">
        <v>3290</v>
      </c>
      <c r="D14" s="3243" t="s">
        <v>3297</v>
      </c>
      <c r="E14" s="3243" t="s">
        <v>3349</v>
      </c>
      <c r="F14" s="3243" t="s">
        <v>3293</v>
      </c>
      <c r="G14" s="3243">
        <v>10121</v>
      </c>
      <c r="H14" s="3243">
        <v>10121</v>
      </c>
      <c r="I14" s="3243" t="s">
        <v>3350</v>
      </c>
      <c r="J14" s="3243" t="s">
        <v>3320</v>
      </c>
      <c r="K14" s="3244">
        <v>42362.000497685185</v>
      </c>
      <c r="L14" s="3243" t="s">
        <v>3348</v>
      </c>
      <c r="M14" s="3243" t="s">
        <v>3298</v>
      </c>
      <c r="N14" s="3243" t="s">
        <v>3351</v>
      </c>
      <c r="O14" s="3243">
        <v>926</v>
      </c>
      <c r="P14" s="3243">
        <v>61</v>
      </c>
      <c r="Q14" s="3243">
        <v>61</v>
      </c>
      <c r="R14" s="3243">
        <v>915</v>
      </c>
      <c r="S14" s="3243">
        <v>915</v>
      </c>
      <c r="T14" s="3243" t="s">
        <v>3297</v>
      </c>
      <c r="U14" s="3243" t="s">
        <v>3297</v>
      </c>
      <c r="V14" s="3243">
        <v>0</v>
      </c>
      <c r="W14" s="3243" t="s">
        <v>3328</v>
      </c>
      <c r="X14" s="3243" t="s">
        <v>3296</v>
      </c>
      <c r="Y14" s="3243" t="s">
        <v>3296</v>
      </c>
      <c r="Z14" s="3243" t="s">
        <v>3297</v>
      </c>
      <c r="AA14" s="3243" t="s">
        <v>3297</v>
      </c>
      <c r="AB14" s="3243" t="s">
        <v>3297</v>
      </c>
    </row>
    <row r="15" spans="1:30">
      <c r="A15" s="3243" t="s">
        <v>3352</v>
      </c>
      <c r="B15" s="3243" t="s">
        <v>3353</v>
      </c>
      <c r="C15" s="3243" t="s">
        <v>3290</v>
      </c>
      <c r="D15" s="3243" t="s">
        <v>3297</v>
      </c>
      <c r="E15" s="3243" t="s">
        <v>3292</v>
      </c>
      <c r="F15" s="3243" t="s">
        <v>3293</v>
      </c>
      <c r="G15" s="3243">
        <v>25137.72</v>
      </c>
      <c r="H15" s="3243">
        <v>25137.72</v>
      </c>
      <c r="I15" s="3243" t="s">
        <v>3354</v>
      </c>
      <c r="J15" s="3243" t="s">
        <v>3320</v>
      </c>
      <c r="K15" s="3244">
        <v>42263.000497685185</v>
      </c>
      <c r="L15" s="3243" t="s">
        <v>3353</v>
      </c>
      <c r="M15" s="3243" t="s">
        <v>3298</v>
      </c>
      <c r="N15" s="3243" t="s">
        <v>3355</v>
      </c>
      <c r="O15" s="3243">
        <v>2984</v>
      </c>
      <c r="P15" s="3243">
        <v>79.14</v>
      </c>
      <c r="Q15" s="3243">
        <v>79.14</v>
      </c>
      <c r="R15" s="3243">
        <v>1187</v>
      </c>
      <c r="S15" s="3243">
        <v>1187</v>
      </c>
      <c r="T15" s="3243" t="s">
        <v>3297</v>
      </c>
      <c r="U15" s="3243" t="s">
        <v>3297</v>
      </c>
      <c r="V15" s="3243">
        <v>0</v>
      </c>
      <c r="W15" s="3243" t="s">
        <v>3328</v>
      </c>
      <c r="X15" s="3243" t="s">
        <v>3296</v>
      </c>
      <c r="Y15" s="3243" t="s">
        <v>3296</v>
      </c>
      <c r="Z15" s="3243" t="s">
        <v>3297</v>
      </c>
      <c r="AA15" s="3243" t="s">
        <v>3297</v>
      </c>
      <c r="AB15" s="3243" t="s">
        <v>3297</v>
      </c>
    </row>
    <row r="16" spans="1:30">
      <c r="A16" s="3243" t="s">
        <v>3356</v>
      </c>
      <c r="B16" s="3243" t="s">
        <v>3357</v>
      </c>
      <c r="C16" s="3243" t="s">
        <v>3290</v>
      </c>
      <c r="D16" s="3243" t="s">
        <v>3297</v>
      </c>
      <c r="E16" s="3243" t="s">
        <v>3292</v>
      </c>
      <c r="F16" s="3243" t="s">
        <v>3293</v>
      </c>
      <c r="G16" s="3243">
        <v>12530</v>
      </c>
      <c r="H16" s="3243">
        <v>12530</v>
      </c>
      <c r="I16" s="3243" t="s">
        <v>3354</v>
      </c>
      <c r="J16" s="3243" t="s">
        <v>3320</v>
      </c>
      <c r="K16" s="3244">
        <v>42263.000497685185</v>
      </c>
      <c r="L16" s="3243" t="s">
        <v>3357</v>
      </c>
      <c r="M16" s="3243" t="s">
        <v>3298</v>
      </c>
      <c r="N16" s="3243" t="s">
        <v>3355</v>
      </c>
      <c r="O16" s="3243">
        <v>1488</v>
      </c>
      <c r="P16" s="3243">
        <v>79.17</v>
      </c>
      <c r="Q16" s="3243">
        <v>79.17</v>
      </c>
      <c r="R16" s="3243">
        <v>1188</v>
      </c>
      <c r="S16" s="3243">
        <v>1188</v>
      </c>
      <c r="T16" s="3243" t="s">
        <v>3297</v>
      </c>
      <c r="U16" s="3243" t="s">
        <v>3297</v>
      </c>
      <c r="V16" s="3243">
        <v>0</v>
      </c>
      <c r="W16" s="3243" t="s">
        <v>3328</v>
      </c>
      <c r="X16" s="3243" t="s">
        <v>3296</v>
      </c>
      <c r="Y16" s="3243" t="s">
        <v>3296</v>
      </c>
      <c r="Z16" s="3243" t="s">
        <v>3297</v>
      </c>
      <c r="AA16" s="3243" t="s">
        <v>3297</v>
      </c>
      <c r="AB16" s="3243" t="s">
        <v>3297</v>
      </c>
    </row>
    <row r="17" spans="1:28">
      <c r="A17" s="3243" t="s">
        <v>3358</v>
      </c>
      <c r="B17" s="3243" t="s">
        <v>3359</v>
      </c>
      <c r="C17" s="3243" t="s">
        <v>3290</v>
      </c>
      <c r="D17" s="3243" t="s">
        <v>3297</v>
      </c>
      <c r="E17" s="3243" t="s">
        <v>3309</v>
      </c>
      <c r="F17" s="3243" t="s">
        <v>3293</v>
      </c>
      <c r="G17" s="3243">
        <v>69999.3</v>
      </c>
      <c r="H17" s="3243">
        <v>83999.16</v>
      </c>
      <c r="I17" s="3243" t="s">
        <v>3319</v>
      </c>
      <c r="J17" s="3243" t="s">
        <v>3320</v>
      </c>
      <c r="K17" s="3244">
        <v>41745.000497685185</v>
      </c>
      <c r="L17" s="3243" t="s">
        <v>3359</v>
      </c>
      <c r="M17" s="3243" t="s">
        <v>3298</v>
      </c>
      <c r="N17" s="3243" t="s">
        <v>3360</v>
      </c>
      <c r="O17" s="3243">
        <v>11315</v>
      </c>
      <c r="P17" s="3243">
        <v>107.76</v>
      </c>
      <c r="Q17" s="3243">
        <v>107.76</v>
      </c>
      <c r="R17" s="3243">
        <v>1347</v>
      </c>
      <c r="S17" s="3243">
        <v>1347</v>
      </c>
      <c r="T17" s="3243" t="s">
        <v>3297</v>
      </c>
      <c r="U17" s="3243" t="s">
        <v>3297</v>
      </c>
      <c r="V17" s="3243">
        <v>0</v>
      </c>
      <c r="W17" s="3243" t="s">
        <v>3328</v>
      </c>
      <c r="X17" s="3243" t="s">
        <v>3296</v>
      </c>
      <c r="Y17" s="3243" t="s">
        <v>3296</v>
      </c>
      <c r="Z17" s="3243" t="s">
        <v>3297</v>
      </c>
      <c r="AA17" s="3243" t="s">
        <v>3297</v>
      </c>
      <c r="AB17" s="3243" t="s">
        <v>3297</v>
      </c>
    </row>
    <row r="18" spans="1:28">
      <c r="A18" s="3243" t="s">
        <v>3361</v>
      </c>
      <c r="B18" s="3243" t="s">
        <v>3362</v>
      </c>
      <c r="C18" s="3243" t="s">
        <v>3290</v>
      </c>
      <c r="D18" s="3243" t="s">
        <v>3297</v>
      </c>
      <c r="E18" s="3243" t="s">
        <v>3363</v>
      </c>
      <c r="F18" s="3243" t="s">
        <v>3293</v>
      </c>
      <c r="G18" s="3243">
        <v>60631</v>
      </c>
      <c r="H18" s="3243">
        <v>60631</v>
      </c>
      <c r="I18" s="3243" t="s">
        <v>3364</v>
      </c>
      <c r="J18" s="3243" t="s">
        <v>3320</v>
      </c>
      <c r="K18" s="3244">
        <v>41740.000497685185</v>
      </c>
      <c r="L18" s="3243" t="s">
        <v>3362</v>
      </c>
      <c r="M18" s="3243" t="s">
        <v>3298</v>
      </c>
      <c r="N18" s="3243" t="s">
        <v>3365</v>
      </c>
      <c r="O18" s="3243">
        <v>6579</v>
      </c>
      <c r="P18" s="3243">
        <v>72.34</v>
      </c>
      <c r="Q18" s="3243">
        <v>72.34</v>
      </c>
      <c r="R18" s="3243">
        <v>1085</v>
      </c>
      <c r="S18" s="3243">
        <v>1085</v>
      </c>
      <c r="T18" s="3243" t="s">
        <v>3297</v>
      </c>
      <c r="U18" s="3243" t="s">
        <v>3297</v>
      </c>
      <c r="V18" s="3243">
        <v>0</v>
      </c>
      <c r="W18" s="3243" t="s">
        <v>3328</v>
      </c>
      <c r="X18" s="3243" t="s">
        <v>3296</v>
      </c>
      <c r="Y18" s="3243" t="s">
        <v>3296</v>
      </c>
      <c r="Z18" s="3243" t="s">
        <v>3297</v>
      </c>
      <c r="AA18" s="3243" t="s">
        <v>3297</v>
      </c>
      <c r="AB18" s="3243" t="s">
        <v>3297</v>
      </c>
    </row>
    <row r="19" spans="1:28">
      <c r="A19" s="3243" t="s">
        <v>3366</v>
      </c>
      <c r="B19" s="3243" t="s">
        <v>3367</v>
      </c>
      <c r="C19" s="3243" t="s">
        <v>3290</v>
      </c>
      <c r="D19" s="3243" t="s">
        <v>3297</v>
      </c>
      <c r="E19" s="3243" t="s">
        <v>3309</v>
      </c>
      <c r="F19" s="3243" t="s">
        <v>3293</v>
      </c>
      <c r="G19" s="3243">
        <v>16666.78</v>
      </c>
      <c r="H19" s="3243">
        <v>20000.14</v>
      </c>
      <c r="I19" s="3243" t="s">
        <v>3319</v>
      </c>
      <c r="J19" s="3243" t="s">
        <v>3320</v>
      </c>
      <c r="K19" s="3244">
        <v>41738.000497685185</v>
      </c>
      <c r="L19" s="3243" t="s">
        <v>3367</v>
      </c>
      <c r="M19" s="3243" t="s">
        <v>3298</v>
      </c>
      <c r="N19" s="3243" t="s">
        <v>3368</v>
      </c>
      <c r="O19" s="3243">
        <v>2695</v>
      </c>
      <c r="P19" s="3243">
        <v>107.8</v>
      </c>
      <c r="Q19" s="3243">
        <v>107.8</v>
      </c>
      <c r="R19" s="3243">
        <v>1347</v>
      </c>
      <c r="S19" s="3243">
        <v>1347</v>
      </c>
      <c r="T19" s="3243" t="s">
        <v>3297</v>
      </c>
      <c r="U19" s="3243" t="s">
        <v>3297</v>
      </c>
      <c r="V19" s="3243">
        <v>0</v>
      </c>
      <c r="W19" s="3243" t="s">
        <v>3328</v>
      </c>
      <c r="X19" s="3243" t="s">
        <v>3296</v>
      </c>
      <c r="Y19" s="3243" t="s">
        <v>3296</v>
      </c>
      <c r="Z19" s="3243" t="s">
        <v>3297</v>
      </c>
      <c r="AA19" s="3243" t="s">
        <v>3297</v>
      </c>
      <c r="AB19" s="3243" t="s">
        <v>3297</v>
      </c>
    </row>
    <row r="20" spans="1:28">
      <c r="A20" s="3243" t="s">
        <v>3369</v>
      </c>
      <c r="B20" s="3243" t="s">
        <v>3370</v>
      </c>
      <c r="C20" s="3243" t="s">
        <v>3290</v>
      </c>
      <c r="D20" s="3243" t="s">
        <v>3297</v>
      </c>
      <c r="E20" s="3243" t="s">
        <v>3363</v>
      </c>
      <c r="F20" s="3243" t="s">
        <v>3293</v>
      </c>
      <c r="G20" s="3243">
        <v>41557</v>
      </c>
      <c r="H20" s="3243">
        <v>41557</v>
      </c>
      <c r="I20" s="3243" t="s">
        <v>3364</v>
      </c>
      <c r="J20" s="3243" t="s">
        <v>3320</v>
      </c>
      <c r="K20" s="3244">
        <v>41737.000497685185</v>
      </c>
      <c r="L20" s="3243" t="s">
        <v>3370</v>
      </c>
      <c r="M20" s="3243" t="s">
        <v>3298</v>
      </c>
      <c r="N20" s="3243" t="s">
        <v>3371</v>
      </c>
      <c r="O20" s="3243">
        <v>4509</v>
      </c>
      <c r="P20" s="3243">
        <v>72.33</v>
      </c>
      <c r="Q20" s="3243">
        <v>72.33</v>
      </c>
      <c r="R20" s="3243">
        <v>1085</v>
      </c>
      <c r="S20" s="3243">
        <v>1085</v>
      </c>
      <c r="T20" s="3243" t="s">
        <v>3297</v>
      </c>
      <c r="U20" s="3243" t="s">
        <v>3297</v>
      </c>
      <c r="V20" s="3243">
        <v>0</v>
      </c>
      <c r="W20" s="3243" t="s">
        <v>3328</v>
      </c>
      <c r="X20" s="3243" t="s">
        <v>3296</v>
      </c>
      <c r="Y20" s="3243" t="s">
        <v>3296</v>
      </c>
      <c r="Z20" s="3243" t="s">
        <v>3297</v>
      </c>
      <c r="AA20" s="3243" t="s">
        <v>3297</v>
      </c>
      <c r="AB20" s="3243" t="s">
        <v>3297</v>
      </c>
    </row>
    <row r="21" spans="1:28">
      <c r="A21" s="3243" t="s">
        <v>3372</v>
      </c>
      <c r="B21" s="3243" t="s">
        <v>3373</v>
      </c>
      <c r="C21" s="3243" t="s">
        <v>3290</v>
      </c>
      <c r="D21" s="3243" t="s">
        <v>3297</v>
      </c>
      <c r="E21" s="3243" t="s">
        <v>3309</v>
      </c>
      <c r="F21" s="3243" t="s">
        <v>3293</v>
      </c>
      <c r="G21" s="3243">
        <v>24075.919999999998</v>
      </c>
      <c r="H21" s="3243">
        <v>20063.27</v>
      </c>
      <c r="I21" s="3243" t="s">
        <v>3374</v>
      </c>
      <c r="J21" s="3243" t="s">
        <v>3320</v>
      </c>
      <c r="K21" s="3244">
        <v>41737.000497685185</v>
      </c>
      <c r="L21" s="3243" t="s">
        <v>3373</v>
      </c>
      <c r="M21" s="3243" t="s">
        <v>3298</v>
      </c>
      <c r="N21" s="3243" t="s">
        <v>3375</v>
      </c>
      <c r="O21" s="3243">
        <v>3244</v>
      </c>
      <c r="P21" s="3243">
        <v>89.83</v>
      </c>
      <c r="Q21" s="3243">
        <v>89.83</v>
      </c>
      <c r="R21" s="3243">
        <v>1617</v>
      </c>
      <c r="S21" s="3243">
        <v>1617</v>
      </c>
      <c r="T21" s="3243" t="s">
        <v>3297</v>
      </c>
      <c r="U21" s="3243" t="s">
        <v>3297</v>
      </c>
      <c r="V21" s="3243">
        <v>0</v>
      </c>
      <c r="W21" s="3243" t="s">
        <v>3328</v>
      </c>
      <c r="X21" s="3243" t="s">
        <v>3296</v>
      </c>
      <c r="Y21" s="3243" t="s">
        <v>3296</v>
      </c>
      <c r="Z21" s="3243" t="s">
        <v>3297</v>
      </c>
      <c r="AA21" s="3243" t="s">
        <v>3297</v>
      </c>
      <c r="AB21" s="3243" t="s">
        <v>3297</v>
      </c>
    </row>
    <row r="22" spans="1:28">
      <c r="A22" s="3243" t="s">
        <v>3376</v>
      </c>
      <c r="B22" s="3243" t="s">
        <v>3377</v>
      </c>
      <c r="C22" s="3243" t="s">
        <v>3290</v>
      </c>
      <c r="D22" s="3243" t="s">
        <v>3297</v>
      </c>
      <c r="E22" s="3243" t="s">
        <v>3309</v>
      </c>
      <c r="F22" s="3243" t="s">
        <v>3293</v>
      </c>
      <c r="G22" s="3243">
        <v>23332.67</v>
      </c>
      <c r="H22" s="3243">
        <v>27999.200000000001</v>
      </c>
      <c r="I22" s="3243" t="s">
        <v>3319</v>
      </c>
      <c r="J22" s="3243" t="s">
        <v>3320</v>
      </c>
      <c r="K22" s="3244">
        <v>41732.000497685185</v>
      </c>
      <c r="L22" s="3243" t="s">
        <v>3377</v>
      </c>
      <c r="M22" s="3243" t="s">
        <v>3298</v>
      </c>
      <c r="N22" s="3243" t="s">
        <v>3378</v>
      </c>
      <c r="O22" s="3243">
        <v>3772</v>
      </c>
      <c r="P22" s="3243">
        <v>107.77</v>
      </c>
      <c r="Q22" s="3243">
        <v>107.77</v>
      </c>
      <c r="R22" s="3243">
        <v>1347</v>
      </c>
      <c r="S22" s="3243">
        <v>1347</v>
      </c>
      <c r="T22" s="3243" t="s">
        <v>3297</v>
      </c>
      <c r="U22" s="3243" t="s">
        <v>3297</v>
      </c>
      <c r="V22" s="3243">
        <v>0</v>
      </c>
      <c r="W22" s="3243" t="s">
        <v>3328</v>
      </c>
      <c r="X22" s="3243" t="s">
        <v>3296</v>
      </c>
      <c r="Y22" s="3243" t="s">
        <v>3296</v>
      </c>
      <c r="Z22" s="3243" t="s">
        <v>3297</v>
      </c>
      <c r="AA22" s="3243" t="s">
        <v>3297</v>
      </c>
      <c r="AB22" s="3243" t="s">
        <v>3297</v>
      </c>
    </row>
    <row r="23" spans="1:28">
      <c r="A23" s="3243" t="s">
        <v>3379</v>
      </c>
      <c r="B23" s="3243" t="s">
        <v>3380</v>
      </c>
      <c r="C23" s="3243" t="s">
        <v>3290</v>
      </c>
      <c r="D23" s="3243" t="s">
        <v>3297</v>
      </c>
      <c r="E23" s="3243" t="s">
        <v>3363</v>
      </c>
      <c r="F23" s="3243" t="s">
        <v>3293</v>
      </c>
      <c r="G23" s="3243">
        <v>40289</v>
      </c>
      <c r="H23" s="3243">
        <v>40289</v>
      </c>
      <c r="I23" s="3243" t="s">
        <v>3364</v>
      </c>
      <c r="J23" s="3243" t="s">
        <v>3320</v>
      </c>
      <c r="K23" s="3244">
        <v>41732.000497685185</v>
      </c>
      <c r="L23" s="3243" t="s">
        <v>3380</v>
      </c>
      <c r="M23" s="3243" t="s">
        <v>3298</v>
      </c>
      <c r="N23" s="3243" t="s">
        <v>3381</v>
      </c>
      <c r="O23" s="3243">
        <v>4372</v>
      </c>
      <c r="P23" s="3243">
        <v>72.34</v>
      </c>
      <c r="Q23" s="3243">
        <v>72.34</v>
      </c>
      <c r="R23" s="3243">
        <v>1085</v>
      </c>
      <c r="S23" s="3243">
        <v>1085</v>
      </c>
      <c r="T23" s="3243" t="s">
        <v>3297</v>
      </c>
      <c r="U23" s="3243" t="s">
        <v>3297</v>
      </c>
      <c r="V23" s="3243">
        <v>0</v>
      </c>
      <c r="W23" s="3243" t="s">
        <v>3328</v>
      </c>
      <c r="X23" s="3243" t="s">
        <v>3296</v>
      </c>
      <c r="Y23" s="3243" t="s">
        <v>3296</v>
      </c>
      <c r="Z23" s="3243" t="s">
        <v>3297</v>
      </c>
      <c r="AA23" s="3243" t="s">
        <v>3297</v>
      </c>
      <c r="AB23" s="3243" t="s">
        <v>3297</v>
      </c>
    </row>
    <row r="24" spans="1:28">
      <c r="A24" s="3243" t="s">
        <v>3382</v>
      </c>
      <c r="B24" s="3243" t="s">
        <v>3383</v>
      </c>
      <c r="C24" s="3243" t="s">
        <v>3290</v>
      </c>
      <c r="D24" s="3243" t="s">
        <v>3297</v>
      </c>
      <c r="E24" s="3243" t="s">
        <v>3309</v>
      </c>
      <c r="F24" s="3243" t="s">
        <v>3293</v>
      </c>
      <c r="G24" s="3243">
        <v>13526.61</v>
      </c>
      <c r="H24" s="3243">
        <v>13526.61</v>
      </c>
      <c r="I24" s="3243" t="s">
        <v>3364</v>
      </c>
      <c r="J24" s="3243" t="s">
        <v>3320</v>
      </c>
      <c r="K24" s="3244">
        <v>41732.000497685185</v>
      </c>
      <c r="L24" s="3243" t="s">
        <v>3383</v>
      </c>
      <c r="M24" s="3243" t="s">
        <v>3298</v>
      </c>
      <c r="N24" s="3243" t="s">
        <v>3384</v>
      </c>
      <c r="O24" s="3243">
        <v>1746</v>
      </c>
      <c r="P24" s="3243">
        <v>86.05</v>
      </c>
      <c r="Q24" s="3243">
        <v>86.05</v>
      </c>
      <c r="R24" s="3243">
        <v>1291</v>
      </c>
      <c r="S24" s="3243">
        <v>1291</v>
      </c>
      <c r="T24" s="3243" t="s">
        <v>3297</v>
      </c>
      <c r="U24" s="3243" t="s">
        <v>3297</v>
      </c>
      <c r="V24" s="3243">
        <v>0</v>
      </c>
      <c r="W24" s="3243" t="s">
        <v>3328</v>
      </c>
      <c r="X24" s="3243" t="s">
        <v>3296</v>
      </c>
      <c r="Y24" s="3243" t="s">
        <v>3296</v>
      </c>
      <c r="Z24" s="3243" t="s">
        <v>3297</v>
      </c>
      <c r="AA24" s="3243" t="s">
        <v>3297</v>
      </c>
      <c r="AB24" s="3243" t="s">
        <v>3297</v>
      </c>
    </row>
    <row r="25" spans="1:28">
      <c r="A25" s="3243" t="s">
        <v>3385</v>
      </c>
      <c r="B25" s="3243" t="s">
        <v>3386</v>
      </c>
      <c r="C25" s="3243" t="s">
        <v>3290</v>
      </c>
      <c r="D25" s="3243" t="s">
        <v>3297</v>
      </c>
      <c r="E25" s="3243" t="s">
        <v>3309</v>
      </c>
      <c r="F25" s="3243" t="s">
        <v>3293</v>
      </c>
      <c r="G25" s="3243">
        <v>23887.03</v>
      </c>
      <c r="H25" s="3243">
        <v>28664.44</v>
      </c>
      <c r="I25" s="3243" t="s">
        <v>3319</v>
      </c>
      <c r="J25" s="3243" t="s">
        <v>3320</v>
      </c>
      <c r="K25" s="3244">
        <v>41732.000497685185</v>
      </c>
      <c r="L25" s="3243" t="s">
        <v>3386</v>
      </c>
      <c r="M25" s="3243" t="s">
        <v>3298</v>
      </c>
      <c r="N25" s="3243" t="s">
        <v>3387</v>
      </c>
      <c r="O25" s="3243">
        <v>3862</v>
      </c>
      <c r="P25" s="3243">
        <v>107.79</v>
      </c>
      <c r="Q25" s="3243">
        <v>107.79</v>
      </c>
      <c r="R25" s="3243">
        <v>1347</v>
      </c>
      <c r="S25" s="3243">
        <v>1347</v>
      </c>
      <c r="T25" s="3243" t="s">
        <v>3297</v>
      </c>
      <c r="U25" s="3243" t="s">
        <v>3297</v>
      </c>
      <c r="V25" s="3243">
        <v>0</v>
      </c>
      <c r="W25" s="3243" t="s">
        <v>3328</v>
      </c>
      <c r="X25" s="3243" t="s">
        <v>3296</v>
      </c>
      <c r="Y25" s="3243" t="s">
        <v>3296</v>
      </c>
      <c r="Z25" s="3243" t="s">
        <v>3297</v>
      </c>
      <c r="AA25" s="3243" t="s">
        <v>3297</v>
      </c>
      <c r="AB25" s="3243" t="s">
        <v>3297</v>
      </c>
    </row>
    <row r="26" spans="1:28">
      <c r="A26" s="3243" t="s">
        <v>3388</v>
      </c>
      <c r="B26" s="3243" t="s">
        <v>3389</v>
      </c>
      <c r="C26" s="3243" t="s">
        <v>3290</v>
      </c>
      <c r="D26" s="3243" t="s">
        <v>3297</v>
      </c>
      <c r="E26" s="3243" t="s">
        <v>3363</v>
      </c>
      <c r="F26" s="3243" t="s">
        <v>3293</v>
      </c>
      <c r="G26" s="3243">
        <v>233216</v>
      </c>
      <c r="H26" s="3243">
        <v>233216</v>
      </c>
      <c r="I26" s="3243" t="s">
        <v>3364</v>
      </c>
      <c r="J26" s="3243" t="s">
        <v>3320</v>
      </c>
      <c r="K26" s="3244">
        <v>41732.000497685185</v>
      </c>
      <c r="L26" s="3243" t="s">
        <v>3389</v>
      </c>
      <c r="M26" s="3243" t="s">
        <v>3298</v>
      </c>
      <c r="N26" s="3243" t="s">
        <v>3390</v>
      </c>
      <c r="O26" s="3243">
        <v>25304</v>
      </c>
      <c r="P26" s="3243">
        <v>72.33</v>
      </c>
      <c r="Q26" s="3243">
        <v>72.33</v>
      </c>
      <c r="R26" s="3243">
        <v>1085</v>
      </c>
      <c r="S26" s="3243">
        <v>1085</v>
      </c>
      <c r="T26" s="3243" t="s">
        <v>3297</v>
      </c>
      <c r="U26" s="3243" t="s">
        <v>3297</v>
      </c>
      <c r="V26" s="3243">
        <v>0</v>
      </c>
      <c r="W26" s="3243" t="s">
        <v>3328</v>
      </c>
      <c r="X26" s="3243" t="s">
        <v>3296</v>
      </c>
      <c r="Y26" s="3243" t="s">
        <v>3296</v>
      </c>
      <c r="Z26" s="3243" t="s">
        <v>3297</v>
      </c>
      <c r="AA26" s="3243" t="s">
        <v>3297</v>
      </c>
      <c r="AB26" s="3243" t="s">
        <v>3297</v>
      </c>
    </row>
    <row r="27" spans="1:28">
      <c r="A27" s="3243" t="s">
        <v>3391</v>
      </c>
      <c r="B27" s="3243" t="s">
        <v>3392</v>
      </c>
      <c r="C27" s="3243" t="s">
        <v>3290</v>
      </c>
      <c r="D27" s="3243" t="s">
        <v>3297</v>
      </c>
      <c r="E27" s="3243" t="s">
        <v>3393</v>
      </c>
      <c r="F27" s="3243" t="s">
        <v>3293</v>
      </c>
      <c r="G27" s="3243">
        <v>30608</v>
      </c>
      <c r="H27" s="3243">
        <v>61216</v>
      </c>
      <c r="I27" s="3243" t="s">
        <v>3394</v>
      </c>
      <c r="J27" s="3243" t="s">
        <v>3320</v>
      </c>
      <c r="K27" s="3244">
        <v>41701.000497685185</v>
      </c>
      <c r="L27" s="3243" t="s">
        <v>3392</v>
      </c>
      <c r="M27" s="3243" t="s">
        <v>3298</v>
      </c>
      <c r="N27" s="3243" t="s">
        <v>3395</v>
      </c>
      <c r="O27" s="3243">
        <v>3252</v>
      </c>
      <c r="P27" s="3243">
        <v>70.83</v>
      </c>
      <c r="Q27" s="3243">
        <v>70.83</v>
      </c>
      <c r="R27" s="3243">
        <v>531</v>
      </c>
      <c r="S27" s="3243">
        <v>531</v>
      </c>
      <c r="T27" s="3243" t="s">
        <v>3297</v>
      </c>
      <c r="U27" s="3243" t="s">
        <v>3297</v>
      </c>
      <c r="V27" s="3243">
        <v>0</v>
      </c>
      <c r="W27" s="3243" t="s">
        <v>3328</v>
      </c>
      <c r="X27" s="3243" t="s">
        <v>3296</v>
      </c>
      <c r="Y27" s="3243" t="s">
        <v>3296</v>
      </c>
      <c r="Z27" s="3243" t="s">
        <v>3297</v>
      </c>
      <c r="AA27" s="3243" t="s">
        <v>3297</v>
      </c>
      <c r="AB27" s="3243" t="s">
        <v>3297</v>
      </c>
    </row>
    <row r="28" spans="1:28">
      <c r="A28" s="3243" t="s">
        <v>3396</v>
      </c>
      <c r="B28" s="3243" t="s">
        <v>3397</v>
      </c>
      <c r="C28" s="3243" t="s">
        <v>3290</v>
      </c>
      <c r="D28" s="3243" t="s">
        <v>3297</v>
      </c>
      <c r="E28" s="3243" t="s">
        <v>3309</v>
      </c>
      <c r="F28" s="3243" t="s">
        <v>3293</v>
      </c>
      <c r="G28" s="3243">
        <v>65755.539999999994</v>
      </c>
      <c r="H28" s="3243">
        <v>78906.649999999994</v>
      </c>
      <c r="I28" s="3243" t="s">
        <v>3319</v>
      </c>
      <c r="J28" s="3243" t="s">
        <v>3320</v>
      </c>
      <c r="K28" s="3244">
        <v>41655.000497685185</v>
      </c>
      <c r="L28" s="3243" t="s">
        <v>3397</v>
      </c>
      <c r="M28" s="3243" t="s">
        <v>3298</v>
      </c>
      <c r="N28" s="3243" t="s">
        <v>3398</v>
      </c>
      <c r="O28" s="3243">
        <v>8620</v>
      </c>
      <c r="P28" s="3243">
        <v>87.39</v>
      </c>
      <c r="Q28" s="3243">
        <v>87.39</v>
      </c>
      <c r="R28" s="3243">
        <v>1092</v>
      </c>
      <c r="S28" s="3243">
        <v>1092</v>
      </c>
      <c r="T28" s="3243" t="s">
        <v>3297</v>
      </c>
      <c r="U28" s="3243" t="s">
        <v>3297</v>
      </c>
      <c r="V28" s="3243">
        <v>0</v>
      </c>
      <c r="W28" s="3243" t="s">
        <v>3328</v>
      </c>
      <c r="X28" s="3243" t="s">
        <v>3296</v>
      </c>
      <c r="Y28" s="3243" t="s">
        <v>3296</v>
      </c>
      <c r="Z28" s="3243" t="s">
        <v>3297</v>
      </c>
      <c r="AA28" s="3243" t="s">
        <v>3297</v>
      </c>
      <c r="AB28" s="3243" t="s">
        <v>3297</v>
      </c>
    </row>
    <row r="29" spans="1:28">
      <c r="A29" s="3243" t="s">
        <v>3399</v>
      </c>
      <c r="B29" s="3243" t="s">
        <v>3400</v>
      </c>
      <c r="C29" s="3243" t="s">
        <v>3290</v>
      </c>
      <c r="D29" s="3243" t="s">
        <v>3297</v>
      </c>
      <c r="E29" s="3243" t="s">
        <v>3401</v>
      </c>
      <c r="F29" s="3243" t="s">
        <v>3293</v>
      </c>
      <c r="G29" s="3243">
        <v>125646</v>
      </c>
      <c r="H29" s="3243">
        <v>184429</v>
      </c>
      <c r="I29" s="3243" t="s">
        <v>3402</v>
      </c>
      <c r="J29" s="3243" t="s">
        <v>3320</v>
      </c>
      <c r="K29" s="3244">
        <v>41639.000497685185</v>
      </c>
      <c r="L29" s="3243" t="s">
        <v>3400</v>
      </c>
      <c r="M29" s="3243" t="s">
        <v>3298</v>
      </c>
      <c r="N29" s="3243" t="s">
        <v>3403</v>
      </c>
      <c r="O29" s="3243">
        <v>13098</v>
      </c>
      <c r="P29" s="3243">
        <v>69.5</v>
      </c>
      <c r="Q29" s="3243">
        <v>69.5</v>
      </c>
      <c r="R29" s="3243">
        <v>710</v>
      </c>
      <c r="S29" s="3243">
        <v>710</v>
      </c>
      <c r="T29" s="3243" t="s">
        <v>3297</v>
      </c>
      <c r="U29" s="3243" t="s">
        <v>3297</v>
      </c>
      <c r="V29" s="3243">
        <v>0</v>
      </c>
      <c r="W29" s="3243" t="s">
        <v>3328</v>
      </c>
      <c r="X29" s="3243" t="s">
        <v>3296</v>
      </c>
      <c r="Y29" s="3243" t="s">
        <v>3296</v>
      </c>
      <c r="Z29" s="3243" t="s">
        <v>3297</v>
      </c>
      <c r="AA29" s="3243" t="s">
        <v>3297</v>
      </c>
      <c r="AB29" s="3243" t="s">
        <v>3297</v>
      </c>
    </row>
    <row r="30" spans="1:28">
      <c r="A30" s="3243" t="s">
        <v>3404</v>
      </c>
      <c r="B30" s="3243" t="s">
        <v>3405</v>
      </c>
      <c r="C30" s="3243" t="s">
        <v>3290</v>
      </c>
      <c r="D30" s="3243" t="s">
        <v>3297</v>
      </c>
      <c r="E30" s="3243" t="s">
        <v>3309</v>
      </c>
      <c r="F30" s="3243" t="s">
        <v>3293</v>
      </c>
      <c r="G30" s="3243">
        <v>27039.83</v>
      </c>
      <c r="H30" s="3243">
        <v>32447.8</v>
      </c>
      <c r="I30" s="3243" t="s">
        <v>3319</v>
      </c>
      <c r="J30" s="3243" t="s">
        <v>3320</v>
      </c>
      <c r="K30" s="3244">
        <v>41569.000497685185</v>
      </c>
      <c r="L30" s="3243" t="s">
        <v>3405</v>
      </c>
      <c r="M30" s="3243" t="s">
        <v>3298</v>
      </c>
      <c r="N30" s="3243" t="s">
        <v>3406</v>
      </c>
      <c r="O30" s="3243">
        <v>4371</v>
      </c>
      <c r="P30" s="3243">
        <v>107.77</v>
      </c>
      <c r="Q30" s="3243">
        <v>107.77</v>
      </c>
      <c r="R30" s="3243">
        <v>1347</v>
      </c>
      <c r="S30" s="3243">
        <v>1347</v>
      </c>
      <c r="T30" s="3243" t="s">
        <v>3297</v>
      </c>
      <c r="U30" s="3243" t="s">
        <v>3297</v>
      </c>
      <c r="V30" s="3243">
        <v>0</v>
      </c>
      <c r="W30" s="3243" t="s">
        <v>3328</v>
      </c>
      <c r="X30" s="3243" t="s">
        <v>3296</v>
      </c>
      <c r="Y30" s="3243" t="s">
        <v>3296</v>
      </c>
      <c r="Z30" s="3243" t="s">
        <v>3297</v>
      </c>
      <c r="AA30" s="3243" t="s">
        <v>3297</v>
      </c>
      <c r="AB30" s="3243" t="s">
        <v>3297</v>
      </c>
    </row>
    <row r="31" spans="1:28">
      <c r="A31" s="3243" t="s">
        <v>3407</v>
      </c>
      <c r="B31" s="3243" t="s">
        <v>3408</v>
      </c>
      <c r="C31" s="3243" t="s">
        <v>3290</v>
      </c>
      <c r="D31" s="3243" t="s">
        <v>3297</v>
      </c>
      <c r="E31" s="3243" t="s">
        <v>3309</v>
      </c>
      <c r="F31" s="3243" t="s">
        <v>3293</v>
      </c>
      <c r="G31" s="3243">
        <v>26951.98</v>
      </c>
      <c r="H31" s="3243">
        <v>32342.38</v>
      </c>
      <c r="I31" s="3243" t="s">
        <v>3319</v>
      </c>
      <c r="J31" s="3243" t="s">
        <v>3320</v>
      </c>
      <c r="K31" s="3244">
        <v>41565.000497685185</v>
      </c>
      <c r="L31" s="3243" t="s">
        <v>3408</v>
      </c>
      <c r="M31" s="3243" t="s">
        <v>3298</v>
      </c>
      <c r="N31" s="3243" t="s">
        <v>3409</v>
      </c>
      <c r="O31" s="3243">
        <v>4357</v>
      </c>
      <c r="P31" s="3243">
        <v>107.77</v>
      </c>
      <c r="Q31" s="3243">
        <v>107.77</v>
      </c>
      <c r="R31" s="3243">
        <v>1347</v>
      </c>
      <c r="S31" s="3243">
        <v>1347</v>
      </c>
      <c r="T31" s="3243" t="s">
        <v>3297</v>
      </c>
      <c r="U31" s="3243" t="s">
        <v>3297</v>
      </c>
      <c r="V31" s="3243">
        <v>0</v>
      </c>
      <c r="W31" s="3243" t="s">
        <v>3328</v>
      </c>
      <c r="X31" s="3243" t="s">
        <v>3296</v>
      </c>
      <c r="Y31" s="3243" t="s">
        <v>3296</v>
      </c>
      <c r="Z31" s="3243" t="s">
        <v>3297</v>
      </c>
      <c r="AA31" s="3243" t="s">
        <v>3297</v>
      </c>
      <c r="AB31" s="3243" t="s">
        <v>3297</v>
      </c>
    </row>
    <row r="32" spans="1:28">
      <c r="A32" s="3243" t="s">
        <v>3410</v>
      </c>
      <c r="B32" s="3243" t="s">
        <v>3411</v>
      </c>
      <c r="C32" s="3243" t="s">
        <v>3290</v>
      </c>
      <c r="D32" s="3243" t="s">
        <v>3297</v>
      </c>
      <c r="E32" s="3243" t="s">
        <v>3412</v>
      </c>
      <c r="F32" s="3243" t="s">
        <v>3293</v>
      </c>
      <c r="G32" s="3243">
        <v>9739.41</v>
      </c>
      <c r="H32" s="3243">
        <v>24348</v>
      </c>
      <c r="I32" s="3243" t="s">
        <v>3413</v>
      </c>
      <c r="J32" s="3243" t="s">
        <v>3414</v>
      </c>
      <c r="K32" s="3244">
        <v>41565.000497685185</v>
      </c>
      <c r="L32" s="3243" t="s">
        <v>3411</v>
      </c>
      <c r="M32" s="3243" t="s">
        <v>3298</v>
      </c>
      <c r="N32" s="3243" t="s">
        <v>3415</v>
      </c>
      <c r="O32" s="3243">
        <v>3279</v>
      </c>
      <c r="P32" s="3243">
        <v>224.45</v>
      </c>
      <c r="Q32" s="3243">
        <v>224.45</v>
      </c>
      <c r="R32" s="3243">
        <v>1347</v>
      </c>
      <c r="S32" s="3243">
        <v>1347</v>
      </c>
      <c r="T32" s="3243" t="s">
        <v>3297</v>
      </c>
      <c r="U32" s="3243" t="s">
        <v>3297</v>
      </c>
      <c r="V32" s="3243">
        <v>0</v>
      </c>
      <c r="W32" s="3243" t="s">
        <v>3328</v>
      </c>
      <c r="X32" s="3243" t="s">
        <v>3296</v>
      </c>
      <c r="Y32" s="3243" t="s">
        <v>3296</v>
      </c>
      <c r="Z32" s="3243" t="s">
        <v>3297</v>
      </c>
      <c r="AA32" s="3243" t="s">
        <v>3297</v>
      </c>
      <c r="AB32" s="3243" t="s">
        <v>3297</v>
      </c>
    </row>
    <row r="33" spans="1:28">
      <c r="A33" s="3243" t="s">
        <v>3416</v>
      </c>
      <c r="B33" s="3243" t="s">
        <v>3417</v>
      </c>
      <c r="C33" s="3243" t="s">
        <v>3290</v>
      </c>
      <c r="D33" s="3243" t="s">
        <v>3297</v>
      </c>
      <c r="E33" s="3243" t="s">
        <v>3412</v>
      </c>
      <c r="F33" s="3243" t="s">
        <v>3293</v>
      </c>
      <c r="G33" s="3243">
        <v>20008.05</v>
      </c>
      <c r="H33" s="3243">
        <v>50020</v>
      </c>
      <c r="I33" s="3243" t="s">
        <v>3413</v>
      </c>
      <c r="J33" s="3243" t="s">
        <v>3414</v>
      </c>
      <c r="K33" s="3244">
        <v>41565.000497685185</v>
      </c>
      <c r="L33" s="3243" t="s">
        <v>3417</v>
      </c>
      <c r="M33" s="3243" t="s">
        <v>3298</v>
      </c>
      <c r="N33" s="3243" t="s">
        <v>3415</v>
      </c>
      <c r="O33" s="3243">
        <v>6736</v>
      </c>
      <c r="P33" s="3243">
        <v>224.44</v>
      </c>
      <c r="Q33" s="3243">
        <v>224.44</v>
      </c>
      <c r="R33" s="3243">
        <v>1347</v>
      </c>
      <c r="S33" s="3243">
        <v>1347</v>
      </c>
      <c r="T33" s="3243" t="s">
        <v>3297</v>
      </c>
      <c r="U33" s="3243" t="s">
        <v>3297</v>
      </c>
      <c r="V33" s="3243">
        <v>0</v>
      </c>
      <c r="W33" s="3243" t="s">
        <v>3328</v>
      </c>
      <c r="X33" s="3243" t="s">
        <v>3296</v>
      </c>
      <c r="Y33" s="3243" t="s">
        <v>3296</v>
      </c>
      <c r="Z33" s="3243" t="s">
        <v>3297</v>
      </c>
      <c r="AA33" s="3243" t="s">
        <v>3297</v>
      </c>
      <c r="AB33" s="3243" t="s">
        <v>3297</v>
      </c>
    </row>
    <row r="34" spans="1:28">
      <c r="A34" s="3243" t="s">
        <v>3418</v>
      </c>
      <c r="B34" s="3243" t="s">
        <v>3419</v>
      </c>
      <c r="C34" s="3243" t="s">
        <v>3290</v>
      </c>
      <c r="D34" s="3243" t="s">
        <v>3297</v>
      </c>
      <c r="E34" s="3243" t="s">
        <v>3309</v>
      </c>
      <c r="F34" s="3243" t="s">
        <v>3293</v>
      </c>
      <c r="G34" s="3243">
        <v>23898.27</v>
      </c>
      <c r="H34" s="3243">
        <v>28677.82</v>
      </c>
      <c r="I34" s="3243" t="s">
        <v>3319</v>
      </c>
      <c r="J34" s="3243" t="s">
        <v>3320</v>
      </c>
      <c r="K34" s="3244">
        <v>41506.000497685185</v>
      </c>
      <c r="L34" s="3243" t="s">
        <v>3419</v>
      </c>
      <c r="M34" s="3243" t="s">
        <v>3298</v>
      </c>
      <c r="N34" s="3243" t="s">
        <v>3420</v>
      </c>
      <c r="O34" s="3243">
        <v>3863</v>
      </c>
      <c r="P34" s="3243">
        <v>107.76</v>
      </c>
      <c r="Q34" s="3243">
        <v>107.76</v>
      </c>
      <c r="R34" s="3243">
        <v>1347</v>
      </c>
      <c r="S34" s="3243">
        <v>1347</v>
      </c>
      <c r="T34" s="3243" t="s">
        <v>3297</v>
      </c>
      <c r="U34" s="3243" t="s">
        <v>3297</v>
      </c>
      <c r="V34" s="3243">
        <v>0</v>
      </c>
      <c r="W34" s="3243" t="s">
        <v>3328</v>
      </c>
      <c r="X34" s="3243" t="s">
        <v>3296</v>
      </c>
      <c r="Y34" s="3243" t="s">
        <v>3296</v>
      </c>
      <c r="Z34" s="3243" t="s">
        <v>3297</v>
      </c>
      <c r="AA34" s="3243" t="s">
        <v>3297</v>
      </c>
      <c r="AB34" s="3243" t="s">
        <v>3297</v>
      </c>
    </row>
    <row r="35" spans="1:28">
      <c r="A35" s="3243" t="s">
        <v>3421</v>
      </c>
      <c r="B35" s="3243" t="s">
        <v>3422</v>
      </c>
      <c r="C35" s="3243" t="s">
        <v>3290</v>
      </c>
      <c r="D35" s="3243" t="s">
        <v>3297</v>
      </c>
      <c r="E35" s="3243" t="s">
        <v>3309</v>
      </c>
      <c r="F35" s="3243" t="s">
        <v>3293</v>
      </c>
      <c r="G35" s="3243">
        <v>24318.400000000001</v>
      </c>
      <c r="H35" s="3243">
        <v>29182.080000000002</v>
      </c>
      <c r="I35" s="3243" t="s">
        <v>3319</v>
      </c>
      <c r="J35" s="3243" t="s">
        <v>3320</v>
      </c>
      <c r="K35" s="3244">
        <v>41499.000497685185</v>
      </c>
      <c r="L35" s="3243" t="s">
        <v>3422</v>
      </c>
      <c r="M35" s="3243" t="s">
        <v>3298</v>
      </c>
      <c r="N35" s="3243" t="s">
        <v>3423</v>
      </c>
      <c r="O35" s="3243">
        <v>3931</v>
      </c>
      <c r="P35" s="3243">
        <v>107.76</v>
      </c>
      <c r="Q35" s="3243">
        <v>107.76</v>
      </c>
      <c r="R35" s="3243">
        <v>1347</v>
      </c>
      <c r="S35" s="3243">
        <v>1347</v>
      </c>
      <c r="T35" s="3243" t="s">
        <v>3297</v>
      </c>
      <c r="U35" s="3243" t="s">
        <v>3297</v>
      </c>
      <c r="V35" s="3243">
        <v>0</v>
      </c>
      <c r="W35" s="3243" t="s">
        <v>3328</v>
      </c>
      <c r="X35" s="3243" t="s">
        <v>3296</v>
      </c>
      <c r="Y35" s="3243" t="s">
        <v>3296</v>
      </c>
      <c r="Z35" s="3243" t="s">
        <v>3297</v>
      </c>
      <c r="AA35" s="3243" t="s">
        <v>3297</v>
      </c>
      <c r="AB35" s="3243" t="s">
        <v>3297</v>
      </c>
    </row>
    <row r="36" spans="1:28">
      <c r="A36" s="3243" t="s">
        <v>3424</v>
      </c>
      <c r="B36" s="3243" t="s">
        <v>3425</v>
      </c>
      <c r="C36" s="3243" t="s">
        <v>3290</v>
      </c>
      <c r="D36" s="3243" t="s">
        <v>3297</v>
      </c>
      <c r="E36" s="3243" t="s">
        <v>3309</v>
      </c>
      <c r="F36" s="3243" t="s">
        <v>3293</v>
      </c>
      <c r="G36" s="3243">
        <v>28391.14</v>
      </c>
      <c r="H36" s="3243">
        <v>34069.370000000003</v>
      </c>
      <c r="I36" s="3243" t="s">
        <v>3319</v>
      </c>
      <c r="J36" s="3243" t="s">
        <v>3320</v>
      </c>
      <c r="K36" s="3244">
        <v>41499.000497685185</v>
      </c>
      <c r="L36" s="3243" t="s">
        <v>3425</v>
      </c>
      <c r="M36" s="3243" t="s">
        <v>3298</v>
      </c>
      <c r="N36" s="3243" t="s">
        <v>3426</v>
      </c>
      <c r="O36" s="3243">
        <v>4590</v>
      </c>
      <c r="P36" s="3243">
        <v>107.78</v>
      </c>
      <c r="Q36" s="3243">
        <v>107.78</v>
      </c>
      <c r="R36" s="3243">
        <v>1347</v>
      </c>
      <c r="S36" s="3243">
        <v>1347</v>
      </c>
      <c r="T36" s="3243" t="s">
        <v>3297</v>
      </c>
      <c r="U36" s="3243" t="s">
        <v>3297</v>
      </c>
      <c r="V36" s="3243">
        <v>0</v>
      </c>
      <c r="W36" s="3243" t="s">
        <v>3328</v>
      </c>
      <c r="X36" s="3243" t="s">
        <v>3296</v>
      </c>
      <c r="Y36" s="3243" t="s">
        <v>3296</v>
      </c>
      <c r="Z36" s="3243" t="s">
        <v>3297</v>
      </c>
      <c r="AA36" s="3243" t="s">
        <v>3297</v>
      </c>
      <c r="AB36" s="3243" t="s">
        <v>3297</v>
      </c>
    </row>
    <row r="37" spans="1:28">
      <c r="A37" s="3243" t="s">
        <v>3427</v>
      </c>
      <c r="B37" s="3243" t="s">
        <v>3428</v>
      </c>
      <c r="C37" s="3243" t="s">
        <v>3290</v>
      </c>
      <c r="D37" s="3243" t="s">
        <v>3297</v>
      </c>
      <c r="E37" s="3243" t="s">
        <v>3309</v>
      </c>
      <c r="F37" s="3243" t="s">
        <v>3293</v>
      </c>
      <c r="G37" s="3243">
        <v>22140.61</v>
      </c>
      <c r="H37" s="3243">
        <v>26568.73</v>
      </c>
      <c r="I37" s="3243" t="s">
        <v>3319</v>
      </c>
      <c r="J37" s="3243" t="s">
        <v>3320</v>
      </c>
      <c r="K37" s="3244">
        <v>41486.000497685185</v>
      </c>
      <c r="L37" s="3243" t="s">
        <v>3428</v>
      </c>
      <c r="M37" s="3243" t="s">
        <v>3298</v>
      </c>
      <c r="N37" s="3243" t="s">
        <v>3429</v>
      </c>
      <c r="O37" s="3243">
        <v>3579</v>
      </c>
      <c r="P37" s="3243">
        <v>107.77</v>
      </c>
      <c r="Q37" s="3243">
        <v>107.77</v>
      </c>
      <c r="R37" s="3243">
        <v>1347</v>
      </c>
      <c r="S37" s="3243">
        <v>1347</v>
      </c>
      <c r="T37" s="3243" t="s">
        <v>3297</v>
      </c>
      <c r="U37" s="3243" t="s">
        <v>3297</v>
      </c>
      <c r="V37" s="3243">
        <v>0</v>
      </c>
      <c r="W37" s="3243" t="s">
        <v>3328</v>
      </c>
      <c r="X37" s="3243" t="s">
        <v>3296</v>
      </c>
      <c r="Y37" s="3243" t="s">
        <v>3296</v>
      </c>
      <c r="Z37" s="3243" t="s">
        <v>3297</v>
      </c>
      <c r="AA37" s="3243" t="s">
        <v>3297</v>
      </c>
      <c r="AB37" s="3243" t="s">
        <v>3297</v>
      </c>
    </row>
    <row r="38" spans="1:28">
      <c r="A38" s="3243" t="s">
        <v>3430</v>
      </c>
      <c r="B38" s="3243" t="s">
        <v>3431</v>
      </c>
      <c r="C38" s="3243" t="s">
        <v>3290</v>
      </c>
      <c r="D38" s="3243" t="s">
        <v>3297</v>
      </c>
      <c r="E38" s="3243" t="s">
        <v>3309</v>
      </c>
      <c r="F38" s="3243" t="s">
        <v>3293</v>
      </c>
      <c r="G38" s="3243">
        <v>418477.9</v>
      </c>
      <c r="H38" s="3243">
        <v>471488</v>
      </c>
      <c r="I38" s="3243" t="s">
        <v>3432</v>
      </c>
      <c r="J38" s="3243" t="s">
        <v>3320</v>
      </c>
      <c r="K38" s="3244">
        <v>41473.000497685185</v>
      </c>
      <c r="L38" s="3243" t="s">
        <v>3431</v>
      </c>
      <c r="M38" s="3243" t="s">
        <v>3298</v>
      </c>
      <c r="N38" s="3243" t="s">
        <v>3433</v>
      </c>
      <c r="O38" s="3243">
        <v>62420</v>
      </c>
      <c r="P38" s="3243">
        <v>99.44</v>
      </c>
      <c r="Q38" s="3243">
        <v>99.44</v>
      </c>
      <c r="R38" s="3243">
        <v>1324</v>
      </c>
      <c r="S38" s="3243">
        <v>1324</v>
      </c>
      <c r="T38" s="3243" t="s">
        <v>3297</v>
      </c>
      <c r="U38" s="3243" t="s">
        <v>3297</v>
      </c>
      <c r="V38" s="3243">
        <v>0</v>
      </c>
      <c r="W38" s="3243" t="s">
        <v>3328</v>
      </c>
      <c r="X38" s="3243" t="s">
        <v>3296</v>
      </c>
      <c r="Y38" s="3243" t="s">
        <v>3296</v>
      </c>
      <c r="Z38" s="3243" t="s">
        <v>3297</v>
      </c>
      <c r="AA38" s="3243" t="s">
        <v>3297</v>
      </c>
      <c r="AB38" s="3243" t="s">
        <v>3297</v>
      </c>
    </row>
    <row r="39" spans="1:28">
      <c r="A39" s="3243" t="s">
        <v>3434</v>
      </c>
      <c r="B39" s="3243" t="s">
        <v>3435</v>
      </c>
      <c r="C39" s="3243" t="s">
        <v>3290</v>
      </c>
      <c r="D39" s="3243" t="s">
        <v>3297</v>
      </c>
      <c r="E39" s="3243" t="s">
        <v>3309</v>
      </c>
      <c r="F39" s="3243" t="s">
        <v>3293</v>
      </c>
      <c r="G39" s="3243">
        <v>53186.42</v>
      </c>
      <c r="H39" s="3243">
        <v>63823.7</v>
      </c>
      <c r="I39" s="3243" t="s">
        <v>3319</v>
      </c>
      <c r="J39" s="3243" t="s">
        <v>3320</v>
      </c>
      <c r="K39" s="3244">
        <v>41451.000497685185</v>
      </c>
      <c r="L39" s="3243" t="s">
        <v>3436</v>
      </c>
      <c r="M39" s="3243" t="s">
        <v>3298</v>
      </c>
      <c r="N39" s="3243" t="s">
        <v>3311</v>
      </c>
      <c r="O39" s="3243">
        <v>6972</v>
      </c>
      <c r="P39" s="3243">
        <v>87.39</v>
      </c>
      <c r="Q39" s="3243">
        <v>87.39</v>
      </c>
      <c r="R39" s="3243">
        <v>1092</v>
      </c>
      <c r="S39" s="3243">
        <v>1092</v>
      </c>
      <c r="T39" s="3243" t="s">
        <v>3297</v>
      </c>
      <c r="U39" s="3243" t="s">
        <v>3297</v>
      </c>
      <c r="V39" s="3243">
        <v>0</v>
      </c>
      <c r="W39" s="3243" t="s">
        <v>3328</v>
      </c>
      <c r="X39" s="3243" t="s">
        <v>3296</v>
      </c>
      <c r="Y39" s="3243" t="s">
        <v>3296</v>
      </c>
      <c r="Z39" s="3243" t="s">
        <v>3297</v>
      </c>
      <c r="AA39" s="3243" t="s">
        <v>3297</v>
      </c>
      <c r="AB39" s="3243" t="s">
        <v>3297</v>
      </c>
    </row>
    <row r="40" spans="1:28">
      <c r="A40" s="3243" t="s">
        <v>3437</v>
      </c>
      <c r="B40" s="3243" t="s">
        <v>3438</v>
      </c>
      <c r="C40" s="3243" t="s">
        <v>3290</v>
      </c>
      <c r="D40" s="3243" t="s">
        <v>3297</v>
      </c>
      <c r="E40" s="3243" t="s">
        <v>3412</v>
      </c>
      <c r="F40" s="3243" t="s">
        <v>3293</v>
      </c>
      <c r="G40" s="3243">
        <v>26179</v>
      </c>
      <c r="H40" s="3243">
        <v>20943</v>
      </c>
      <c r="I40" s="3243" t="s">
        <v>3439</v>
      </c>
      <c r="J40" s="3243" t="s">
        <v>3320</v>
      </c>
      <c r="K40" s="3244">
        <v>41451.000497685185</v>
      </c>
      <c r="L40" s="3243" t="s">
        <v>3440</v>
      </c>
      <c r="M40" s="3243" t="s">
        <v>3298</v>
      </c>
      <c r="N40" s="3243" t="s">
        <v>3441</v>
      </c>
      <c r="O40" s="3243">
        <v>2863</v>
      </c>
      <c r="P40" s="3243">
        <v>72.91</v>
      </c>
      <c r="Q40" s="3243">
        <v>72.91</v>
      </c>
      <c r="R40" s="3243">
        <v>1367</v>
      </c>
      <c r="S40" s="3243">
        <v>1367</v>
      </c>
      <c r="T40" s="3243" t="s">
        <v>3297</v>
      </c>
      <c r="U40" s="3243" t="s">
        <v>3297</v>
      </c>
      <c r="V40" s="3243">
        <v>0</v>
      </c>
      <c r="W40" s="3243" t="s">
        <v>3328</v>
      </c>
      <c r="X40" s="3243" t="s">
        <v>3296</v>
      </c>
      <c r="Y40" s="3243" t="s">
        <v>3296</v>
      </c>
      <c r="Z40" s="3243" t="s">
        <v>3297</v>
      </c>
      <c r="AA40" s="3243" t="s">
        <v>3297</v>
      </c>
      <c r="AB40" s="3243" t="s">
        <v>3297</v>
      </c>
    </row>
    <row r="41" spans="1:28">
      <c r="A41" s="3243" t="s">
        <v>3442</v>
      </c>
      <c r="B41" s="3243" t="s">
        <v>3443</v>
      </c>
      <c r="C41" s="3243" t="s">
        <v>3290</v>
      </c>
      <c r="D41" s="3243" t="s">
        <v>3297</v>
      </c>
      <c r="E41" s="3243" t="s">
        <v>3309</v>
      </c>
      <c r="F41" s="3243" t="s">
        <v>3293</v>
      </c>
      <c r="G41" s="3243">
        <v>102070.5</v>
      </c>
      <c r="H41" s="3243">
        <v>122484.6</v>
      </c>
      <c r="I41" s="3243" t="s">
        <v>3319</v>
      </c>
      <c r="J41" s="3243" t="s">
        <v>3320</v>
      </c>
      <c r="K41" s="3244">
        <v>41451.000497685185</v>
      </c>
      <c r="L41" s="3243" t="s">
        <v>3444</v>
      </c>
      <c r="M41" s="3243" t="s">
        <v>3298</v>
      </c>
      <c r="N41" s="3243" t="s">
        <v>3311</v>
      </c>
      <c r="O41" s="3243">
        <v>16499</v>
      </c>
      <c r="P41" s="3243">
        <v>107.76</v>
      </c>
      <c r="Q41" s="3243">
        <v>107.76</v>
      </c>
      <c r="R41" s="3243">
        <v>1347</v>
      </c>
      <c r="S41" s="3243">
        <v>1347</v>
      </c>
      <c r="T41" s="3243" t="s">
        <v>3297</v>
      </c>
      <c r="U41" s="3243" t="s">
        <v>3297</v>
      </c>
      <c r="V41" s="3243">
        <v>0</v>
      </c>
      <c r="W41" s="3243" t="s">
        <v>3328</v>
      </c>
      <c r="X41" s="3243" t="s">
        <v>3296</v>
      </c>
      <c r="Y41" s="3243" t="s">
        <v>3296</v>
      </c>
      <c r="Z41" s="3243" t="s">
        <v>3297</v>
      </c>
      <c r="AA41" s="3243" t="s">
        <v>3297</v>
      </c>
      <c r="AB41" s="3243" t="s">
        <v>3297</v>
      </c>
    </row>
    <row r="42" spans="1:28">
      <c r="A42" s="3243" t="s">
        <v>3445</v>
      </c>
      <c r="B42" s="3243" t="s">
        <v>3446</v>
      </c>
      <c r="C42" s="3243" t="s">
        <v>3290</v>
      </c>
      <c r="D42" s="3243" t="s">
        <v>3297</v>
      </c>
      <c r="E42" s="3243" t="s">
        <v>3309</v>
      </c>
      <c r="F42" s="3243" t="s">
        <v>3293</v>
      </c>
      <c r="G42" s="3243">
        <v>24892.799999999999</v>
      </c>
      <c r="H42" s="3243">
        <v>29871.360000000001</v>
      </c>
      <c r="I42" s="3243" t="s">
        <v>3319</v>
      </c>
      <c r="J42" s="3243" t="s">
        <v>3320</v>
      </c>
      <c r="K42" s="3244">
        <v>41451.000497685185</v>
      </c>
      <c r="L42" s="3243" t="s">
        <v>3447</v>
      </c>
      <c r="M42" s="3243" t="s">
        <v>3298</v>
      </c>
      <c r="N42" s="3243" t="s">
        <v>3448</v>
      </c>
      <c r="O42" s="3243">
        <v>4024</v>
      </c>
      <c r="P42" s="3243">
        <v>107.77</v>
      </c>
      <c r="Q42" s="3243">
        <v>107.77</v>
      </c>
      <c r="R42" s="3243">
        <v>1347</v>
      </c>
      <c r="S42" s="3243">
        <v>1347</v>
      </c>
      <c r="T42" s="3243" t="s">
        <v>3297</v>
      </c>
      <c r="U42" s="3243" t="s">
        <v>3297</v>
      </c>
      <c r="V42" s="3243">
        <v>0</v>
      </c>
      <c r="W42" s="3243" t="s">
        <v>3328</v>
      </c>
      <c r="X42" s="3243" t="s">
        <v>3296</v>
      </c>
      <c r="Y42" s="3243" t="s">
        <v>3296</v>
      </c>
      <c r="Z42" s="3243" t="s">
        <v>3297</v>
      </c>
      <c r="AA42" s="3243" t="s">
        <v>3297</v>
      </c>
      <c r="AB42" s="3243" t="s">
        <v>3297</v>
      </c>
    </row>
    <row r="43" spans="1:28">
      <c r="A43" s="3243" t="s">
        <v>3449</v>
      </c>
      <c r="B43" s="3243" t="s">
        <v>3450</v>
      </c>
      <c r="C43" s="3243" t="s">
        <v>3290</v>
      </c>
      <c r="D43" s="3243" t="s">
        <v>3297</v>
      </c>
      <c r="E43" s="3243" t="s">
        <v>3412</v>
      </c>
      <c r="F43" s="3243" t="s">
        <v>3293</v>
      </c>
      <c r="G43" s="3243">
        <v>49789</v>
      </c>
      <c r="H43" s="3243">
        <v>39831</v>
      </c>
      <c r="I43" s="3243" t="s">
        <v>3439</v>
      </c>
      <c r="J43" s="3243" t="s">
        <v>3320</v>
      </c>
      <c r="K43" s="3244">
        <v>41451.000497685185</v>
      </c>
      <c r="L43" s="3243" t="s">
        <v>3451</v>
      </c>
      <c r="M43" s="3243" t="s">
        <v>3298</v>
      </c>
      <c r="N43" s="3243" t="s">
        <v>3452</v>
      </c>
      <c r="O43" s="3243">
        <v>5444</v>
      </c>
      <c r="P43" s="3243">
        <v>72.89</v>
      </c>
      <c r="Q43" s="3243">
        <v>72.89</v>
      </c>
      <c r="R43" s="3243">
        <v>1367</v>
      </c>
      <c r="S43" s="3243">
        <v>1367</v>
      </c>
      <c r="T43" s="3243" t="s">
        <v>3297</v>
      </c>
      <c r="U43" s="3243" t="s">
        <v>3297</v>
      </c>
      <c r="V43" s="3243">
        <v>0</v>
      </c>
      <c r="W43" s="3243" t="s">
        <v>3328</v>
      </c>
      <c r="X43" s="3243" t="s">
        <v>3296</v>
      </c>
      <c r="Y43" s="3243" t="s">
        <v>3296</v>
      </c>
      <c r="Z43" s="3243" t="s">
        <v>3297</v>
      </c>
      <c r="AA43" s="3243" t="s">
        <v>3297</v>
      </c>
      <c r="AB43" s="3243" t="s">
        <v>3297</v>
      </c>
    </row>
    <row r="44" spans="1:28">
      <c r="A44" s="3243" t="s">
        <v>3453</v>
      </c>
      <c r="B44" s="3243" t="s">
        <v>3454</v>
      </c>
      <c r="C44" s="3243" t="s">
        <v>3290</v>
      </c>
      <c r="D44" s="3243" t="s">
        <v>3297</v>
      </c>
      <c r="E44" s="3243" t="s">
        <v>3309</v>
      </c>
      <c r="F44" s="3243" t="s">
        <v>3293</v>
      </c>
      <c r="G44" s="3243">
        <v>53047.19</v>
      </c>
      <c r="H44" s="3243">
        <v>63656.36</v>
      </c>
      <c r="I44" s="3243" t="s">
        <v>3319</v>
      </c>
      <c r="J44" s="3243" t="s">
        <v>3320</v>
      </c>
      <c r="K44" s="3244">
        <v>41451.000497685185</v>
      </c>
      <c r="L44" s="3243" t="s">
        <v>3455</v>
      </c>
      <c r="M44" s="3243" t="s">
        <v>3298</v>
      </c>
      <c r="N44" s="3243" t="s">
        <v>3311</v>
      </c>
      <c r="O44" s="3243">
        <v>8575</v>
      </c>
      <c r="P44" s="3243">
        <v>107.77</v>
      </c>
      <c r="Q44" s="3243">
        <v>107.77</v>
      </c>
      <c r="R44" s="3243">
        <v>1347</v>
      </c>
      <c r="S44" s="3243">
        <v>1347</v>
      </c>
      <c r="T44" s="3243" t="s">
        <v>3297</v>
      </c>
      <c r="U44" s="3243" t="s">
        <v>3297</v>
      </c>
      <c r="V44" s="3243">
        <v>0</v>
      </c>
      <c r="W44" s="3243" t="s">
        <v>3328</v>
      </c>
      <c r="X44" s="3243" t="s">
        <v>3296</v>
      </c>
      <c r="Y44" s="3243" t="s">
        <v>3296</v>
      </c>
      <c r="Z44" s="3243" t="s">
        <v>3297</v>
      </c>
      <c r="AA44" s="3243" t="s">
        <v>3297</v>
      </c>
      <c r="AB44" s="3243" t="s">
        <v>3297</v>
      </c>
    </row>
    <row r="45" spans="1:28">
      <c r="A45" s="3243" t="s">
        <v>3456</v>
      </c>
      <c r="B45" s="3243" t="s">
        <v>3457</v>
      </c>
      <c r="C45" s="3243" t="s">
        <v>3290</v>
      </c>
      <c r="D45" s="3243" t="s">
        <v>3297</v>
      </c>
      <c r="E45" s="3243" t="s">
        <v>3309</v>
      </c>
      <c r="F45" s="3243" t="s">
        <v>3293</v>
      </c>
      <c r="G45" s="3243">
        <v>68273.759999999995</v>
      </c>
      <c r="H45" s="3243">
        <v>68273.759999999995</v>
      </c>
      <c r="I45" s="3243" t="s">
        <v>3350</v>
      </c>
      <c r="J45" s="3243" t="s">
        <v>3320</v>
      </c>
      <c r="K45" s="3244">
        <v>41388.000497685185</v>
      </c>
      <c r="L45" s="3243" t="s">
        <v>3457</v>
      </c>
      <c r="M45" s="3243" t="s">
        <v>3298</v>
      </c>
      <c r="N45" s="3243" t="s">
        <v>3311</v>
      </c>
      <c r="O45" s="3243">
        <v>8808</v>
      </c>
      <c r="P45" s="3243">
        <v>86.01</v>
      </c>
      <c r="Q45" s="3243">
        <v>86.01</v>
      </c>
      <c r="R45" s="3243">
        <v>1290</v>
      </c>
      <c r="S45" s="3243">
        <v>1290</v>
      </c>
      <c r="T45" s="3243" t="s">
        <v>3297</v>
      </c>
      <c r="U45" s="3243" t="s">
        <v>3297</v>
      </c>
      <c r="V45" s="3243">
        <v>0</v>
      </c>
      <c r="W45" s="3243" t="s">
        <v>3328</v>
      </c>
      <c r="X45" s="3243" t="s">
        <v>3296</v>
      </c>
      <c r="Y45" s="3243" t="s">
        <v>3296</v>
      </c>
      <c r="Z45" s="3243" t="s">
        <v>3297</v>
      </c>
      <c r="AA45" s="3243" t="s">
        <v>3297</v>
      </c>
      <c r="AB45" s="3243" t="s">
        <v>3297</v>
      </c>
    </row>
    <row r="46" spans="1:28">
      <c r="A46" s="3243" t="s">
        <v>3458</v>
      </c>
      <c r="B46" s="3243" t="s">
        <v>3459</v>
      </c>
      <c r="C46" s="3243" t="s">
        <v>3290</v>
      </c>
      <c r="D46" s="3243" t="s">
        <v>3297</v>
      </c>
      <c r="E46" s="3243" t="s">
        <v>3393</v>
      </c>
      <c r="F46" s="3243" t="s">
        <v>3293</v>
      </c>
      <c r="G46" s="3243">
        <v>58503</v>
      </c>
      <c r="H46" s="3243">
        <v>117006</v>
      </c>
      <c r="I46" s="3243" t="s">
        <v>3460</v>
      </c>
      <c r="J46" s="3243" t="s">
        <v>3320</v>
      </c>
      <c r="K46" s="3244">
        <v>41388.000497685185</v>
      </c>
      <c r="L46" s="3243" t="s">
        <v>3459</v>
      </c>
      <c r="M46" s="3243" t="s">
        <v>3298</v>
      </c>
      <c r="N46" s="3243" t="s">
        <v>3461</v>
      </c>
      <c r="O46" s="3243">
        <v>5027</v>
      </c>
      <c r="P46" s="3243">
        <v>57.28</v>
      </c>
      <c r="Q46" s="3243">
        <v>57.28</v>
      </c>
      <c r="R46" s="3243">
        <v>430</v>
      </c>
      <c r="S46" s="3243">
        <v>430</v>
      </c>
      <c r="T46" s="3243" t="s">
        <v>3297</v>
      </c>
      <c r="U46" s="3243" t="s">
        <v>3297</v>
      </c>
      <c r="V46" s="3243">
        <v>0</v>
      </c>
      <c r="W46" s="3243" t="s">
        <v>3328</v>
      </c>
      <c r="X46" s="3243" t="s">
        <v>3296</v>
      </c>
      <c r="Y46" s="3243" t="s">
        <v>3296</v>
      </c>
      <c r="Z46" s="3243" t="s">
        <v>3297</v>
      </c>
      <c r="AA46" s="3243" t="s">
        <v>3297</v>
      </c>
      <c r="AB46" s="3243" t="s">
        <v>3297</v>
      </c>
    </row>
    <row r="47" spans="1:28">
      <c r="A47" s="3243" t="s">
        <v>3462</v>
      </c>
      <c r="B47" s="3243" t="s">
        <v>3463</v>
      </c>
      <c r="C47" s="3243" t="s">
        <v>3290</v>
      </c>
      <c r="D47" s="3243" t="s">
        <v>3297</v>
      </c>
      <c r="E47" s="3243" t="s">
        <v>3309</v>
      </c>
      <c r="F47" s="3243" t="s">
        <v>3293</v>
      </c>
      <c r="G47" s="3243">
        <v>13327.3</v>
      </c>
      <c r="H47" s="3243">
        <v>13327.3</v>
      </c>
      <c r="I47" s="3243" t="s">
        <v>3297</v>
      </c>
      <c r="J47" s="3243" t="s">
        <v>3320</v>
      </c>
      <c r="K47" s="3244">
        <v>41330.000497685185</v>
      </c>
      <c r="L47" s="3243" t="s">
        <v>3463</v>
      </c>
      <c r="M47" s="3243" t="s">
        <v>3298</v>
      </c>
      <c r="N47" s="3243" t="s">
        <v>3384</v>
      </c>
      <c r="O47" s="3243">
        <v>1720</v>
      </c>
      <c r="P47" s="3243">
        <v>86.04</v>
      </c>
      <c r="Q47" s="3243">
        <v>86.04</v>
      </c>
      <c r="R47" s="3243">
        <v>1291</v>
      </c>
      <c r="S47" s="3243">
        <v>1291</v>
      </c>
      <c r="T47" s="3243" t="s">
        <v>3297</v>
      </c>
      <c r="U47" s="3243" t="s">
        <v>3297</v>
      </c>
      <c r="V47" s="3243">
        <v>0</v>
      </c>
      <c r="W47" s="3243" t="s">
        <v>3328</v>
      </c>
      <c r="X47" s="3243" t="s">
        <v>3296</v>
      </c>
      <c r="Y47" s="3243" t="s">
        <v>3296</v>
      </c>
      <c r="Z47" s="3243" t="s">
        <v>3297</v>
      </c>
      <c r="AA47" s="3243" t="s">
        <v>3297</v>
      </c>
      <c r="AB47" s="3243" t="s">
        <v>3297</v>
      </c>
    </row>
    <row r="48" spans="1:28">
      <c r="A48" s="3243" t="s">
        <v>3464</v>
      </c>
      <c r="B48" s="3243" t="s">
        <v>3465</v>
      </c>
      <c r="C48" s="3243" t="s">
        <v>3290</v>
      </c>
      <c r="D48" s="3243" t="s">
        <v>3297</v>
      </c>
      <c r="E48" s="3243" t="s">
        <v>3466</v>
      </c>
      <c r="F48" s="3243" t="s">
        <v>3293</v>
      </c>
      <c r="G48" s="3243">
        <v>56416</v>
      </c>
      <c r="H48" s="3243">
        <v>56416</v>
      </c>
      <c r="I48" s="3243" t="s">
        <v>3297</v>
      </c>
      <c r="J48" s="3243" t="s">
        <v>3320</v>
      </c>
      <c r="K48" s="3244">
        <v>41263.000497685185</v>
      </c>
      <c r="L48" s="3243" t="s">
        <v>3467</v>
      </c>
      <c r="M48" s="3243" t="s">
        <v>3298</v>
      </c>
      <c r="N48" s="3243" t="s">
        <v>3468</v>
      </c>
      <c r="O48" s="3243">
        <v>4254</v>
      </c>
      <c r="P48" s="3243">
        <v>50.27</v>
      </c>
      <c r="Q48" s="3243">
        <v>50.27</v>
      </c>
      <c r="R48" s="3243">
        <v>754</v>
      </c>
      <c r="S48" s="3243">
        <v>754</v>
      </c>
      <c r="T48" s="3243" t="s">
        <v>3297</v>
      </c>
      <c r="U48" s="3243" t="s">
        <v>3297</v>
      </c>
      <c r="V48" s="3243">
        <v>0</v>
      </c>
      <c r="W48" s="3243" t="s">
        <v>3328</v>
      </c>
      <c r="X48" s="3243" t="s">
        <v>3296</v>
      </c>
      <c r="Y48" s="3243" t="s">
        <v>3296</v>
      </c>
      <c r="Z48" s="3243" t="s">
        <v>3297</v>
      </c>
      <c r="AA48" s="3243" t="s">
        <v>3297</v>
      </c>
      <c r="AB48" s="3243" t="s">
        <v>3297</v>
      </c>
    </row>
    <row r="49" spans="1:28">
      <c r="A49" s="3243" t="s">
        <v>3469</v>
      </c>
      <c r="B49" s="3243" t="s">
        <v>3470</v>
      </c>
      <c r="C49" s="3243" t="s">
        <v>3290</v>
      </c>
      <c r="D49" s="3243" t="s">
        <v>3297</v>
      </c>
      <c r="E49" s="3243" t="s">
        <v>3466</v>
      </c>
      <c r="F49" s="3243" t="s">
        <v>3293</v>
      </c>
      <c r="G49" s="3243">
        <v>52504</v>
      </c>
      <c r="H49" s="3243">
        <v>52504</v>
      </c>
      <c r="I49" s="3243" t="s">
        <v>3297</v>
      </c>
      <c r="J49" s="3243" t="s">
        <v>3320</v>
      </c>
      <c r="K49" s="3244">
        <v>41095.000497685185</v>
      </c>
      <c r="L49" s="3243" t="s">
        <v>3297</v>
      </c>
      <c r="M49" s="3243" t="s">
        <v>3298</v>
      </c>
      <c r="N49" s="3243" t="s">
        <v>3351</v>
      </c>
      <c r="O49" s="3243">
        <v>3938</v>
      </c>
      <c r="P49" s="3243">
        <v>50</v>
      </c>
      <c r="Q49" s="3243">
        <v>50</v>
      </c>
      <c r="R49" s="3243">
        <v>750</v>
      </c>
      <c r="S49" s="3243">
        <v>750</v>
      </c>
      <c r="T49" s="3243" t="s">
        <v>3297</v>
      </c>
      <c r="U49" s="3243" t="s">
        <v>3297</v>
      </c>
      <c r="V49" s="3243">
        <v>0</v>
      </c>
      <c r="W49" s="3243" t="s">
        <v>3328</v>
      </c>
      <c r="X49" s="3243" t="s">
        <v>3296</v>
      </c>
      <c r="Y49" s="3243" t="s">
        <v>3296</v>
      </c>
      <c r="Z49" s="3243" t="s">
        <v>3297</v>
      </c>
      <c r="AA49" s="3243" t="s">
        <v>3297</v>
      </c>
      <c r="AB49" s="3243" t="s">
        <v>3297</v>
      </c>
    </row>
    <row r="50" spans="1:28">
      <c r="A50" s="3243" t="s">
        <v>3471</v>
      </c>
      <c r="B50" s="3243" t="s">
        <v>3472</v>
      </c>
      <c r="C50" s="3243" t="s">
        <v>3290</v>
      </c>
      <c r="D50" s="3243" t="s">
        <v>3297</v>
      </c>
      <c r="E50" s="3243" t="s">
        <v>3393</v>
      </c>
      <c r="F50" s="3243" t="s">
        <v>3293</v>
      </c>
      <c r="G50" s="3243">
        <v>5934</v>
      </c>
      <c r="H50" s="3243">
        <v>7121</v>
      </c>
      <c r="I50" s="3243" t="s">
        <v>3297</v>
      </c>
      <c r="J50" s="3243" t="s">
        <v>3320</v>
      </c>
      <c r="K50" s="3244">
        <v>41067.000497685185</v>
      </c>
      <c r="L50" s="3243" t="s">
        <v>3297</v>
      </c>
      <c r="M50" s="3243" t="s">
        <v>3298</v>
      </c>
      <c r="N50" s="3243" t="s">
        <v>3473</v>
      </c>
      <c r="O50" s="3243">
        <v>900</v>
      </c>
      <c r="P50" s="3243">
        <v>101.11</v>
      </c>
      <c r="Q50" s="3243">
        <v>101.11</v>
      </c>
      <c r="R50" s="3243">
        <v>1264</v>
      </c>
      <c r="S50" s="3243">
        <v>1264</v>
      </c>
      <c r="T50" s="3243" t="s">
        <v>3297</v>
      </c>
      <c r="U50" s="3243" t="s">
        <v>3297</v>
      </c>
      <c r="V50" s="3243">
        <v>0</v>
      </c>
      <c r="W50" s="3243" t="s">
        <v>3328</v>
      </c>
      <c r="X50" s="3243" t="s">
        <v>3296</v>
      </c>
      <c r="Y50" s="3243" t="s">
        <v>3296</v>
      </c>
      <c r="Z50" s="3243" t="s">
        <v>3297</v>
      </c>
      <c r="AA50" s="3243" t="s">
        <v>3297</v>
      </c>
      <c r="AB50" s="3243" t="s">
        <v>3297</v>
      </c>
    </row>
    <row r="51" spans="1:28">
      <c r="A51" s="3243" t="s">
        <v>3474</v>
      </c>
      <c r="B51" s="3243" t="s">
        <v>3475</v>
      </c>
      <c r="C51" s="3243" t="s">
        <v>3290</v>
      </c>
      <c r="D51" s="3243" t="s">
        <v>3297</v>
      </c>
      <c r="E51" s="3243" t="s">
        <v>3466</v>
      </c>
      <c r="F51" s="3243" t="s">
        <v>3293</v>
      </c>
      <c r="G51" s="3243">
        <v>17893</v>
      </c>
      <c r="H51" s="3243">
        <v>17893</v>
      </c>
      <c r="I51" s="3243" t="s">
        <v>3297</v>
      </c>
      <c r="J51" s="3243" t="s">
        <v>3293</v>
      </c>
      <c r="K51" s="3244">
        <v>40940.000497685185</v>
      </c>
      <c r="L51" s="3243" t="s">
        <v>3297</v>
      </c>
      <c r="M51" s="3243" t="s">
        <v>3298</v>
      </c>
      <c r="N51" s="3243" t="s">
        <v>3332</v>
      </c>
      <c r="O51" s="3243">
        <v>1342</v>
      </c>
      <c r="P51" s="3243">
        <v>50</v>
      </c>
      <c r="Q51" s="3243">
        <v>50</v>
      </c>
      <c r="R51" s="3243">
        <v>750</v>
      </c>
      <c r="S51" s="3243">
        <v>750</v>
      </c>
      <c r="T51" s="3243" t="s">
        <v>3297</v>
      </c>
      <c r="U51" s="3243" t="s">
        <v>3297</v>
      </c>
      <c r="V51" s="3243">
        <v>0</v>
      </c>
      <c r="W51" s="3243" t="s">
        <v>3328</v>
      </c>
      <c r="X51" s="3243" t="s">
        <v>3296</v>
      </c>
      <c r="Y51" s="3243" t="s">
        <v>3296</v>
      </c>
      <c r="Z51" s="3243" t="s">
        <v>3297</v>
      </c>
      <c r="AA51" s="3243" t="s">
        <v>3297</v>
      </c>
      <c r="AB51" s="3243" t="s">
        <v>3297</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2" customWidth="1"/>
    <col min="2" max="9" width="12.109375" style="1612" customWidth="1"/>
    <col min="10" max="16384" width="9" style="1612"/>
  </cols>
  <sheetData>
    <row r="1" spans="1:9" ht="18" thickBot="1">
      <c r="A1" s="3298" t="str">
        <f>IF(项目基本情况!B9="房地产市场价值","估价结果一览表","结果表-2")</f>
        <v>结果表-2</v>
      </c>
      <c r="B1" s="3298"/>
      <c r="C1" s="3298"/>
      <c r="D1" s="3298"/>
      <c r="E1" s="3298"/>
      <c r="F1" s="3298"/>
      <c r="G1" s="3298"/>
      <c r="H1" s="3298"/>
      <c r="I1" s="3298"/>
    </row>
    <row r="2" spans="1:9" ht="30" customHeight="1" thickTop="1">
      <c r="A2" s="3299" t="s">
        <v>1365</v>
      </c>
      <c r="B2" s="3299" t="s">
        <v>1366</v>
      </c>
      <c r="C2" s="3299" t="s">
        <v>1367</v>
      </c>
      <c r="D2" s="3299" t="str">
        <f>结果表!D116</f>
        <v>出让国有建设用地使用权价值</v>
      </c>
      <c r="E2" s="3299"/>
      <c r="F2" s="3299" t="str">
        <f>结果表!F116</f>
        <v>在建建筑物价值</v>
      </c>
      <c r="G2" s="3299"/>
      <c r="H2" s="3299" t="str">
        <f>IF(项目基本情况!B9="房地产市场价值","房地产市场价值","房地产价值")</f>
        <v>房地产价值</v>
      </c>
      <c r="I2" s="3299"/>
    </row>
    <row r="3" spans="1:9" ht="15.6">
      <c r="A3" s="3293"/>
      <c r="B3" s="3293"/>
      <c r="C3" s="3293"/>
      <c r="D3" s="944" t="s">
        <v>1362</v>
      </c>
      <c r="E3" s="944" t="s">
        <v>1368</v>
      </c>
      <c r="F3" s="944" t="s">
        <v>1362</v>
      </c>
      <c r="G3" s="944" t="s">
        <v>1363</v>
      </c>
      <c r="H3" s="944" t="s">
        <v>1362</v>
      </c>
      <c r="I3" s="944" t="s">
        <v>1363</v>
      </c>
    </row>
    <row r="4" spans="1:9" ht="15">
      <c r="A4" s="1640" t="str">
        <f>项目基本情况!S2</f>
        <v>北京市房地产</v>
      </c>
      <c r="B4" s="944">
        <f>项目基本情况!C17</f>
        <v>243924.88</v>
      </c>
      <c r="C4" s="944">
        <f>项目基本情况!C18</f>
        <v>118122.57</v>
      </c>
      <c r="D4" s="944">
        <f ca="1">结果表!D118</f>
        <v>49311</v>
      </c>
      <c r="E4" s="944">
        <f ca="1">结果表!E118</f>
        <v>2021</v>
      </c>
      <c r="F4" s="944">
        <f ca="1">结果表!F118</f>
        <v>110272</v>
      </c>
      <c r="G4" s="944">
        <f ca="1">结果表!G118</f>
        <v>4521</v>
      </c>
      <c r="H4" s="944">
        <f ca="1">结果表!H118</f>
        <v>159583</v>
      </c>
      <c r="I4" s="944">
        <f ca="1">结果表!I118</f>
        <v>6542</v>
      </c>
    </row>
    <row r="5" spans="1:9" ht="30" customHeight="1">
      <c r="A5" s="3293" t="s">
        <v>1364</v>
      </c>
      <c r="B5" s="3293"/>
      <c r="C5" s="3293"/>
      <c r="D5" s="3294" t="str">
        <f ca="1">结果表!D119</f>
        <v>肆亿玖仟叁佰壹拾壹万元整</v>
      </c>
      <c r="E5" s="3294"/>
      <c r="F5" s="3294" t="str">
        <f ca="1">结果表!F119</f>
        <v>壹拾壹亿零贰佰柒拾贰万元整</v>
      </c>
      <c r="G5" s="3294"/>
      <c r="H5" s="3294" t="str">
        <f ca="1">结果表!H119</f>
        <v>壹拾伍亿玖仟伍佰捌拾叁万元整</v>
      </c>
      <c r="I5" s="3294"/>
    </row>
    <row r="6" spans="1:9" ht="15.6">
      <c r="A6" s="3292" t="str">
        <f>结果表!A120</f>
        <v>估价师知悉的法定优先受偿款</v>
      </c>
      <c r="B6" s="3292"/>
      <c r="C6" s="3292"/>
      <c r="D6" s="3292">
        <f>结果表!D120</f>
        <v>0</v>
      </c>
      <c r="E6" s="3292"/>
      <c r="F6" s="3292"/>
      <c r="G6" s="3292"/>
      <c r="H6" s="3292"/>
      <c r="I6" s="3292"/>
    </row>
    <row r="7" spans="1:9" ht="15">
      <c r="A7" s="3293" t="s">
        <v>1364</v>
      </c>
      <c r="B7" s="3293"/>
      <c r="C7" s="3293"/>
      <c r="D7" s="3295" t="str">
        <f>结果表!D121</f>
        <v>零元整</v>
      </c>
      <c r="E7" s="3296"/>
      <c r="F7" s="3296"/>
      <c r="G7" s="3296"/>
      <c r="H7" s="3296"/>
      <c r="I7" s="3297"/>
    </row>
    <row r="8" spans="1:9" ht="15.6">
      <c r="A8" s="3292" t="str">
        <f>结果表!A122</f>
        <v>房地产抵押价值</v>
      </c>
      <c r="B8" s="3292"/>
      <c r="C8" s="3292"/>
      <c r="D8" s="3292">
        <f ca="1">结果表!D122</f>
        <v>159583</v>
      </c>
      <c r="E8" s="3292"/>
      <c r="F8" s="3292"/>
      <c r="G8" s="3292"/>
      <c r="H8" s="3292"/>
      <c r="I8" s="3292"/>
    </row>
    <row r="9" spans="1:9" ht="15">
      <c r="A9" s="3293" t="s">
        <v>1364</v>
      </c>
      <c r="B9" s="3293"/>
      <c r="C9" s="3293"/>
      <c r="D9" s="3294" t="str">
        <f ca="1">结果表!D123</f>
        <v>壹拾伍亿玖仟伍佰捌拾叁万元整</v>
      </c>
      <c r="E9" s="3294"/>
      <c r="F9" s="3294"/>
      <c r="G9" s="3294"/>
      <c r="H9" s="3294"/>
      <c r="I9" s="3294"/>
    </row>
    <row r="10" spans="1:9" ht="15.6">
      <c r="A10" s="3292" t="str">
        <f>结果表!A124</f>
        <v/>
      </c>
      <c r="B10" s="3292"/>
      <c r="C10" s="3292"/>
      <c r="D10" s="3292" t="str">
        <f>结果表!D124</f>
        <v>——</v>
      </c>
      <c r="E10" s="3292"/>
      <c r="F10" s="3292"/>
      <c r="G10" s="3292"/>
      <c r="H10" s="3292"/>
      <c r="I10" s="3292"/>
    </row>
    <row r="11" spans="1:9" ht="15">
      <c r="A11" s="3293" t="s">
        <v>1364</v>
      </c>
      <c r="B11" s="3293"/>
      <c r="C11" s="3293"/>
      <c r="D11" s="3294" t="e">
        <f>结果表!D125</f>
        <v>#VALUE!</v>
      </c>
      <c r="E11" s="3294"/>
      <c r="F11" s="3294"/>
      <c r="G11" s="3294"/>
      <c r="H11" s="3294"/>
      <c r="I11" s="3294"/>
    </row>
    <row r="12" spans="1:9" ht="15.6">
      <c r="A12" s="3292" t="str">
        <f>结果表!A126</f>
        <v/>
      </c>
      <c r="B12" s="3292"/>
      <c r="C12" s="3292"/>
      <c r="D12" s="3292" t="str">
        <f>结果表!D126</f>
        <v>——</v>
      </c>
      <c r="E12" s="3292"/>
      <c r="F12" s="3292"/>
      <c r="G12" s="3292"/>
      <c r="H12" s="3292"/>
      <c r="I12" s="3292"/>
    </row>
    <row r="13" spans="1:9" ht="15.6" thickBot="1">
      <c r="A13" s="3289" t="s">
        <v>1364</v>
      </c>
      <c r="B13" s="3289"/>
      <c r="C13" s="3289"/>
      <c r="D13" s="3290" t="e">
        <f>结果表!D127</f>
        <v>#VALUE!</v>
      </c>
      <c r="E13" s="3290"/>
      <c r="F13" s="3290"/>
      <c r="G13" s="3290"/>
      <c r="H13" s="3290"/>
      <c r="I13" s="3290"/>
    </row>
    <row r="14" spans="1:9" ht="14.4" thickTop="1">
      <c r="A14" s="3291" t="s">
        <v>1369</v>
      </c>
      <c r="B14" s="3291"/>
      <c r="C14" s="3291"/>
      <c r="D14" s="3291"/>
      <c r="E14" s="3291"/>
      <c r="F14" s="3291"/>
      <c r="G14" s="3291"/>
      <c r="H14" s="3291"/>
      <c r="I14" s="3291"/>
    </row>
    <row r="16" spans="1:9" ht="17.399999999999999">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2" customWidth="1"/>
    <col min="2" max="3" width="22.33203125" style="1612" customWidth="1"/>
    <col min="4" max="4" width="23" style="1612" customWidth="1"/>
    <col min="5" max="16384" width="9" style="1612"/>
  </cols>
  <sheetData>
    <row r="1" spans="1:4" ht="17.399999999999999">
      <c r="A1" s="3306" t="s">
        <v>1386</v>
      </c>
      <c r="B1" s="3306"/>
      <c r="C1" s="3306"/>
      <c r="D1" s="3306"/>
    </row>
    <row r="2" spans="1:4" ht="17.399999999999999">
      <c r="A2" s="3307" t="s">
        <v>1370</v>
      </c>
      <c r="B2" s="3307"/>
      <c r="C2" s="3307"/>
      <c r="D2" s="3307"/>
    </row>
    <row r="3" spans="1:4" ht="17.399999999999999">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崔锴</v>
      </c>
      <c r="B5" s="1646">
        <f ca="1">项目基本情况!E4</f>
        <v>0</v>
      </c>
      <c r="C5" s="1649"/>
      <c r="D5" s="1648" t="s">
        <v>1375</v>
      </c>
    </row>
    <row r="6" spans="1:4" ht="17.399999999999999">
      <c r="A6" s="3307" t="s">
        <v>1376</v>
      </c>
      <c r="B6" s="3307"/>
      <c r="C6" s="3307"/>
      <c r="D6" s="3307"/>
    </row>
    <row r="7" spans="1:4" ht="17.399999999999999">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7.399999999999999">
      <c r="A10" s="1651" t="s">
        <v>1378</v>
      </c>
      <c r="B10" s="684"/>
      <c r="C10" s="684"/>
      <c r="D10" s="684"/>
    </row>
    <row r="11" spans="1:4" ht="30" customHeight="1">
      <c r="A11" s="3308" t="s">
        <v>1379</v>
      </c>
      <c r="B11" s="3300"/>
      <c r="C11" s="3300"/>
      <c r="D11" s="3300"/>
    </row>
    <row r="12" spans="1:4" ht="15.6">
      <c r="A12" s="33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0" t="str">
        <f>IF(项目基本情况!B8="抵押","4.本次评估估价师所知悉的法定优先受偿款情况说明如下：","——")</f>
        <v>4.本次评估估价师所知悉的法定优先受偿款情况说明如下：</v>
      </c>
      <c r="B14" s="3305"/>
      <c r="C14" s="3305"/>
      <c r="D14" s="3305"/>
    </row>
    <row r="15" spans="1:4" ht="42" customHeight="1">
      <c r="A15" s="33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0"/>
      <c r="C15" s="3300"/>
      <c r="D15" s="3300"/>
    </row>
    <row r="16" spans="1:4" ht="30" customHeight="1">
      <c r="A16" s="3302" t="s">
        <v>1380</v>
      </c>
      <c r="B16" s="3302"/>
      <c r="C16" s="3302"/>
      <c r="D16" s="3302"/>
    </row>
    <row r="17" spans="1:4" ht="144" customHeight="1">
      <c r="A17" s="3302" t="s">
        <v>1381</v>
      </c>
      <c r="B17" s="3302"/>
      <c r="C17" s="3302"/>
      <c r="D17" s="3302"/>
    </row>
    <row r="18" spans="1:4" ht="15.75" customHeight="1">
      <c r="A18" s="3300" t="str">
        <f>IF(项目基本情况!B8="抵押",结果表!K120,"——")</f>
        <v>故，本次评估不存在估价师知悉的法定优先受偿款</v>
      </c>
      <c r="B18" s="3300"/>
      <c r="C18" s="3300"/>
      <c r="D18" s="3300"/>
    </row>
    <row r="19" spans="1:4" ht="46.5" customHeight="1">
      <c r="A19" s="33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0"/>
      <c r="C19" s="3300"/>
      <c r="D19" s="3300"/>
    </row>
    <row r="20" spans="1:4" ht="57.75" customHeight="1">
      <c r="A20" s="33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0"/>
      <c r="C20" s="3300"/>
      <c r="D20" s="3300"/>
    </row>
    <row r="21" spans="1:4" ht="57.75" customHeight="1">
      <c r="A21" s="33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3"/>
      <c r="C21" s="3303"/>
      <c r="D21" s="3303"/>
    </row>
    <row r="22" spans="1:4" ht="18.75" customHeight="1">
      <c r="A22" s="3304" t="s">
        <v>1382</v>
      </c>
      <c r="B22" s="3304"/>
      <c r="C22" s="3304"/>
      <c r="D22" s="3304"/>
    </row>
    <row r="23" spans="1:4">
      <c r="A23" s="1652"/>
      <c r="B23" s="1624"/>
      <c r="C23" s="1624"/>
      <c r="D23" s="1624"/>
    </row>
    <row r="24" spans="1:4">
      <c r="A24" s="1652"/>
      <c r="B24" s="1624"/>
      <c r="C24" s="1624"/>
      <c r="D24" s="1624"/>
    </row>
    <row r="25" spans="1:4" ht="17.399999999999999">
      <c r="A25" s="1653" t="s">
        <v>1383</v>
      </c>
    </row>
    <row r="26" spans="1:4" ht="17.399999999999999">
      <c r="A26" s="1622"/>
    </row>
    <row r="27" spans="1:4" ht="17.399999999999999">
      <c r="A27" s="1622" t="s">
        <v>1384</v>
      </c>
    </row>
    <row r="30" spans="1:4" ht="17.399999999999999">
      <c r="D30" s="1653" t="s">
        <v>1385</v>
      </c>
    </row>
    <row r="31" spans="1:4" ht="13.5" customHeight="1">
      <c r="C31" s="3301">
        <v>42551</v>
      </c>
      <c r="D31" s="33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0" customWidth="1"/>
    <col min="3" max="10" width="12.44140625" style="1610" customWidth="1"/>
    <col min="11" max="16384" width="9" style="1610"/>
  </cols>
  <sheetData>
    <row r="1" spans="1:10" ht="17.399999999999999">
      <c r="A1" s="1643" t="s">
        <v>657</v>
      </c>
      <c r="B1" s="1654"/>
      <c r="C1" s="1654"/>
      <c r="D1" s="1654"/>
      <c r="E1" s="1654"/>
      <c r="F1" s="1654"/>
      <c r="G1" s="1654"/>
      <c r="H1" s="1654"/>
      <c r="I1" s="1654"/>
      <c r="J1" s="1654"/>
    </row>
    <row r="2" spans="1:10" ht="17.399999999999999">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0" customWidth="1"/>
    <col min="2" max="16384" width="14.44140625" style="1642"/>
  </cols>
  <sheetData>
    <row r="1" spans="1:7" s="1657" customFormat="1" ht="17.399999999999999">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4">
      <c r="A15" s="3314" t="s">
        <v>1393</v>
      </c>
      <c r="B15" s="3309" t="s">
        <v>136</v>
      </c>
      <c r="C15" s="3310"/>
    </row>
    <row r="16" spans="1:7" ht="14.4">
      <c r="A16" s="3315"/>
      <c r="B16" s="3309" t="s">
        <v>69</v>
      </c>
      <c r="C16" s="3310"/>
    </row>
    <row r="17" spans="1:3" ht="14.4">
      <c r="A17" s="3315"/>
      <c r="B17" s="3312" t="s">
        <v>1394</v>
      </c>
      <c r="C17" s="1667" t="s">
        <v>1393</v>
      </c>
    </row>
    <row r="18" spans="1:3" ht="14.4">
      <c r="A18" s="3315"/>
      <c r="B18" s="3312"/>
      <c r="C18" s="1667" t="s">
        <v>1395</v>
      </c>
    </row>
    <row r="19" spans="1:3" ht="14.4">
      <c r="A19" s="3315"/>
      <c r="B19" s="3312"/>
      <c r="C19" s="1667" t="s">
        <v>1396</v>
      </c>
    </row>
    <row r="20" spans="1:3" ht="14.4">
      <c r="A20" s="3316"/>
      <c r="B20" s="3311" t="s">
        <v>1397</v>
      </c>
      <c r="C20" s="3310"/>
    </row>
    <row r="21" spans="1:3" ht="14.4">
      <c r="A21" s="1668" t="s">
        <v>1398</v>
      </c>
      <c r="B21" s="1669"/>
      <c r="C21" s="1670"/>
    </row>
    <row r="22" spans="1:3" ht="14.4">
      <c r="A22" s="3313" t="s">
        <v>1399</v>
      </c>
      <c r="B22" s="3311" t="s">
        <v>1400</v>
      </c>
      <c r="C22" s="3310"/>
    </row>
    <row r="23" spans="1:3" ht="14.4">
      <c r="A23" s="3313"/>
      <c r="B23" s="3311" t="s">
        <v>1401</v>
      </c>
      <c r="C23" s="3310"/>
    </row>
    <row r="24" spans="1:3" ht="14.4">
      <c r="A24" s="3313"/>
      <c r="B24" s="3311" t="s">
        <v>1402</v>
      </c>
      <c r="C24" s="3310"/>
    </row>
    <row r="25" spans="1:3" ht="14.4">
      <c r="A25" s="3313"/>
      <c r="B25" s="3312" t="s">
        <v>1403</v>
      </c>
      <c r="C25" s="1667" t="s">
        <v>1404</v>
      </c>
    </row>
    <row r="26" spans="1:3" ht="14.4">
      <c r="A26" s="3313"/>
      <c r="B26" s="3312"/>
      <c r="C26" s="1667" t="s">
        <v>1405</v>
      </c>
    </row>
    <row r="27" spans="1:3" ht="14.4">
      <c r="A27" s="3313"/>
      <c r="B27" s="3312"/>
      <c r="C27" s="1667" t="s">
        <v>1406</v>
      </c>
    </row>
    <row r="28" spans="1:3" ht="14.4">
      <c r="A28" s="3313"/>
      <c r="B28" s="3312"/>
      <c r="C28" s="1667" t="s">
        <v>1407</v>
      </c>
    </row>
    <row r="29" spans="1:3" ht="14.4">
      <c r="A29" s="3313"/>
      <c r="B29" s="3312"/>
      <c r="C29" s="1667" t="s">
        <v>1408</v>
      </c>
    </row>
    <row r="30" spans="1:3" ht="14.4">
      <c r="A30" s="3313"/>
      <c r="B30" s="3312"/>
      <c r="C30" s="1667" t="s">
        <v>1409</v>
      </c>
    </row>
    <row r="31" spans="1:3" ht="14.4">
      <c r="A31" s="3313"/>
      <c r="B31" s="3312"/>
      <c r="C31" s="1667" t="s">
        <v>1410</v>
      </c>
    </row>
    <row r="32" spans="1:3" ht="14.4">
      <c r="A32" s="3313"/>
      <c r="B32" s="3312"/>
      <c r="C32" s="1667" t="s">
        <v>1411</v>
      </c>
    </row>
    <row r="33" spans="1:3" ht="14.4">
      <c r="A33" s="3313"/>
      <c r="B33" s="3312"/>
      <c r="C33" s="1667" t="s">
        <v>1412</v>
      </c>
    </row>
    <row r="34" spans="1:3">
      <c r="A34" s="1671" t="s">
        <v>76</v>
      </c>
    </row>
    <row r="37" spans="1:3">
      <c r="A37" s="1671" t="s">
        <v>1413</v>
      </c>
    </row>
    <row r="38" spans="1:3" ht="14.4">
      <c r="A38" s="1672" t="s">
        <v>77</v>
      </c>
    </row>
    <row r="39" spans="1:3" ht="14.4">
      <c r="A39" s="1672" t="s">
        <v>78</v>
      </c>
    </row>
    <row r="40" spans="1:3" ht="14.4">
      <c r="A40" s="1672" t="s">
        <v>79</v>
      </c>
    </row>
    <row r="41" spans="1:3" ht="14.4">
      <c r="A41" s="1673" t="s">
        <v>80</v>
      </c>
    </row>
    <row r="42" spans="1:3" ht="14.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09" customWidth="1"/>
    <col min="2" max="2" width="38.6640625" style="2509" customWidth="1"/>
    <col min="3" max="3" width="26" style="2509" customWidth="1"/>
    <col min="4" max="4" width="35" style="2509" hidden="1" customWidth="1"/>
    <col min="5" max="5" width="30.109375" style="2509" customWidth="1"/>
    <col min="6" max="6" width="35.44140625" style="2509" customWidth="1"/>
    <col min="7" max="7" width="31" style="2509" customWidth="1"/>
    <col min="8" max="8" width="37.44140625" style="2509" hidden="1" customWidth="1"/>
    <col min="9" max="16384" width="22.6640625" style="2509"/>
  </cols>
  <sheetData>
    <row r="1" spans="1:8" ht="24" customHeight="1">
      <c r="A1" s="2508"/>
      <c r="B1" s="2508"/>
      <c r="C1" s="2508"/>
      <c r="D1" s="2508"/>
      <c r="E1" s="2508"/>
      <c r="F1" s="2508"/>
      <c r="G1" s="2508"/>
      <c r="H1" s="2508"/>
    </row>
    <row r="2" spans="1:8" ht="24" customHeight="1">
      <c r="A2" s="2510" t="s">
        <v>2637</v>
      </c>
      <c r="B2" s="2511">
        <f ca="1">TODAY()</f>
        <v>44770</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17" t="s">
        <v>2658</v>
      </c>
      <c r="B17" s="3317"/>
      <c r="C17" s="3317"/>
      <c r="D17" s="3317"/>
      <c r="E17" s="3317"/>
      <c r="F17" s="3317"/>
      <c r="G17" s="3317"/>
      <c r="H17" s="3317"/>
    </row>
    <row r="18" spans="1:8" ht="24" customHeight="1">
      <c r="A18" s="3318" t="s">
        <v>2659</v>
      </c>
      <c r="B18" s="3318"/>
      <c r="C18" s="3318"/>
      <c r="D18" s="2515"/>
      <c r="E18" s="3319" t="s">
        <v>2660</v>
      </c>
      <c r="F18" s="3318"/>
      <c r="G18" s="3318"/>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成本法</vt:lpstr>
      <vt:lpstr>成本法 (元)</vt:lpstr>
      <vt:lpstr>假设开发法</vt:lpstr>
      <vt:lpstr>收益法地下车库</vt:lpstr>
      <vt:lpstr>收益法</vt:lpstr>
      <vt:lpstr>收益法地下厂房</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2022-07-26T08:38:19Z</cp:lastPrinted>
  <dcterms:created xsi:type="dcterms:W3CDTF">2015-07-13T07:17:23Z</dcterms:created>
  <dcterms:modified xsi:type="dcterms:W3CDTF">2022-07-28T05:50:01Z</dcterms:modified>
</cp:coreProperties>
</file>