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80" yWindow="-75" windowWidth="14070" windowHeight="122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表"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2" r:id="rId23"/>
    <sheet name="收益法" sheetId="15" r:id="rId24"/>
    <sheet name="收益法地下厂房" sheetId="81"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收益法地下厂房!$A$1:$F$43,收益法地下厂房!$H$3:$M$29,收益法地下厂房!$A$46:$F$71,收益法地下厂房!$I$46:$N$65</definedName>
    <definedName name="_xlnm.Print_Area" localSheetId="22">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9" i="40" l="1"/>
  <c r="F109" i="40"/>
  <c r="D109" i="40"/>
  <c r="O66" i="40"/>
  <c r="N66" i="40"/>
  <c r="E34" i="40"/>
  <c r="E6" i="40"/>
  <c r="E5" i="40"/>
  <c r="E7" i="40"/>
  <c r="E41" i="40"/>
  <c r="AD6" i="80"/>
  <c r="Y28" i="78"/>
  <c r="Y9" i="78"/>
  <c r="K23" i="78" l="1"/>
  <c r="AD2" i="80"/>
  <c r="N7" i="1"/>
  <c r="K17" i="78"/>
  <c r="A3" i="3" l="1"/>
  <c r="K12" i="78"/>
  <c r="K22" i="78"/>
  <c r="AC2" i="78" s="1"/>
  <c r="K11" i="78"/>
  <c r="K21" i="78"/>
  <c r="AB2" i="78" s="1"/>
  <c r="K10" i="78"/>
  <c r="K20" i="78"/>
  <c r="AA2" i="78" s="1"/>
  <c r="K9" i="78"/>
  <c r="K19" i="78"/>
  <c r="Z2" i="78" s="1"/>
  <c r="K8" i="78"/>
  <c r="Q67" i="78"/>
  <c r="K18" i="78" s="1"/>
  <c r="AY3" i="3" s="1"/>
  <c r="T67" i="78"/>
  <c r="R67" i="78"/>
  <c r="G70" i="78"/>
  <c r="E70" i="78"/>
  <c r="D70" i="78"/>
  <c r="K7" i="78" s="1"/>
  <c r="AD2" i="78" l="1"/>
  <c r="AE2" i="78"/>
  <c r="K24" i="78"/>
  <c r="I13" i="3"/>
  <c r="M13" i="3"/>
  <c r="AN13" i="3"/>
  <c r="K13" i="3"/>
  <c r="AL13" i="3"/>
  <c r="D3" i="4"/>
  <c r="E66" i="40" l="1"/>
  <c r="F66" i="40" s="1"/>
  <c r="G66" i="40" s="1"/>
  <c r="H66" i="40" s="1"/>
  <c r="I66" i="40" s="1"/>
  <c r="J66" i="40" s="1"/>
  <c r="K66" i="40" s="1"/>
  <c r="L66" i="40" s="1"/>
  <c r="M66" i="40" s="1"/>
  <c r="D66" i="40"/>
  <c r="I34" i="40"/>
  <c r="G34" i="40"/>
  <c r="C34" i="40"/>
  <c r="I6" i="40"/>
  <c r="G6" i="40"/>
  <c r="I41" i="40"/>
  <c r="G41" i="40"/>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G1" i="81"/>
  <c r="Y6" i="1"/>
  <c r="Y7" i="1" s="1"/>
  <c r="N14" i="1"/>
  <c r="N8" i="1"/>
  <c r="L14" i="1"/>
  <c r="L8" i="1"/>
  <c r="L7" i="1"/>
  <c r="I7" i="1"/>
  <c r="I7" i="40"/>
  <c r="G7" i="40"/>
  <c r="I5" i="40"/>
  <c r="G5" i="40"/>
  <c r="AD4" i="80"/>
  <c r="AD5" i="80"/>
  <c r="AD3" i="80"/>
  <c r="C76" i="81"/>
  <c r="Y8" i="1" l="1"/>
  <c r="D24" i="82"/>
  <c r="P61" i="82"/>
  <c r="D22" i="82"/>
  <c r="Q71" i="81"/>
  <c r="D24" i="81"/>
  <c r="P61" i="81"/>
  <c r="D22" i="81"/>
  <c r="F8" i="82"/>
  <c r="M26" i="81"/>
  <c r="F38" i="81"/>
  <c r="F37" i="82"/>
  <c r="F16" i="82"/>
  <c r="M28" i="82"/>
  <c r="F16" i="81"/>
  <c r="F36" i="82"/>
  <c r="M27" i="81"/>
  <c r="M24" i="81"/>
  <c r="F9" i="82"/>
  <c r="M26" i="82"/>
  <c r="L47" i="82"/>
  <c r="M22" i="81"/>
  <c r="F37" i="81"/>
  <c r="M27" i="82"/>
  <c r="M28" i="81"/>
  <c r="F6" i="82"/>
  <c r="F13" i="82"/>
  <c r="F40" i="81"/>
  <c r="F42" i="82"/>
  <c r="M6" i="81"/>
  <c r="F26" i="82"/>
  <c r="M8" i="81"/>
  <c r="M23" i="81"/>
  <c r="M8" i="82"/>
  <c r="F42" i="81"/>
  <c r="F13" i="81"/>
  <c r="F40" i="82"/>
  <c r="M6" i="82"/>
  <c r="F6" i="81"/>
  <c r="J15" i="81"/>
  <c r="F38" i="82"/>
  <c r="F9" i="81"/>
  <c r="J15" i="82"/>
  <c r="M23" i="82"/>
  <c r="F26" i="81"/>
  <c r="F36" i="81"/>
  <c r="C76" i="82"/>
  <c r="M9" i="81"/>
  <c r="M24" i="82"/>
  <c r="M22" i="82"/>
  <c r="F8" i="81"/>
  <c r="M9" i="82"/>
  <c r="L47" i="81"/>
  <c r="K13" i="78" l="1"/>
  <c r="F64" i="82"/>
  <c r="F66" i="82"/>
  <c r="Q71" i="82"/>
  <c r="C27" i="82"/>
  <c r="F65" i="82"/>
  <c r="F51" i="82"/>
  <c r="F68" i="82"/>
  <c r="F66" i="81"/>
  <c r="F65" i="81"/>
  <c r="C27" i="81"/>
  <c r="F68" i="81"/>
  <c r="F51" i="81"/>
  <c r="F64" i="8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G12" i="1" s="1"/>
  <c r="D13" i="1"/>
  <c r="D7" i="1"/>
  <c r="D8" i="1"/>
  <c r="A7" i="1"/>
  <c r="A8" i="1"/>
  <c r="B8" i="1"/>
  <c r="E8" i="1" s="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F30"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20" i="6" s="1"/>
  <c r="E20" i="6" s="1"/>
  <c r="K7" i="1"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BA13" i="3"/>
  <c r="BA5" i="3" s="1"/>
  <c r="BL17" i="3"/>
  <c r="AZ17" i="3"/>
  <c r="J56" i="9"/>
  <c r="J57" i="9" s="1"/>
  <c r="J59" i="9" s="1"/>
  <c r="J61" i="9" s="1"/>
  <c r="A24" i="51"/>
  <c r="B18" i="72" s="1"/>
  <c r="U29" i="34"/>
  <c r="E5" i="6"/>
  <c r="D9" i="11" s="1"/>
  <c r="C9" i="11" s="1"/>
  <c r="E32" i="6"/>
  <c r="L19" i="6"/>
  <c r="G1" i="68"/>
  <c r="K1" i="12"/>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K11" i="1"/>
  <c r="M11" i="1" s="1"/>
  <c r="AP6" i="1"/>
  <c r="B9" i="1"/>
  <c r="E9" i="1"/>
  <c r="G1" i="15"/>
  <c r="G1" i="69"/>
  <c r="G1" i="67"/>
  <c r="U32" i="40"/>
  <c r="AB31" i="40"/>
  <c r="AB28" i="40"/>
  <c r="W28" i="40"/>
  <c r="W34"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3" i="15"/>
  <c r="F7" i="81"/>
  <c r="F41" i="67"/>
  <c r="J15" i="67"/>
  <c r="F9" i="67"/>
  <c r="D2" i="21"/>
  <c r="F16" i="67"/>
  <c r="B11" i="76"/>
  <c r="AO10" i="1"/>
  <c r="M9" i="67"/>
  <c r="F26" i="15"/>
  <c r="F7" i="73"/>
  <c r="M28" i="67"/>
  <c r="M29" i="15"/>
  <c r="F35" i="67"/>
  <c r="D3" i="73"/>
  <c r="M9" i="15"/>
  <c r="C76" i="15"/>
  <c r="M8" i="15"/>
  <c r="F42" i="15"/>
  <c r="F5" i="73"/>
  <c r="D2" i="34"/>
  <c r="E13" i="76"/>
  <c r="F43" i="15"/>
  <c r="M22" i="15"/>
  <c r="M6" i="15"/>
  <c r="F8" i="15"/>
  <c r="M28" i="15"/>
  <c r="J15" i="15"/>
  <c r="E2" i="69"/>
  <c r="M27" i="67"/>
  <c r="E11" i="76"/>
  <c r="D2" i="35"/>
  <c r="D2" i="37"/>
  <c r="M26" i="67"/>
  <c r="B7" i="76"/>
  <c r="M6" i="67"/>
  <c r="L48" i="81"/>
  <c r="F38" i="15"/>
  <c r="B8" i="76"/>
  <c r="M24" i="67"/>
  <c r="F43" i="67"/>
  <c r="D7" i="73"/>
  <c r="AO12" i="1"/>
  <c r="F37" i="15"/>
  <c r="B10" i="76"/>
  <c r="M26" i="15"/>
  <c r="M29" i="67"/>
  <c r="F8" i="67"/>
  <c r="AO9" i="1"/>
  <c r="E7" i="76"/>
  <c r="M29" i="81"/>
  <c r="F40" i="67"/>
  <c r="F6" i="67"/>
  <c r="D2" i="33"/>
  <c r="F42" i="67"/>
  <c r="D5" i="73"/>
  <c r="L48" i="15"/>
  <c r="F13" i="15"/>
  <c r="E9" i="76"/>
  <c r="F6" i="73"/>
  <c r="F7" i="15"/>
  <c r="F36" i="67"/>
  <c r="F43" i="81"/>
  <c r="F7" i="67"/>
  <c r="L47" i="67"/>
  <c r="F37" i="67"/>
  <c r="M24" i="15"/>
  <c r="E8" i="76"/>
  <c r="D2" i="36"/>
  <c r="F20" i="31"/>
  <c r="F3" i="73"/>
  <c r="M27" i="15"/>
  <c r="L48" i="82"/>
  <c r="M8" i="67"/>
  <c r="E12" i="76"/>
  <c r="D4" i="73"/>
  <c r="F36" i="15"/>
  <c r="F40" i="15"/>
  <c r="F13" i="67"/>
  <c r="M21" i="67"/>
  <c r="F6" i="15"/>
  <c r="C76" i="67"/>
  <c r="F26" i="67"/>
  <c r="B13" i="76"/>
  <c r="F4" i="73"/>
  <c r="D6" i="73"/>
  <c r="L48" i="67"/>
  <c r="AO13" i="1"/>
  <c r="M22" i="67"/>
  <c r="F38" i="67"/>
  <c r="F9" i="15"/>
  <c r="M23" i="67"/>
  <c r="AO11" i="1"/>
  <c r="B12" i="76"/>
  <c r="E2" i="68"/>
  <c r="E10" i="76"/>
  <c r="F16" i="15"/>
  <c r="B9" i="76"/>
  <c r="L47" i="15"/>
  <c r="U34" i="40" l="1"/>
  <c r="T13" i="1"/>
  <c r="T10" i="1"/>
  <c r="T12" i="1"/>
  <c r="AQ9" i="1"/>
  <c r="E15" i="6"/>
  <c r="E60" i="40" s="1"/>
  <c r="AR11" i="1"/>
  <c r="T11" i="1"/>
  <c r="L27" i="6"/>
  <c r="G13" i="3"/>
  <c r="G5" i="3" s="1"/>
  <c r="B3" i="3" s="1"/>
  <c r="E283" i="3" s="1"/>
  <c r="BL13" i="3"/>
  <c r="BL5" i="3" s="1"/>
  <c r="D19" i="12"/>
  <c r="C19" i="12" s="1"/>
  <c r="AZ13" i="3"/>
  <c r="AZ5" i="3" s="1"/>
  <c r="E14" i="6"/>
  <c r="E63" i="39" s="1"/>
  <c r="E11" i="6"/>
  <c r="E60" i="39" s="1"/>
  <c r="E10" i="6"/>
  <c r="F50" i="81"/>
  <c r="C49" i="81" s="1"/>
  <c r="C6" i="81"/>
  <c r="C33" i="81" s="1"/>
  <c r="M7" i="81"/>
  <c r="J6" i="81" s="1"/>
  <c r="F71" i="81"/>
  <c r="E13" i="6"/>
  <c r="L58" i="82"/>
  <c r="L58" i="81"/>
  <c r="G8" i="1"/>
  <c r="C28" i="81"/>
  <c r="C28" i="82"/>
  <c r="J18" i="81"/>
  <c r="C32" i="81"/>
  <c r="J51" i="15"/>
  <c r="G7" i="1"/>
  <c r="J51" i="81"/>
  <c r="L57" i="81" s="1"/>
  <c r="J51" i="82"/>
  <c r="L57" i="82" s="1"/>
  <c r="C21" i="68"/>
  <c r="S34" i="40"/>
  <c r="F36" i="40"/>
  <c r="AA36" i="40" s="1"/>
  <c r="H113" i="40"/>
  <c r="I113" i="40" s="1"/>
  <c r="J113" i="40" s="1"/>
  <c r="K113" i="40" s="1"/>
  <c r="L113" i="40" s="1"/>
  <c r="M113" i="40" s="1"/>
  <c r="H36" i="40"/>
  <c r="AB36" i="40" s="1"/>
  <c r="J36" i="40"/>
  <c r="W36" i="40" s="1"/>
  <c r="S37" i="40"/>
  <c r="AC36" i="40"/>
  <c r="U36" i="40"/>
  <c r="U35" i="40"/>
  <c r="W35" i="40"/>
  <c r="AC32" i="40"/>
  <c r="W32" i="40"/>
  <c r="AA27" i="40"/>
  <c r="AB27" i="40"/>
  <c r="AB33" i="40"/>
  <c r="U25" i="40"/>
  <c r="W25" i="40"/>
  <c r="S25" i="40"/>
  <c r="F92" i="40"/>
  <c r="G92" i="40" s="1"/>
  <c r="J23" i="40"/>
  <c r="H23" i="40"/>
  <c r="AB23" i="40" s="1"/>
  <c r="F23" i="40"/>
  <c r="U23" i="40"/>
  <c r="F90" i="40"/>
  <c r="G90" i="40" s="1"/>
  <c r="J21" i="40"/>
  <c r="W21" i="40" s="1"/>
  <c r="H21" i="40"/>
  <c r="AB21" i="40" s="1"/>
  <c r="F21" i="40"/>
  <c r="U21" i="40"/>
  <c r="AC21" i="40"/>
  <c r="F86" i="40"/>
  <c r="G86" i="40" s="1"/>
  <c r="H17" i="40"/>
  <c r="J17" i="40"/>
  <c r="W17" i="40" s="1"/>
  <c r="F17" i="40"/>
  <c r="AA17" i="40" s="1"/>
  <c r="AC17" i="40"/>
  <c r="S17" i="40"/>
  <c r="F15" i="40"/>
  <c r="S15" i="40" s="1"/>
  <c r="G84" i="40"/>
  <c r="J15" i="40"/>
  <c r="H15" i="40"/>
  <c r="AA15" i="40"/>
  <c r="P61" i="15"/>
  <c r="C94" i="9"/>
  <c r="C92" i="9"/>
  <c r="C5" i="11"/>
  <c r="F28" i="15"/>
  <c r="C28" i="15" s="1"/>
  <c r="F31" i="12"/>
  <c r="F54" i="9"/>
  <c r="M18" i="67"/>
  <c r="F30" i="68"/>
  <c r="C30" i="68" s="1"/>
  <c r="C31" i="12"/>
  <c r="C24" i="12"/>
  <c r="C77" i="9"/>
  <c r="C74" i="9" s="1"/>
  <c r="C13" i="12"/>
  <c r="C36" i="11"/>
  <c r="D68" i="9"/>
  <c r="M18" i="15"/>
  <c r="F32" i="15"/>
  <c r="F60" i="15" s="1"/>
  <c r="F30" i="69"/>
  <c r="F32" i="67"/>
  <c r="F60" i="67" s="1"/>
  <c r="F52" i="9"/>
  <c r="F28" i="67"/>
  <c r="C28" i="67" s="1"/>
  <c r="F30" i="11"/>
  <c r="F53" i="9"/>
  <c r="C21" i="69"/>
  <c r="D22" i="67"/>
  <c r="F76" i="40"/>
  <c r="F11" i="40" s="1"/>
  <c r="AA9" i="40"/>
  <c r="S36" i="40"/>
  <c r="AC9" i="40"/>
  <c r="G30" i="6"/>
  <c r="E28" i="6"/>
  <c r="E102" i="3"/>
  <c r="E220" i="3"/>
  <c r="E571" i="3"/>
  <c r="E524" i="3"/>
  <c r="E176" i="3"/>
  <c r="E147" i="3"/>
  <c r="E339" i="3"/>
  <c r="E15" i="3"/>
  <c r="E54" i="3"/>
  <c r="U6" i="3"/>
  <c r="E196" i="3"/>
  <c r="E406" i="3"/>
  <c r="E468" i="3"/>
  <c r="E171" i="3"/>
  <c r="E74" i="3"/>
  <c r="E78" i="3"/>
  <c r="E209" i="3"/>
  <c r="E354" i="3"/>
  <c r="E48" i="3"/>
  <c r="E284" i="3"/>
  <c r="E19" i="3"/>
  <c r="K8" i="1"/>
  <c r="E7" i="12"/>
  <c r="G27" i="6"/>
  <c r="G31" i="6" s="1"/>
  <c r="D9" i="68"/>
  <c r="C9" i="68" s="1"/>
  <c r="D9" i="69"/>
  <c r="C9" i="69" s="1"/>
  <c r="C36" i="69"/>
  <c r="T9" i="1"/>
  <c r="M6" i="1"/>
  <c r="O6" i="1" s="1"/>
  <c r="P6" i="1" s="1"/>
  <c r="M7" i="1"/>
  <c r="E217" i="3"/>
  <c r="E124" i="3"/>
  <c r="E244" i="3"/>
  <c r="E252" i="3"/>
  <c r="E576" i="3"/>
  <c r="E448" i="3"/>
  <c r="E512" i="3"/>
  <c r="E451" i="3"/>
  <c r="E556" i="3"/>
  <c r="E13" i="3"/>
  <c r="E452" i="3"/>
  <c r="E420" i="3"/>
  <c r="E104" i="3"/>
  <c r="E115" i="3"/>
  <c r="E139" i="3"/>
  <c r="E281" i="3"/>
  <c r="E332" i="3"/>
  <c r="E356" i="3"/>
  <c r="E42" i="3"/>
  <c r="F27" i="6"/>
  <c r="E56" i="39"/>
  <c r="E51" i="40"/>
  <c r="E12" i="6"/>
  <c r="AT6" i="3"/>
  <c r="E261" i="3"/>
  <c r="E528" i="3"/>
  <c r="E183" i="3"/>
  <c r="E361" i="3"/>
  <c r="E503" i="3"/>
  <c r="E388" i="3"/>
  <c r="E555" i="3"/>
  <c r="E410" i="3"/>
  <c r="E337" i="3"/>
  <c r="E143" i="3"/>
  <c r="E270" i="3"/>
  <c r="E533" i="3"/>
  <c r="AR6" i="3"/>
  <c r="E561" i="3"/>
  <c r="E538" i="3"/>
  <c r="E439" i="3"/>
  <c r="E380" i="3"/>
  <c r="E231" i="3"/>
  <c r="E216" i="3"/>
  <c r="E185" i="3"/>
  <c r="E135" i="3"/>
  <c r="E530" i="3"/>
  <c r="E305" i="3"/>
  <c r="E329" i="3"/>
  <c r="E510" i="3"/>
  <c r="E205" i="3"/>
  <c r="E385" i="3"/>
  <c r="AI6" i="3"/>
  <c r="E423" i="3"/>
  <c r="E263" i="3"/>
  <c r="E191" i="3"/>
  <c r="E290" i="3"/>
  <c r="E117" i="3"/>
  <c r="E45" i="3"/>
  <c r="E224" i="3"/>
  <c r="E193" i="3"/>
  <c r="E313" i="3"/>
  <c r="E519" i="3"/>
  <c r="E532" i="3"/>
  <c r="E573" i="3"/>
  <c r="E529" i="3"/>
  <c r="E458" i="3"/>
  <c r="E553" i="3"/>
  <c r="X6" i="3"/>
  <c r="E314" i="3"/>
  <c r="E16" i="3"/>
  <c r="E434" i="3"/>
  <c r="E296" i="3"/>
  <c r="E136" i="3"/>
  <c r="E228" i="3"/>
  <c r="E157" i="3"/>
  <c r="E77" i="3"/>
  <c r="E253" i="3"/>
  <c r="E199" i="3"/>
  <c r="E286" i="3"/>
  <c r="E575" i="3"/>
  <c r="E499" i="3"/>
  <c r="R6" i="3"/>
  <c r="E502" i="3"/>
  <c r="E442"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O8" i="1"/>
  <c r="P8" i="1" s="1"/>
  <c r="O11" i="1"/>
  <c r="P11" i="1" s="1"/>
  <c r="O12" i="1"/>
  <c r="P12" i="1" s="1"/>
  <c r="AY6" i="3"/>
  <c r="E3" i="6"/>
  <c r="O9" i="1"/>
  <c r="D12" i="52"/>
  <c r="D127" i="9"/>
  <c r="D13" i="52" s="1"/>
  <c r="Y5" i="71"/>
  <c r="Z5" i="71" s="1"/>
  <c r="X5" i="71"/>
  <c r="AB5" i="71"/>
  <c r="AA5" i="71"/>
  <c r="C69" i="39"/>
  <c r="D67" i="39"/>
  <c r="D69" i="39"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F7" i="82"/>
  <c r="M29" i="82"/>
  <c r="G1" i="73"/>
  <c r="C14" i="67"/>
  <c r="C16" i="67"/>
  <c r="C16" i="81"/>
  <c r="F43" i="82"/>
  <c r="G16" i="1" l="1"/>
  <c r="F10" i="39" s="1"/>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21" i="3"/>
  <c r="E552" i="3"/>
  <c r="E542" i="3"/>
  <c r="AD6" i="3"/>
  <c r="E312" i="3"/>
  <c r="E141" i="3"/>
  <c r="E167" i="3"/>
  <c r="E212" i="3"/>
  <c r="E149" i="3"/>
  <c r="E181" i="3"/>
  <c r="E236" i="3"/>
  <c r="E262" i="3"/>
  <c r="E306" i="3"/>
  <c r="AK6" i="3"/>
  <c r="E511" i="3"/>
  <c r="E246" i="3"/>
  <c r="N6" i="3"/>
  <c r="E125" i="3"/>
  <c r="E437" i="3"/>
  <c r="E560" i="3"/>
  <c r="Q6" i="3"/>
  <c r="K6" i="3"/>
  <c r="E330" i="3"/>
  <c r="E133" i="3"/>
  <c r="E177" i="3"/>
  <c r="E277" i="3"/>
  <c r="E120" i="3"/>
  <c r="E161" i="3"/>
  <c r="E188" i="3"/>
  <c r="E245" i="3"/>
  <c r="E382" i="3"/>
  <c r="E578" i="3"/>
  <c r="E518" i="3"/>
  <c r="E128" i="3"/>
  <c r="E352" i="3"/>
  <c r="E545" i="3"/>
  <c r="E508" i="3"/>
  <c r="E343" i="3"/>
  <c r="E175" i="3"/>
  <c r="E61" i="3"/>
  <c r="E169" i="3"/>
  <c r="E298" i="3"/>
  <c r="E321" i="3"/>
  <c r="E338" i="3"/>
  <c r="E418" i="3"/>
  <c r="E506" i="3"/>
  <c r="E523" i="3"/>
  <c r="S6" i="3"/>
  <c r="E390" i="3"/>
  <c r="E97" i="3"/>
  <c r="E285" i="3"/>
  <c r="E359" i="3"/>
  <c r="E574" i="3"/>
  <c r="O6" i="3"/>
  <c r="E302" i="3"/>
  <c r="E17" i="3"/>
  <c r="E213" i="3"/>
  <c r="E565" i="3"/>
  <c r="E304" i="3"/>
  <c r="E237" i="3"/>
  <c r="E94" i="3"/>
  <c r="AL6" i="3"/>
  <c r="E391" i="3"/>
  <c r="E243" i="3"/>
  <c r="E225" i="3"/>
  <c r="E198" i="3"/>
  <c r="E41" i="3"/>
  <c r="E26" i="3"/>
  <c r="E470" i="3"/>
  <c r="E494" i="3"/>
  <c r="E497" i="3"/>
  <c r="E360" i="3"/>
  <c r="E408" i="3"/>
  <c r="E469" i="3"/>
  <c r="AG6" i="3"/>
  <c r="E164" i="3"/>
  <c r="E269" i="3"/>
  <c r="E536" i="3"/>
  <c r="E347" i="3"/>
  <c r="Y6" i="3"/>
  <c r="E127" i="3"/>
  <c r="E66" i="3"/>
  <c r="E307" i="3"/>
  <c r="E163" i="3"/>
  <c r="E482" i="3"/>
  <c r="E315" i="3"/>
  <c r="E106" i="3"/>
  <c r="E587" i="3"/>
  <c r="E585" i="3"/>
  <c r="E322" i="3"/>
  <c r="W6" i="3"/>
  <c r="E357" i="3"/>
  <c r="E194" i="3"/>
  <c r="E52" i="3"/>
  <c r="E50" i="3"/>
  <c r="E265" i="3"/>
  <c r="E280" i="3"/>
  <c r="E318" i="3"/>
  <c r="E86" i="3"/>
  <c r="E526" i="3"/>
  <c r="E21" i="3"/>
  <c r="E309" i="3"/>
  <c r="E264" i="3"/>
  <c r="E81" i="3"/>
  <c r="E370" i="3"/>
  <c r="E49" i="3"/>
  <c r="E522" i="3"/>
  <c r="E235" i="3"/>
  <c r="E170" i="3"/>
  <c r="E75" i="3"/>
  <c r="E279" i="3"/>
  <c r="E433" i="3"/>
  <c r="E457" i="3"/>
  <c r="E207" i="3"/>
  <c r="E83" i="3"/>
  <c r="E22" i="3"/>
  <c r="E326" i="3"/>
  <c r="E308" i="3"/>
  <c r="E287" i="3"/>
  <c r="E158" i="3"/>
  <c r="E113" i="3"/>
  <c r="E20" i="3"/>
  <c r="E364" i="3"/>
  <c r="E289" i="3"/>
  <c r="E123" i="3"/>
  <c r="E36" i="3"/>
  <c r="AQ6" i="3"/>
  <c r="E325" i="3"/>
  <c r="E299" i="3"/>
  <c r="E234" i="3"/>
  <c r="E137" i="3"/>
  <c r="E79" i="3"/>
  <c r="E409" i="3"/>
  <c r="E14" i="3"/>
  <c r="E257" i="3"/>
  <c r="E168" i="3"/>
  <c r="E475" i="3"/>
  <c r="E537" i="3"/>
  <c r="E288" i="3"/>
  <c r="E474" i="3"/>
  <c r="E145" i="3"/>
  <c r="I6" i="3"/>
  <c r="AA6" i="3"/>
  <c r="E549" i="3"/>
  <c r="E122" i="3"/>
  <c r="E107" i="3"/>
  <c r="E515" i="3"/>
  <c r="E481" i="3"/>
  <c r="E424" i="3"/>
  <c r="E344" i="3"/>
  <c r="AE6" i="3"/>
  <c r="E429" i="3"/>
  <c r="E496" i="3"/>
  <c r="E55" i="3"/>
  <c r="E73" i="3"/>
  <c r="E203" i="3"/>
  <c r="E256" i="3"/>
  <c r="E274" i="3"/>
  <c r="E394" i="3"/>
  <c r="E580" i="3"/>
  <c r="E32" i="3"/>
  <c r="E428" i="3"/>
  <c r="E412" i="3"/>
  <c r="E96" i="3"/>
  <c r="E129" i="3"/>
  <c r="E142" i="3"/>
  <c r="E200" i="3"/>
  <c r="E267" i="3"/>
  <c r="E249" i="3"/>
  <c r="E300" i="3"/>
  <c r="E371" i="3"/>
  <c r="E310" i="3"/>
  <c r="E492" i="3"/>
  <c r="E23" i="3"/>
  <c r="E84" i="3"/>
  <c r="E67" i="3"/>
  <c r="E33" i="3"/>
  <c r="E144" i="3"/>
  <c r="E184" i="3"/>
  <c r="E233" i="3"/>
  <c r="E355" i="3"/>
  <c r="E381" i="3"/>
  <c r="E68" i="3"/>
  <c r="E63" i="3"/>
  <c r="E268" i="3"/>
  <c r="E513" i="3"/>
  <c r="E118" i="3"/>
  <c r="E232" i="3"/>
  <c r="E383" i="3"/>
  <c r="E455" i="3"/>
  <c r="E111" i="3"/>
  <c r="E411" i="3"/>
  <c r="E101" i="3"/>
  <c r="E365" i="3"/>
  <c r="E218" i="3"/>
  <c r="E62" i="3"/>
  <c r="E340" i="3"/>
  <c r="E112" i="3"/>
  <c r="E392" i="3"/>
  <c r="E219" i="3"/>
  <c r="E100" i="3"/>
  <c r="E93" i="3"/>
  <c r="E208" i="3"/>
  <c r="E471" i="3"/>
  <c r="E438" i="3"/>
  <c r="E148" i="3"/>
  <c r="E397" i="3"/>
  <c r="E271" i="3"/>
  <c r="E472" i="3"/>
  <c r="E465" i="3"/>
  <c r="E577" i="3"/>
  <c r="E454" i="3"/>
  <c r="E146" i="3"/>
  <c r="E214" i="3"/>
  <c r="E362" i="3"/>
  <c r="E488" i="3"/>
  <c r="E18" i="3"/>
  <c r="E190" i="3"/>
  <c r="E248" i="3"/>
  <c r="E266" i="3"/>
  <c r="E386" i="3"/>
  <c r="E584" i="3"/>
  <c r="E24" i="3"/>
  <c r="E87" i="3"/>
  <c r="E250" i="3"/>
  <c r="E341" i="3"/>
  <c r="E51" i="3"/>
  <c r="AJ6" i="3"/>
  <c r="E399" i="3"/>
  <c r="E568" i="3"/>
  <c r="E453" i="3"/>
  <c r="E156" i="3"/>
  <c r="E89" i="3"/>
  <c r="E204" i="3"/>
  <c r="E327" i="3"/>
  <c r="Z6" i="3"/>
  <c r="AO6"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53" i="3"/>
  <c r="E319" i="3"/>
  <c r="E501" i="3"/>
  <c r="E153" i="3"/>
  <c r="E426" i="3"/>
  <c r="E328" i="3"/>
  <c r="E539" i="3"/>
  <c r="E567" i="3"/>
  <c r="E461" i="3"/>
  <c r="E227" i="3"/>
  <c r="E165" i="3"/>
  <c r="E353" i="3"/>
  <c r="E495" i="3"/>
  <c r="AN6" i="3"/>
  <c r="E586" i="3"/>
  <c r="E402" i="3"/>
  <c r="E350" i="3"/>
  <c r="E303" i="3"/>
  <c r="E301" i="3"/>
  <c r="E159" i="3"/>
  <c r="E99" i="3"/>
  <c r="E91" i="3"/>
  <c r="E221" i="3"/>
  <c r="E180" i="3"/>
  <c r="E140" i="3"/>
  <c r="E85" i="3"/>
  <c r="E223" i="3"/>
  <c r="E238" i="3"/>
  <c r="E197" i="3"/>
  <c r="E116" i="3"/>
  <c r="E173" i="3"/>
  <c r="E105" i="3"/>
  <c r="E369" i="3"/>
  <c r="E393" i="3"/>
  <c r="E525" i="3"/>
  <c r="E493" i="3"/>
  <c r="E534" i="3"/>
  <c r="E564" i="3"/>
  <c r="T6" i="3"/>
  <c r="E543" i="3"/>
  <c r="E405" i="3"/>
  <c r="E427" i="3"/>
  <c r="E456" i="3"/>
  <c r="E366" i="3"/>
  <c r="E282" i="3"/>
  <c r="E583" i="3"/>
  <c r="E336" i="3"/>
  <c r="E293" i="3"/>
  <c r="E64" i="39"/>
  <c r="E379" i="3"/>
  <c r="E206" i="3"/>
  <c r="E275" i="3"/>
  <c r="E373" i="3"/>
  <c r="E473" i="3"/>
  <c r="E80" i="3"/>
  <c r="E450" i="3"/>
  <c r="E154" i="3"/>
  <c r="E324" i="3"/>
  <c r="E72" i="3"/>
  <c r="E323" i="3"/>
  <c r="E34" i="3"/>
  <c r="E31" i="3"/>
  <c r="E368" i="3"/>
  <c r="E222" i="3"/>
  <c r="AF6" i="3"/>
  <c r="E35" i="3"/>
  <c r="E174" i="3"/>
  <c r="E351" i="3"/>
  <c r="E562" i="3"/>
  <c r="E82" i="3"/>
  <c r="E179" i="3"/>
  <c r="E251" i="3"/>
  <c r="E342" i="3"/>
  <c r="E38" i="3"/>
  <c r="E150" i="3"/>
  <c r="E527" i="3"/>
  <c r="E16" i="6"/>
  <c r="E59" i="40"/>
  <c r="E56" i="40"/>
  <c r="F71" i="82"/>
  <c r="C6" i="82"/>
  <c r="I37" i="15" s="1"/>
  <c r="F50" i="82"/>
  <c r="C49" i="82" s="1"/>
  <c r="M7" i="82"/>
  <c r="J6" i="82" s="1"/>
  <c r="J18" i="82" s="1"/>
  <c r="M8" i="1"/>
  <c r="E58" i="40"/>
  <c r="E62" i="39"/>
  <c r="F7" i="34"/>
  <c r="L56" i="81"/>
  <c r="F7" i="36"/>
  <c r="J7" i="37"/>
  <c r="H7" i="36"/>
  <c r="U7" i="36" s="1"/>
  <c r="J60" i="81"/>
  <c r="Q48" i="81" s="1"/>
  <c r="J53" i="81"/>
  <c r="J59" i="81"/>
  <c r="N59" i="81"/>
  <c r="J57" i="81"/>
  <c r="J55" i="81" s="1"/>
  <c r="J58" i="81" s="1"/>
  <c r="Q50" i="81" s="1"/>
  <c r="I54" i="81"/>
  <c r="L59" i="81"/>
  <c r="M59" i="81"/>
  <c r="L46" i="81"/>
  <c r="Q73" i="81"/>
  <c r="Q60" i="81"/>
  <c r="L60" i="81"/>
  <c r="L60" i="82"/>
  <c r="L59" i="82"/>
  <c r="M59" i="82"/>
  <c r="J60" i="82"/>
  <c r="Q48" i="82" s="1"/>
  <c r="I54" i="82"/>
  <c r="J59" i="82"/>
  <c r="N59" i="82"/>
  <c r="J57" i="82"/>
  <c r="J55" i="82" s="1"/>
  <c r="J58" i="82" s="1"/>
  <c r="Q50" i="82" s="1"/>
  <c r="J53" i="82"/>
  <c r="L46" i="82"/>
  <c r="Q73" i="82"/>
  <c r="Q60" i="82"/>
  <c r="L56" i="82"/>
  <c r="AA23" i="40"/>
  <c r="S23" i="40"/>
  <c r="AC23" i="40"/>
  <c r="W23" i="40"/>
  <c r="AA21" i="40"/>
  <c r="S21" i="40"/>
  <c r="U17" i="40"/>
  <c r="AB17" i="40"/>
  <c r="AB15" i="40"/>
  <c r="U15" i="40"/>
  <c r="W15" i="40"/>
  <c r="AC15" i="40"/>
  <c r="F11" i="82"/>
  <c r="M11" i="82"/>
  <c r="F11" i="81"/>
  <c r="M11" i="81"/>
  <c r="J10" i="81" s="1"/>
  <c r="J5" i="81" s="1"/>
  <c r="F48" i="68"/>
  <c r="C48" i="68"/>
  <c r="C48" i="11"/>
  <c r="C30" i="11"/>
  <c r="F48" i="69"/>
  <c r="C48" i="69"/>
  <c r="C30" i="69"/>
  <c r="AA11" i="40"/>
  <c r="S11" i="40"/>
  <c r="H11" i="40"/>
  <c r="J11" i="40"/>
  <c r="G76" i="40"/>
  <c r="H76" i="40" s="1"/>
  <c r="I76" i="40" s="1"/>
  <c r="J76" i="40" s="1"/>
  <c r="K76" i="40" s="1"/>
  <c r="L76" i="40" s="1"/>
  <c r="M76" i="40" s="1"/>
  <c r="Q16" i="1"/>
  <c r="E30" i="6"/>
  <c r="K14" i="1"/>
  <c r="C34" i="69" s="1"/>
  <c r="H16" i="1"/>
  <c r="O7" i="1"/>
  <c r="P7" i="1" s="1"/>
  <c r="AC6" i="3"/>
  <c r="E57" i="40"/>
  <c r="E61" i="39"/>
  <c r="E65" i="39" s="1"/>
  <c r="F31" i="6"/>
  <c r="E27" i="6"/>
  <c r="H6" i="3"/>
  <c r="P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17" i="4"/>
  <c r="B4" i="52" s="1"/>
  <c r="B43" i="72" s="1"/>
  <c r="L18" i="9"/>
  <c r="D3" i="37"/>
  <c r="D37" i="11"/>
  <c r="C37" i="11" s="1"/>
  <c r="M18" i="9"/>
  <c r="B118" i="9" s="1"/>
  <c r="B14" i="74" s="1"/>
  <c r="B1" i="74" s="1"/>
  <c r="D3" i="21"/>
  <c r="E6" i="6"/>
  <c r="D14" i="12"/>
  <c r="J10" i="40"/>
  <c r="W10" i="40" s="1"/>
  <c r="H10" i="39"/>
  <c r="AB10" i="39" s="1"/>
  <c r="F10" i="40"/>
  <c r="AA10" i="40" s="1"/>
  <c r="J10" i="39"/>
  <c r="AC10" i="39" s="1"/>
  <c r="H10" i="40"/>
  <c r="U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6" i="82"/>
  <c r="J10" i="82" l="1"/>
  <c r="J5" i="82" s="1"/>
  <c r="J26" i="82" s="1"/>
  <c r="C33" i="82"/>
  <c r="C32" i="82"/>
  <c r="Q52" i="82"/>
  <c r="F1" i="82"/>
  <c r="Q66" i="82"/>
  <c r="Q57" i="82"/>
  <c r="Q74" i="81"/>
  <c r="Q61" i="81"/>
  <c r="Q74" i="82"/>
  <c r="Q61" i="82"/>
  <c r="Q57" i="81"/>
  <c r="Q66" i="81"/>
  <c r="Q52" i="81"/>
  <c r="F1" i="81"/>
  <c r="F24" i="81"/>
  <c r="C24" i="81" s="1"/>
  <c r="F24" i="82"/>
  <c r="C53" i="82"/>
  <c r="C48" i="82" s="1"/>
  <c r="C10" i="82"/>
  <c r="C5" i="82" s="1"/>
  <c r="J26" i="81"/>
  <c r="J24" i="81"/>
  <c r="C53" i="81"/>
  <c r="C48" i="81" s="1"/>
  <c r="C10" i="81"/>
  <c r="C5" i="81" s="1"/>
  <c r="W11" i="40"/>
  <c r="AC11" i="40"/>
  <c r="AB11" i="40"/>
  <c r="U11" i="40"/>
  <c r="C35" i="69"/>
  <c r="C38" i="69"/>
  <c r="M14" i="1"/>
  <c r="K16" i="1"/>
  <c r="F27" i="68"/>
  <c r="F28" i="12"/>
  <c r="C29" i="12" s="1"/>
  <c r="D28" i="12" s="1"/>
  <c r="F27" i="69"/>
  <c r="F27" i="11"/>
  <c r="E6" i="3"/>
  <c r="K24" i="6"/>
  <c r="M24" i="6" s="1"/>
  <c r="I24" i="6" s="1"/>
  <c r="S24" i="6" s="1"/>
  <c r="K21" i="6"/>
  <c r="K25" i="6"/>
  <c r="M25" i="6" s="1"/>
  <c r="I25" i="6" s="1"/>
  <c r="S25" i="6" s="1"/>
  <c r="E31" i="6"/>
  <c r="K23" i="6"/>
  <c r="M23" i="6" s="1"/>
  <c r="I23" i="6" s="1"/>
  <c r="S23" i="6" s="1"/>
  <c r="K20" i="6"/>
  <c r="K19" i="6"/>
  <c r="S6" i="1" s="1"/>
  <c r="K22" i="6"/>
  <c r="M22" i="6" s="1"/>
  <c r="I22" i="6" s="1"/>
  <c r="S22" i="6" s="1"/>
  <c r="K26" i="6"/>
  <c r="M26" i="6" s="1"/>
  <c r="I26" i="6" s="1"/>
  <c r="S26" i="6" s="1"/>
  <c r="U10" i="39"/>
  <c r="W10" i="39"/>
  <c r="AB10" i="40"/>
  <c r="D17" i="12"/>
  <c r="C17" i="12" s="1"/>
  <c r="C14" i="12"/>
  <c r="C20" i="11"/>
  <c r="C28" i="11" s="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0" i="68"/>
  <c r="D10" i="11"/>
  <c r="C10" i="11" s="1"/>
  <c r="D20" i="12"/>
  <c r="C20" i="12" s="1"/>
  <c r="D10" i="69"/>
  <c r="C7" i="74"/>
  <c r="C8" i="74"/>
  <c r="S10" i="40"/>
  <c r="AC10" i="40"/>
  <c r="U7" i="37"/>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E7" i="1"/>
  <c r="C17" i="15"/>
  <c r="AE8" i="1"/>
  <c r="F41" i="82"/>
  <c r="F69" i="15" l="1"/>
  <c r="J29" i="15"/>
  <c r="D30" i="6"/>
  <c r="H25" i="6"/>
  <c r="J24" i="82"/>
  <c r="E6" i="70"/>
  <c r="F69" i="82"/>
  <c r="J29" i="82"/>
  <c r="C38" i="82"/>
  <c r="C24" i="82"/>
  <c r="C66" i="82"/>
  <c r="C60" i="82"/>
  <c r="C38" i="81"/>
  <c r="C66" i="81"/>
  <c r="C60" i="81"/>
  <c r="E29" i="43"/>
  <c r="C29" i="11"/>
  <c r="D27" i="11" s="1"/>
  <c r="C47" i="11"/>
  <c r="D45" i="11" s="1"/>
  <c r="C47" i="69"/>
  <c r="D45" i="69" s="1"/>
  <c r="C29" i="69"/>
  <c r="D27" i="69" s="1"/>
  <c r="F45" i="69"/>
  <c r="F45" i="68"/>
  <c r="C29" i="68"/>
  <c r="D27" i="68" s="1"/>
  <c r="C47" i="68"/>
  <c r="D45" i="68" s="1"/>
  <c r="O14" i="1"/>
  <c r="M16" i="1"/>
  <c r="N16" i="1" s="1"/>
  <c r="H26" i="6"/>
  <c r="R26" i="6" s="1"/>
  <c r="M20" i="6"/>
  <c r="I20" i="6" s="1"/>
  <c r="S7" i="1"/>
  <c r="M21" i="6"/>
  <c r="I21" i="6" s="1"/>
  <c r="S8" i="1"/>
  <c r="AR6" i="1"/>
  <c r="T6" i="1"/>
  <c r="AQ6" i="1"/>
  <c r="H22" i="6"/>
  <c r="R22" i="6" s="1"/>
  <c r="H24" i="6"/>
  <c r="H23" i="6"/>
  <c r="R23" i="6" s="1"/>
  <c r="D16" i="6"/>
  <c r="M19" i="6"/>
  <c r="K27" i="6"/>
  <c r="R25" i="6"/>
  <c r="C10" i="69"/>
  <c r="C8" i="69" s="1"/>
  <c r="C5" i="69" s="1"/>
  <c r="C23" i="69" s="1"/>
  <c r="D19" i="69"/>
  <c r="R24" i="6"/>
  <c r="D7" i="74"/>
  <c r="D8" i="74"/>
  <c r="C10" i="68"/>
  <c r="B29" i="1" s="1"/>
  <c r="D19" i="68"/>
  <c r="C4" i="52"/>
  <c r="B45" i="72" s="1"/>
  <c r="A10" i="51"/>
  <c r="B9" i="72" s="1"/>
  <c r="A7" i="51"/>
  <c r="B7" i="72" s="1"/>
  <c r="D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81"/>
  <c r="C17" i="82"/>
  <c r="E6" i="76"/>
  <c r="C14" i="15"/>
  <c r="B6" i="76"/>
  <c r="F41" i="81"/>
  <c r="D31" i="6" l="1"/>
  <c r="C18" i="15"/>
  <c r="C15" i="15"/>
  <c r="E8" i="70"/>
  <c r="E7" i="70"/>
  <c r="J29" i="81"/>
  <c r="F69" i="81"/>
  <c r="L16" i="1"/>
  <c r="C34" i="68"/>
  <c r="C34" i="11"/>
  <c r="F50" i="69"/>
  <c r="F50" i="68"/>
  <c r="F50" i="11"/>
  <c r="P14" i="1"/>
  <c r="P16" i="1" s="1"/>
  <c r="C11" i="12" s="1"/>
  <c r="O16" i="1"/>
  <c r="AR8" i="1"/>
  <c r="AQ8" i="1"/>
  <c r="T8" i="1"/>
  <c r="AQ7" i="1"/>
  <c r="AR7" i="1"/>
  <c r="T7" i="1"/>
  <c r="S16" i="1"/>
  <c r="S21" i="6"/>
  <c r="H21" i="6"/>
  <c r="R21" i="6" s="1"/>
  <c r="R8" i="1" s="1"/>
  <c r="S20" i="6"/>
  <c r="H20" i="6"/>
  <c r="R20" i="6" s="1"/>
  <c r="R7" i="1" s="1"/>
  <c r="I19" i="6"/>
  <c r="M27" i="6"/>
  <c r="I6" i="6"/>
  <c r="I5" i="6"/>
  <c r="C19" i="69"/>
  <c r="C24" i="69" s="1"/>
  <c r="D37" i="69"/>
  <c r="C37" i="69" s="1"/>
  <c r="C33" i="69" s="1"/>
  <c r="C19" i="68"/>
  <c r="D37" i="68"/>
  <c r="C37" i="68" s="1"/>
  <c r="C20" i="69"/>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14" i="81"/>
  <c r="C14" i="82"/>
  <c r="E2" i="70" l="1"/>
  <c r="C19" i="15"/>
  <c r="C20" i="15" s="1"/>
  <c r="C26" i="15" s="1"/>
  <c r="C15" i="82"/>
  <c r="C18" i="82"/>
  <c r="C18" i="81"/>
  <c r="C15" i="81"/>
  <c r="T16" i="1"/>
  <c r="C15" i="12"/>
  <c r="C12" i="12"/>
  <c r="C38" i="68"/>
  <c r="C35" i="68"/>
  <c r="C38" i="11"/>
  <c r="C35" i="11"/>
  <c r="H19" i="6"/>
  <c r="S19" i="6"/>
  <c r="S27" i="6" s="1"/>
  <c r="I27" i="6"/>
  <c r="C28" i="69"/>
  <c r="C27" i="69" s="1"/>
  <c r="C25" i="69"/>
  <c r="C22" i="69" s="1"/>
  <c r="C24" i="68"/>
  <c r="C39" i="69"/>
  <c r="C43" i="69" s="1"/>
  <c r="C42" i="69"/>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19" i="82" l="1"/>
  <c r="C20" i="82" s="1"/>
  <c r="C26" i="82" s="1"/>
  <c r="C19" i="81"/>
  <c r="C20" i="81" s="1"/>
  <c r="C26" i="81" s="1"/>
  <c r="C23" i="15"/>
  <c r="C29" i="15" s="1"/>
  <c r="C33" i="11"/>
  <c r="C39" i="11" s="1"/>
  <c r="C31" i="69"/>
  <c r="C41" i="69"/>
  <c r="C16" i="12"/>
  <c r="C33" i="68"/>
  <c r="C42" i="68" s="1"/>
  <c r="H27" i="6"/>
  <c r="R19" i="6"/>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82" l="1"/>
  <c r="C29" i="82" s="1"/>
  <c r="C57" i="82" s="1"/>
  <c r="C57" i="15"/>
  <c r="Q49" i="15"/>
  <c r="J14" i="15"/>
  <c r="C36" i="15"/>
  <c r="C13" i="15"/>
  <c r="J19" i="15"/>
  <c r="C23" i="81"/>
  <c r="C29" i="81" s="1"/>
  <c r="C42" i="11"/>
  <c r="C49" i="69"/>
  <c r="C51" i="69" s="1"/>
  <c r="C52" i="69" s="1"/>
  <c r="B2" i="69" s="1"/>
  <c r="B3" i="69" s="1"/>
  <c r="C39" i="68"/>
  <c r="C43" i="68" s="1"/>
  <c r="C41" i="68" s="1"/>
  <c r="C46" i="11"/>
  <c r="C45" i="11" s="1"/>
  <c r="C43" i="1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F35" i="82"/>
  <c r="M21" i="15"/>
  <c r="M21" i="81"/>
  <c r="F35" i="81"/>
  <c r="M21" i="82"/>
  <c r="J19" i="82" l="1"/>
  <c r="C13" i="82"/>
  <c r="C75" i="82" s="1"/>
  <c r="J14" i="82"/>
  <c r="J13" i="82" s="1"/>
  <c r="J23" i="82" s="1"/>
  <c r="Q49" i="82"/>
  <c r="C36" i="82"/>
  <c r="C36" i="81"/>
  <c r="J14" i="81"/>
  <c r="Q49" i="81"/>
  <c r="C57" i="81"/>
  <c r="J19" i="81"/>
  <c r="C13" i="81"/>
  <c r="C56" i="15"/>
  <c r="C65" i="15" s="1"/>
  <c r="Q70" i="15"/>
  <c r="C75" i="15"/>
  <c r="C37" i="15"/>
  <c r="J13" i="15"/>
  <c r="J23" i="15" s="1"/>
  <c r="J22" i="15"/>
  <c r="C61" i="15"/>
  <c r="C64" i="15"/>
  <c r="C64" i="82"/>
  <c r="C61" i="82"/>
  <c r="C41" i="11"/>
  <c r="C49" i="11" s="1"/>
  <c r="C51" i="11" s="1"/>
  <c r="C52" i="11" s="1"/>
  <c r="B2" i="11" s="1"/>
  <c r="B3" i="11" s="1"/>
  <c r="F63" i="82"/>
  <c r="C62" i="82" s="1"/>
  <c r="C34" i="82"/>
  <c r="C31" i="82" s="1"/>
  <c r="J20" i="82"/>
  <c r="J20" i="81"/>
  <c r="J17" i="81" s="1"/>
  <c r="F63" i="81"/>
  <c r="C62" i="81" s="1"/>
  <c r="C34" i="81"/>
  <c r="C31" i="81" s="1"/>
  <c r="J20" i="15"/>
  <c r="J17" i="15" s="1"/>
  <c r="F63" i="15"/>
  <c r="C62" i="15" s="1"/>
  <c r="C59" i="15" s="1"/>
  <c r="C34" i="15"/>
  <c r="C31" i="15" s="1"/>
  <c r="C30" i="15" s="1"/>
  <c r="C39" i="15" s="1"/>
  <c r="R16" i="1"/>
  <c r="C46" i="68"/>
  <c r="C45" i="68" s="1"/>
  <c r="C49" i="68" s="1"/>
  <c r="C51" i="68" s="1"/>
  <c r="F35" i="9"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70" i="82" l="1"/>
  <c r="C37" i="82"/>
  <c r="C30" i="82" s="1"/>
  <c r="C39" i="82" s="1"/>
  <c r="C40" i="82" s="1"/>
  <c r="J17" i="82"/>
  <c r="J22" i="82"/>
  <c r="C59" i="82"/>
  <c r="C58" i="15"/>
  <c r="C67" i="15" s="1"/>
  <c r="C68" i="15" s="1"/>
  <c r="C71" i="15" s="1"/>
  <c r="C56" i="82"/>
  <c r="C65" i="82" s="1"/>
  <c r="J16" i="15"/>
  <c r="J25" i="15" s="1"/>
  <c r="C75" i="81"/>
  <c r="C37" i="81"/>
  <c r="C30" i="81" s="1"/>
  <c r="C39" i="81" s="1"/>
  <c r="Q70" i="81"/>
  <c r="C56" i="81"/>
  <c r="C65" i="81" s="1"/>
  <c r="C64" i="81"/>
  <c r="C61" i="81"/>
  <c r="C59" i="81" s="1"/>
  <c r="J13" i="81"/>
  <c r="J23" i="81" s="1"/>
  <c r="J22" i="81"/>
  <c r="Q67" i="15"/>
  <c r="L57" i="15"/>
  <c r="L60" i="15" s="1"/>
  <c r="C80" i="15"/>
  <c r="C79" i="15" s="1"/>
  <c r="Q69" i="15"/>
  <c r="Q68" i="15" s="1"/>
  <c r="C40" i="15"/>
  <c r="C56" i="11"/>
  <c r="C57" i="11" s="1"/>
  <c r="M69" i="39"/>
  <c r="N67" i="39"/>
  <c r="R39" i="35"/>
  <c r="E38" i="35"/>
  <c r="M63" i="40"/>
  <c r="L65" i="40"/>
  <c r="L51" i="82"/>
  <c r="L51" i="81"/>
  <c r="C46" i="15" l="1"/>
  <c r="J16" i="82"/>
  <c r="J25" i="82" s="1"/>
  <c r="Q69" i="82"/>
  <c r="Q68" i="82" s="1"/>
  <c r="C80" i="82"/>
  <c r="C79" i="82" s="1"/>
  <c r="C58" i="82"/>
  <c r="C67" i="82" s="1"/>
  <c r="C68" i="82" s="1"/>
  <c r="C71" i="82" s="1"/>
  <c r="J16" i="81"/>
  <c r="J25" i="81" s="1"/>
  <c r="C58" i="81"/>
  <c r="C67" i="81" s="1"/>
  <c r="C68" i="81" s="1"/>
  <c r="C71" i="81" s="1"/>
  <c r="Q69" i="81"/>
  <c r="Q68" i="81" s="1"/>
  <c r="C80" i="81"/>
  <c r="C79" i="81" s="1"/>
  <c r="C40" i="81"/>
  <c r="Q47" i="81" s="1"/>
  <c r="Q53" i="81" s="1"/>
  <c r="Q67" i="82"/>
  <c r="Q47" i="82"/>
  <c r="Q53" i="82" s="1"/>
  <c r="B2" i="82"/>
  <c r="Q65" i="82"/>
  <c r="Q75" i="82" s="1"/>
  <c r="Q56" i="82"/>
  <c r="Q62" i="82" s="1"/>
  <c r="C43" i="82"/>
  <c r="C83" i="82"/>
  <c r="C82" i="82" s="1"/>
  <c r="Q67" i="81"/>
  <c r="Q65" i="15"/>
  <c r="Q47" i="15"/>
  <c r="Q53" i="15" s="1"/>
  <c r="Q56" i="15"/>
  <c r="C43" i="15"/>
  <c r="C83" i="15"/>
  <c r="C82" i="15" s="1"/>
  <c r="L46" i="15"/>
  <c r="B2" i="15" s="1"/>
  <c r="Q57" i="15"/>
  <c r="Q66" i="15"/>
  <c r="O67" i="39"/>
  <c r="O69" i="39" s="1"/>
  <c r="N69" i="39"/>
  <c r="F7" i="39" s="1"/>
  <c r="C39" i="35"/>
  <c r="B2" i="35" s="1"/>
  <c r="B3" i="35" s="1"/>
  <c r="C38" i="35"/>
  <c r="M65" i="40"/>
  <c r="E43" i="35"/>
  <c r="F43" i="35" s="1"/>
  <c r="E42" i="35"/>
  <c r="F42" i="35" s="1"/>
  <c r="I43" i="35"/>
  <c r="J43" i="35" s="1"/>
  <c r="AO6" i="1"/>
  <c r="AO8" i="1"/>
  <c r="Q62" i="15" l="1"/>
  <c r="C46" i="82"/>
  <c r="C46" i="81"/>
  <c r="C43" i="81"/>
  <c r="Q65" i="81"/>
  <c r="Q75" i="81" s="1"/>
  <c r="C83" i="81"/>
  <c r="C82" i="81" s="1"/>
  <c r="Q56" i="81"/>
  <c r="Q62" i="81" s="1"/>
  <c r="B2" i="81"/>
  <c r="B3" i="81" s="1"/>
  <c r="B8" i="70"/>
  <c r="B3" i="82"/>
  <c r="Q75" i="15"/>
  <c r="B6" i="70"/>
  <c r="B3" i="15"/>
  <c r="H7" i="39"/>
  <c r="J7" i="39"/>
  <c r="S7" i="39"/>
  <c r="AA7" i="39"/>
  <c r="R47" i="39" s="1"/>
  <c r="O65" i="40"/>
  <c r="N65" i="40"/>
  <c r="AO7" i="1"/>
  <c r="B7" i="70" l="1"/>
  <c r="B2" i="70" s="1"/>
  <c r="W7" i="39"/>
  <c r="AC7" i="39"/>
  <c r="V47" i="39" s="1"/>
  <c r="I47" i="39" s="1"/>
  <c r="E47" i="39"/>
  <c r="R48" i="39"/>
  <c r="U7" i="39"/>
  <c r="AB7" i="39"/>
  <c r="T47" i="39" s="1"/>
  <c r="G47" i="39" s="1"/>
  <c r="J7" i="40"/>
  <c r="F7" i="40"/>
  <c r="H7" i="40"/>
  <c r="D19" i="9"/>
  <c r="D102" i="9" l="1"/>
  <c r="D21" i="9"/>
  <c r="B3"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AB3" i="78" s="1"/>
  <c r="B54" i="40"/>
  <c r="F54" i="40" s="1"/>
  <c r="B53" i="40"/>
  <c r="F53" i="40" s="1"/>
  <c r="B59" i="40"/>
  <c r="F59" i="40" s="1"/>
  <c r="B52" i="40"/>
  <c r="F52" i="40" s="1"/>
  <c r="B56" i="40"/>
  <c r="F56" i="40" s="1"/>
  <c r="B60" i="40"/>
  <c r="F60" i="40" s="1"/>
  <c r="B57" i="40"/>
  <c r="F57" i="40" s="1"/>
  <c r="AA3" i="78" s="1"/>
  <c r="B51" i="40"/>
  <c r="F51" i="40" s="1"/>
  <c r="Z3" i="78" s="1"/>
  <c r="AD3" i="78" s="1"/>
  <c r="F61" i="40" l="1"/>
  <c r="B2" i="40" s="1"/>
  <c r="B3" i="40" s="1"/>
  <c r="C6" i="68" l="1"/>
  <c r="C7" i="68" s="1"/>
  <c r="C8" i="68"/>
  <c r="C18" i="12"/>
  <c r="C21" i="12" s="1"/>
  <c r="C5" i="68" l="1"/>
  <c r="C20" i="68" s="1"/>
  <c r="C25" i="68" s="1"/>
  <c r="C22" i="12"/>
  <c r="C27" i="12" s="1"/>
  <c r="C25" i="12" s="1"/>
  <c r="C23" i="68" l="1"/>
  <c r="C22" i="68" s="1"/>
  <c r="C28" i="68"/>
  <c r="C27" i="68" s="1"/>
  <c r="C30" i="12"/>
  <c r="C28" i="12" s="1"/>
  <c r="C32" i="12" s="1"/>
  <c r="B2" i="12" s="1"/>
  <c r="B3" i="12" s="1"/>
  <c r="C31" i="68" l="1"/>
  <c r="C52" i="68" s="1"/>
  <c r="B2" i="68" s="1"/>
  <c r="B3" i="68" s="1"/>
  <c r="C20" i="9"/>
  <c r="C19" i="9"/>
  <c r="D22" i="9" l="1"/>
  <c r="C21" i="9"/>
  <c r="C102" i="9"/>
  <c r="G19" i="9"/>
  <c r="W67" i="78" s="1"/>
  <c r="C57" i="68"/>
  <c r="G20" i="9"/>
  <c r="C103" i="9"/>
  <c r="G21" i="9" l="1"/>
  <c r="F34" i="9"/>
  <c r="C32" i="9"/>
  <c r="C56" i="68"/>
  <c r="H118" i="9" l="1"/>
  <c r="AG3" i="78" s="1"/>
  <c r="C104" i="9" l="1"/>
  <c r="I118" i="9"/>
  <c r="H101" i="9"/>
  <c r="H4" i="52"/>
  <c r="D14" i="74"/>
  <c r="H119" i="9"/>
  <c r="H5" i="52" s="1"/>
  <c r="E14" i="74" l="1"/>
  <c r="B5" i="74"/>
  <c r="F14" i="74"/>
  <c r="D5" i="53"/>
  <c r="H107" i="9"/>
  <c r="M48" i="9"/>
  <c r="D45" i="9"/>
  <c r="C105" i="9"/>
  <c r="H102" i="9"/>
  <c r="D7" i="53" s="1"/>
  <c r="B21" i="72" s="1"/>
  <c r="I4" i="52"/>
  <c r="D52" i="9" l="1"/>
  <c r="C93" i="9"/>
  <c r="C86" i="9" s="1"/>
  <c r="D55" i="9"/>
  <c r="M53" i="9" s="1"/>
  <c r="C72" i="9"/>
  <c r="C85" i="9"/>
  <c r="D53" i="9"/>
  <c r="C78" i="9"/>
  <c r="C73" i="9" s="1"/>
  <c r="C64" i="9"/>
  <c r="C63" i="9" s="1"/>
  <c r="C67" i="9" s="1"/>
  <c r="D122" i="9"/>
  <c r="H108" i="9"/>
  <c r="D15" i="53" s="1"/>
  <c r="B31" i="72" s="1"/>
  <c r="D13" i="53"/>
  <c r="M49" i="9"/>
  <c r="B20" i="72"/>
  <c r="D6" i="53"/>
  <c r="B22" i="72" s="1"/>
  <c r="C5" i="74"/>
  <c r="D5" i="74"/>
  <c r="C95" i="9" l="1"/>
  <c r="C96" i="9" s="1"/>
  <c r="E96" i="9" s="1"/>
  <c r="E97" i="9" s="1"/>
  <c r="B30" i="72"/>
  <c r="D14" i="53"/>
  <c r="B32" i="72" s="1"/>
  <c r="G14" i="74"/>
  <c r="B6" i="74" s="1"/>
  <c r="D8" i="52"/>
  <c r="D123" i="9"/>
  <c r="D9" i="52" s="1"/>
  <c r="C97" i="9"/>
  <c r="D58" i="9" s="1"/>
  <c r="D56" i="9" s="1"/>
  <c r="M54" i="9" s="1"/>
  <c r="L66" i="9"/>
  <c r="M66" i="9" s="1"/>
  <c r="L68" i="9"/>
  <c r="M68" i="9" s="1"/>
  <c r="L65" i="9"/>
  <c r="M65" i="9" s="1"/>
  <c r="L67" i="9"/>
  <c r="M67" i="9" s="1"/>
  <c r="L64" i="9"/>
  <c r="M64" i="9" s="1"/>
  <c r="L63" i="9"/>
  <c r="M63" i="9" s="1"/>
  <c r="C68" i="9"/>
  <c r="D54" i="9" s="1"/>
  <c r="D59" i="9"/>
  <c r="M55" i="9" s="1"/>
  <c r="C79" i="9"/>
  <c r="M69" i="9" l="1"/>
  <c r="N69" i="9" s="1"/>
  <c r="N57" i="9"/>
  <c r="N58" i="9" s="1"/>
  <c r="C80" i="9"/>
  <c r="E80" i="9" s="1"/>
  <c r="E81" i="9" s="1"/>
  <c r="C6" i="74"/>
  <c r="D6" i="74"/>
  <c r="C81" i="9" l="1"/>
  <c r="P57" i="9"/>
  <c r="N59" i="9"/>
  <c r="N60" i="9" s="1"/>
  <c r="N61" i="9" l="1"/>
  <c r="D35" i="9" l="1"/>
  <c r="C35" i="9" l="1"/>
  <c r="F118" i="9" s="1"/>
  <c r="D34" i="9"/>
  <c r="C34" i="9" l="1"/>
  <c r="D118" i="9" s="1"/>
  <c r="AI3" i="78" s="1"/>
  <c r="AB5" i="78" s="1"/>
  <c r="AB6" i="78" s="1"/>
  <c r="F119" i="9"/>
  <c r="F5" i="52" s="1"/>
  <c r="B53" i="72" s="1"/>
  <c r="F4" i="52"/>
  <c r="B51" i="72" s="1"/>
  <c r="AH3" i="78"/>
  <c r="G118" i="9"/>
  <c r="G4" i="52" s="1"/>
  <c r="B52" i="72" s="1"/>
  <c r="Z8" i="78" l="1"/>
  <c r="V7" i="78" s="1"/>
  <c r="E118" i="9"/>
  <c r="E4" i="52" s="1"/>
  <c r="B48" i="72" s="1"/>
  <c r="Z5" i="78"/>
  <c r="Z6" i="78" s="1"/>
  <c r="V11" i="78" s="1"/>
  <c r="AA5" i="78"/>
  <c r="AA6" i="78" s="1"/>
  <c r="D119" i="9"/>
  <c r="D5" i="52" s="1"/>
  <c r="B49" i="72" s="1"/>
  <c r="D4" i="52"/>
  <c r="B47" i="72" s="1"/>
  <c r="V27" i="78"/>
  <c r="V66" i="78" l="1"/>
  <c r="V26" i="78"/>
  <c r="V5" i="78"/>
  <c r="V53" i="78"/>
  <c r="V61" i="78"/>
  <c r="V52" i="78"/>
  <c r="V6" i="78"/>
  <c r="V32" i="78"/>
  <c r="V30" i="78"/>
  <c r="V28" i="78"/>
  <c r="V9" i="78"/>
  <c r="V48" i="78"/>
  <c r="V10" i="78"/>
  <c r="V58" i="78"/>
  <c r="V40" i="78"/>
  <c r="V18" i="78"/>
  <c r="V49" i="78"/>
  <c r="V62" i="78"/>
  <c r="V54" i="78"/>
  <c r="V44" i="78"/>
  <c r="V36" i="78"/>
  <c r="V22" i="78"/>
  <c r="V14" i="78"/>
  <c r="V63" i="78"/>
  <c r="V33" i="78"/>
  <c r="V8" i="78"/>
  <c r="V64" i="78"/>
  <c r="V60" i="78"/>
  <c r="V56" i="78"/>
  <c r="V50" i="78"/>
  <c r="V46" i="78"/>
  <c r="V42" i="78"/>
  <c r="V38" i="78"/>
  <c r="V34" i="78"/>
  <c r="V24" i="78"/>
  <c r="V20" i="78"/>
  <c r="V16" i="78"/>
  <c r="V12" i="78"/>
  <c r="V4" i="78"/>
  <c r="V59" i="78"/>
  <c r="V41" i="78"/>
  <c r="V23" i="78"/>
  <c r="V55" i="78"/>
  <c r="V45" i="78"/>
  <c r="V37" i="78"/>
  <c r="V29" i="78"/>
  <c r="V19" i="78"/>
  <c r="X53" i="78"/>
  <c r="V65" i="78"/>
  <c r="V57" i="78"/>
  <c r="V51" i="78"/>
  <c r="V47" i="78"/>
  <c r="V43" i="78"/>
  <c r="V39" i="78"/>
  <c r="V35" i="78"/>
  <c r="V31" i="78"/>
  <c r="V25" i="78"/>
  <c r="V21" i="78"/>
  <c r="V17" i="78"/>
  <c r="V13" i="78"/>
  <c r="V15" i="78"/>
  <c r="X28" i="78"/>
  <c r="X30" i="78" l="1"/>
  <c r="X9" i="78"/>
  <c r="V6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<sst xmlns="http://schemas.openxmlformats.org/spreadsheetml/2006/main" count="9990" uniqueCount="3667">
  <si>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</si>
  <si>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</si>
  <si>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</si>
  <si>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</si>
  <si>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</si>
  <si>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</si>
  <si>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</si>
  <si>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</si>
  <si>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</si>
  <si>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</si>
  <si>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</si>
  <si>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</si>
  <si>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</si>
  <si>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</si>
  <si>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</si>
  <si>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</si>
  <si>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</si>
  <si>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</si>
  <si>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</si>
  <si>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</si>
  <si>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</si>
  <si>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</si>
  <si>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</si>
  <si>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</si>
  <si>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</si>
  <si>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</si>
  <si>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</si>
  <si>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</si>
  <si>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</si>
  <si>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</si>
  <si>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</si>
  <si>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</si>
  <si>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</si>
  <si>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</si>
  <si>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</si>
  <si>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</si>
  <si>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</si>
  <si>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</si>
  <si>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</si>
  <si>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</si>
  <si>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</si>
  <si>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</si>
  <si>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</si>
  <si>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</si>
  <si>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</si>
  <si>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</si>
  <si>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</si>
  <si>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</si>
  <si>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</si>
  <si>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</si>
  <si>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</si>
  <si>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</si>
  <si>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</si>
  <si>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</si>
  <si>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</si>
  <si>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</si>
  <si>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</si>
  <si>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</si>
  <si>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</si>
  <si>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</si>
  <si>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</si>
  <si>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</si>
  <si>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</si>
  <si>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</si>
  <si>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</si>
  <si>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</si>
  <si>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</si>
  <si>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</si>
  <si>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</si>
  <si>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</si>
  <si>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</si>
  <si>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</si>
  <si>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</si>
  <si>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</si>
  <si>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</si>
  <si>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</si>
  <si>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</si>
  <si>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</si>
  <si>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</si>
  <si>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</si>
  <si>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</si>
  <si>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</si>
  <si>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</si>
  <si>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</si>
  <si>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</si>
  <si>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</si>
  <si>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</si>
  <si>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</si>
  <si>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</si>
  <si>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</si>
  <si>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</si>
  <si>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</si>
  <si>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</si>
  <si>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</si>
  <si>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</si>
  <si>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</si>
  <si>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</si>
  <si>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</si>
  <si>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</si>
  <si>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</si>
  <si>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</si>
  <si>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</si>
  <si>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</si>
  <si>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</si>
  <si>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</si>
  <si>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</si>
  <si>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</si>
  <si>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</si>
  <si>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</si>
  <si>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</si>
  <si>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</si>
  <si>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</si>
  <si>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</si>
  <si>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</si>
  <si>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</si>
  <si>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</si>
  <si>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</si>
  <si>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</si>
  <si>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</si>
  <si>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</si>
  <si>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</si>
  <si>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</si>
  <si>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</si>
  <si>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</si>
  <si>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</si>
  <si>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</si>
  <si>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</si>
  <si>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</si>
  <si>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</si>
  <si>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</si>
  <si>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</si>
  <si>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</si>
  <si>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</si>
  <si>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</si>
  <si>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</si>
  <si>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</si>
  <si>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</si>
  <si>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</si>
  <si>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</si>
  <si>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</si>
  <si>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</si>
  <si>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</si>
  <si>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</si>
  <si>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</si>
  <si>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</si>
  <si>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</si>
  <si>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</si>
  <si>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</si>
  <si>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</si>
  <si>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</si>
  <si>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</si>
  <si>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</si>
  <si>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</si>
  <si>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</si>
  <si>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</si>
  <si>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</si>
  <si>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</si>
  <si>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</si>
  <si>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</si>
  <si>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</si>
  <si>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</si>
  <si>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</si>
  <si>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</si>
  <si>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</si>
  <si>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</si>
  <si>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</si>
  <si>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</si>
  <si>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</si>
  <si>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</si>
  <si>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</si>
  <si>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</si>
  <si>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</si>
  <si>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</si>
  <si>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</si>
  <si>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</si>
  <si>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</si>
  <si>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</si>
  <si>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</si>
  <si>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</si>
  <si>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</si>
  <si>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</si>
  <si>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</si>
  <si>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</si>
  <si>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</si>
  <si>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</si>
  <si>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</si>
  <si>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</si>
  <si>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</si>
  <si>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</si>
  <si>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</si>
  <si>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</si>
  <si>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</si>
  <si>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</si>
  <si>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</si>
  <si>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</si>
  <si>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</si>
  <si>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</si>
  <si>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</si>
  <si>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</si>
  <si>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</si>
  <si>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</si>
  <si>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</si>
  <si>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</si>
  <si>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</si>
  <si>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</si>
  <si>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</si>
  <si>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</si>
  <si>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</si>
  <si>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</si>
  <si>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</si>
  <si>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</si>
  <si>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</si>
  <si>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</si>
  <si>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</si>
  <si>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</si>
  <si>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</si>
  <si>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</si>
  <si>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</si>
  <si>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</si>
  <si>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</si>
  <si>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</si>
  <si>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</si>
  <si>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</si>
  <si>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</si>
  <si>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</si>
  <si>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</si>
  <si>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</si>
  <si>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</si>
  <si>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</si>
  <si>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</si>
  <si>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</si>
  <si>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</si>
  <si>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</si>
  <si>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</si>
  <si>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</si>
  <si>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</si>
  <si>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</si>
  <si>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</si>
  <si>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</si>
  <si>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</si>
  <si>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</si>
  <si>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</si>
  <si>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</si>
  <si>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</si>
  <si>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</si>
  <si>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</si>
  <si>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</si>
  <si>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</si>
  <si>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</si>
  <si>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</si>
  <si>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</si>
  <si>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</si>
  <si>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</si>
  <si>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</si>
  <si>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</si>
  <si>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</si>
  <si>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</si>
  <si>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</si>
  <si>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</si>
  <si>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</si>
  <si>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</si>
  <si>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</si>
  <si>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</si>
  <si>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</si>
  <si>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</si>
  <si>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</si>
  <si>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</si>
  <si>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</si>
  <si>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</si>
  <si>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</si>
  <si>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</si>
  <si>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</si>
  <si>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</si>
  <si>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</si>
  <si>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</si>
  <si>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</si>
  <si>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</si>
  <si>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</si>
  <si>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</si>
  <si>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</si>
  <si>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</si>
  <si>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</si>
  <si>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</si>
  <si>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</si>
  <si>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</si>
  <si>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</si>
  <si>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</si>
  <si>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</si>
  <si>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</si>
  <si>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</si>
  <si>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</si>
  <si>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</si>
  <si>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</si>
  <si>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</si>
  <si>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</si>
  <si>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</si>
  <si>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</si>
  <si>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</si>
  <si>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</si>
  <si>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</si>
  <si>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</si>
  <si>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</si>
  <si>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</si>
  <si>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</si>
  <si>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</si>
  <si>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</si>
  <si>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</si>
  <si>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</si>
  <si>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</si>
  <si>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</si>
  <si>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</si>
  <si>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</si>
  <si>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</si>
  <si>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</si>
  <si>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</si>
  <si>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</si>
  <si>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</si>
  <si>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</si>
  <si>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</si>
  <si>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</si>
  <si>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</si>
  <si>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</si>
  <si>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</si>
  <si>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</si>
  <si>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</si>
  <si>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</si>
  <si>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</si>
  <si>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</si>
  <si>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</si>
  <si>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</si>
  <si>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</si>
  <si>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</si>
  <si>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</si>
  <si>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</si>
  <si>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</si>
  <si>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</si>
  <si>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</si>
  <si>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</si>
  <si>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</si>
  <si>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</si>
  <si>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</si>
  <si>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</si>
  <si>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</si>
  <si>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</si>
  <si>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</si>
  <si>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</si>
  <si>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</si>
  <si>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</si>
  <si>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</si>
  <si>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</si>
  <si>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</si>
  <si>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</si>
  <si>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</si>
  <si>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</si>
  <si>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</si>
  <si>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</si>
  <si>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</si>
  <si>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</si>
  <si>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</si>
  <si>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</si>
  <si>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</si>
  <si>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</si>
  <si>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</si>
  <si>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</si>
  <si>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</si>
  <si>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</si>
  <si>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</si>
  <si>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</si>
  <si>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</si>
  <si>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</si>
  <si>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</si>
  <si>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</si>
  <si>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</si>
  <si>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</si>
  <si>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</si>
  <si>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</si>
  <si>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</si>
  <si>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</si>
  <si>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</si>
  <si>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</si>
  <si>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</si>
  <si>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</si>
  <si>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</si>
  <si>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</si>
  <si>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</si>
  <si>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</si>
  <si>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</si>
  <si>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</si>
  <si>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</si>
  <si>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</si>
  <si>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</si>
  <si>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</si>
  <si>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</si>
  <si>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</si>
  <si>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</si>
  <si>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</si>
  <si>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</si>
  <si>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</si>
  <si>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</si>
  <si>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</si>
  <si>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</si>
  <si>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</si>
  <si>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</si>
  <si>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</si>
  <si>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</si>
  <si>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</si>
  <si>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</si>
  <si>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</si>
  <si>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</si>
  <si>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</si>
  <si>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</si>
  <si>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</si>
  <si>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</si>
  <si>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</si>
  <si>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</si>
  <si>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</si>
  <si>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</si>
  <si>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</si>
  <si>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</si>
  <si>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</si>
  <si>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</si>
  <si>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</si>
  <si>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</si>
  <si>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</si>
  <si>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</si>
  <si>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</si>
  <si>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</si>
  <si>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</si>
  <si>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</si>
  <si>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</si>
  <si>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</si>
  <si>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</si>
  <si>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</si>
  <si>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</si>
  <si>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</si>
  <si>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</si>
  <si>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</si>
  <si>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</si>
  <si>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</si>
  <si>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</si>
  <si>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</si>
  <si>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</si>
  <si>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</si>
  <si>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</si>
  <si>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</si>
  <si>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</si>
  <si>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</si>
  <si>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</si>
  <si>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</si>
  <si>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</si>
  <si>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</si>
  <si>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</si>
  <si>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</si>
  <si>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</si>
  <si>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</si>
  <si>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</si>
  <si>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</si>
  <si>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</si>
  <si>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</si>
  <si>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</si>
  <si>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</si>
  <si>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</si>
  <si>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</si>
  <si>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</si>
  <si>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</si>
  <si>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</si>
  <si>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</si>
  <si>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</si>
  <si>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</si>
  <si>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</si>
  <si>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</si>
  <si>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</si>
  <si>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</si>
  <si>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</si>
  <si>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</si>
  <si>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</si>
  <si>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</si>
  <si>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</si>
  <si>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</si>
  <si>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</si>
  <si>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</si>
  <si>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</si>
  <si>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</si>
  <si>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</si>
  <si>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</si>
  <si>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</si>
  <si>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</si>
  <si>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</si>
  <si>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</si>
  <si>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</si>
  <si>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</si>
  <si>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</si>
  <si>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</si>
  <si>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</si>
  <si>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</si>
  <si>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</si>
  <si>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</si>
  <si>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</si>
  <si>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</si>
  <si>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</si>
  <si>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</si>
  <si>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</si>
  <si>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</si>
  <si>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</si>
  <si>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</si>
  <si>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</si>
  <si>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</si>
  <si>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</si>
  <si>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</si>
  <si>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</si>
  <si>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</si>
  <si>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</si>
  <si>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</si>
  <si>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</si>
  <si>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</si>
  <si>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</si>
  <si>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</si>
  <si>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</si>
  <si>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</si>
  <si>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</si>
  <si>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</si>
  <si>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</si>
  <si>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</si>
  <si>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</si>
  <si>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</si>
  <si>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</si>
  <si>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</si>
  <si>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</si>
  <si>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</si>
  <si>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</si>
  <si>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</si>
  <si>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</si>
  <si>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</si>
  <si>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</si>
  <si>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</si>
  <si>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</si>
  <si>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</si>
  <si>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</si>
  <si>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</si>
  <si>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</si>
  <si>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</si>
  <si>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</si>
  <si>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</si>
  <si>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</si>
  <si>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</si>
  <si>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</si>
  <si>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</si>
  <si>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</si>
  <si>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</si>
  <si>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</si>
  <si>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</si>
  <si>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</si>
  <si>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</si>
  <si>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</si>
  <si>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</si>
  <si>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</si>
  <si>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</si>
  <si>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</si>
  <si>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</si>
  <si>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</si>
  <si>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</si>
  <si>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</si>
  <si>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</si>
  <si>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</si>
  <si>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</si>
  <si>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</si>
  <si>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</si>
  <si>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</si>
  <si>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</si>
  <si>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</si>
  <si>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</si>
  <si>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</si>
  <si>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</si>
  <si>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</si>
  <si>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</si>
  <si>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</si>
  <si>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</si>
  <si>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</si>
  <si>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</si>
  <si>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</si>
  <si>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</si>
  <si>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</si>
  <si>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</si>
  <si>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</si>
  <si>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</si>
  <si>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</si>
  <si>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</si>
  <si>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</si>
  <si>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</si>
  <si>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</si>
  <si>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</si>
  <si>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</si>
  <si>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</si>
  <si>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</si>
  <si>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</si>
  <si>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</si>
  <si>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</si>
  <si>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</si>
  <si>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</si>
  <si>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</si>
  <si>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</si>
  <si>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</si>
  <si>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</si>
  <si>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</si>
  <si>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</si>
  <si>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</si>
  <si>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</si>
  <si>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</si>
  <si>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</si>
  <si>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</si>
  <si>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</si>
  <si>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</si>
  <si>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</si>
  <si>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</si>
  <si>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</si>
  <si>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</si>
  <si>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</si>
  <si>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</si>
  <si>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</si>
  <si>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</si>
  <si>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</si>
  <si>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</si>
  <si>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</si>
  <si>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</si>
  <si>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</si>
  <si>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</si>
  <si>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</si>
  <si>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</si>
  <si>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</si>
  <si>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</si>
  <si>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</si>
  <si>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</si>
  <si>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</si>
  <si>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</si>
  <si>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</si>
  <si>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</si>
  <si>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</si>
  <si>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</si>
  <si>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</si>
  <si>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</si>
  <si>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</si>
  <si>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</si>
  <si>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</si>
  <si>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</si>
  <si>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</si>
  <si>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</si>
  <si>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</si>
  <si>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</si>
  <si>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</si>
  <si>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</si>
  <si>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</si>
  <si>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</si>
  <si>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</si>
  <si>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</si>
  <si>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</si>
  <si>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</si>
  <si>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</si>
  <si>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</si>
  <si>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</si>
  <si>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</si>
  <si>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</si>
  <si>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</si>
  <si>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</si>
  <si>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</si>
  <si>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</si>
  <si>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</si>
  <si>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</si>
  <si>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</si>
  <si>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</si>
  <si>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</si>
  <si>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</si>
  <si>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</si>
  <si>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</si>
  <si>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</si>
  <si>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</si>
  <si>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</si>
  <si>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</si>
  <si>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</si>
  <si>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</si>
  <si>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</si>
  <si>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</si>
  <si>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</si>
  <si>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</si>
  <si>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</si>
  <si>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</si>
  <si>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</si>
  <si>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</si>
  <si>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</si>
  <si>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</si>
  <si>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</si>
  <si>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</si>
  <si>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</si>
  <si>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</si>
  <si>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</si>
  <si>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</si>
  <si>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</si>
  <si>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</si>
  <si>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</si>
  <si>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</si>
  <si>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</si>
  <si>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</si>
  <si>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</si>
  <si>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</si>
  <si>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</si>
  <si>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</si>
  <si>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</si>
  <si>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</si>
  <si>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</si>
  <si>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</si>
  <si>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</si>
  <si>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</si>
  <si>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</si>
  <si>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</si>
  <si>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</si>
  <si>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</si>
  <si>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</si>
  <si>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</si>
  <si>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</si>
  <si>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</si>
  <si>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</si>
  <si>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</si>
  <si>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</si>
  <si>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</si>
  <si>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</si>
  <si>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</si>
  <si>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</si>
  <si>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</si>
  <si>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</si>
  <si>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</si>
  <si>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</si>
  <si>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</si>
  <si>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</si>
  <si>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</si>
  <si>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</si>
  <si>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</si>
  <si>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</si>
  <si>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</si>
  <si>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</si>
  <si>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</si>
  <si>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</si>
  <si>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</si>
  <si>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</si>
  <si>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</si>
  <si>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</si>
  <si>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</si>
  <si>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</si>
  <si>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</si>
  <si>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</si>
  <si>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</si>
  <si>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</si>
  <si>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</si>
  <si>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</si>
  <si>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</si>
  <si>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</si>
  <si>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</si>
  <si>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</si>
  <si>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</si>
  <si>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</si>
  <si>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</si>
  <si>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</si>
  <si>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</si>
  <si>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</si>
  <si>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</si>
  <si>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</si>
  <si>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</si>
  <si>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</si>
  <si>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</si>
  <si>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</si>
  <si>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</si>
  <si>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</si>
  <si>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</si>
  <si>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</si>
  <si>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</si>
  <si>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</si>
  <si>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</si>
  <si>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</si>
  <si>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</si>
  <si>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</si>
  <si>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</si>
  <si>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</si>
  <si>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</si>
  <si>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</si>
  <si>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</si>
  <si>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</si>
  <si>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</si>
  <si>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</si>
  <si>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</si>
  <si>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</si>
  <si>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</si>
  <si>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</si>
  <si>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</si>
  <si>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</si>
  <si>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</si>
  <si>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</si>
  <si>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</si>
  <si>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</si>
  <si>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</si>
  <si>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</si>
  <si>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</si>
  <si>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</si>
  <si>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</si>
  <si>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</si>
  <si>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</si>
  <si>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</si>
  <si>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</si>
  <si>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</si>
  <si>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</si>
  <si>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</si>
  <si>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</si>
  <si>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</si>
  <si>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</si>
  <si>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</si>
  <si>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</si>
  <si>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</si>
  <si>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</si>
  <si>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</si>
  <si>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</si>
  <si>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</si>
  <si>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</si>
  <si>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</si>
  <si>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</si>
  <si>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</si>
  <si>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</si>
  <si>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</si>
  <si>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</si>
  <si>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</si>
  <si>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</si>
  <si>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</si>
  <si>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</si>
  <si>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</si>
  <si>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</si>
  <si>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</si>
  <si>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</si>
  <si>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</si>
  <si>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</si>
  <si>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</si>
  <si>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</si>
  <si>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</si>
  <si>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</si>
  <si>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</si>
  <si>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</si>
  <si>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</si>
  <si>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</si>
  <si>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</si>
  <si>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</si>
  <si>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</si>
  <si>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</si>
  <si>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</si>
  <si>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</si>
  <si>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</si>
  <si>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</si>
  <si>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</si>
  <si>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</si>
  <si>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</si>
  <si>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</si>
  <si>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</si>
  <si>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</si>
  <si>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</si>
  <si>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</si>
  <si>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</si>
  <si>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</si>
  <si>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</si>
  <si>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</si>
  <si>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</si>
  <si>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</si>
  <si>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</si>
  <si>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</si>
  <si>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</si>
  <si>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</si>
  <si>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</si>
  <si>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</si>
  <si>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</si>
  <si>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</si>
  <si>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</si>
  <si>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</si>
  <si>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</si>
  <si>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</si>
  <si>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</si>
  <si>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</si>
  <si>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</si>
  <si>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</si>
  <si>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</si>
  <si>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</si>
  <si>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</si>
  <si>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</si>
  <si>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</si>
  <si>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</si>
  <si>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</si>
  <si>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</si>
  <si>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</si>
  <si>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</si>
  <si>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</si>
  <si>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</si>
  <si>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</si>
  <si>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</si>
  <si>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</si>
  <si>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</si>
  <si>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</si>
  <si>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</si>
  <si>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</si>
  <si>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</si>
  <si>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</si>
  <si>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</si>
  <si>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</si>
  <si>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</si>
  <si>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</si>
  <si>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</si>
  <si>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</si>
  <si>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</si>
  <si>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</si>
  <si>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</si>
  <si>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</si>
  <si>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</si>
  <si>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</si>
  <si>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</si>
  <si>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</si>
  <si>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</si>
  <si>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</si>
  <si>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</si>
  <si>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</si>
  <si>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</si>
  <si>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</si>
  <si>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</si>
  <si>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</si>
  <si>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</si>
  <si>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</si>
  <si>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</si>
  <si>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</si>
  <si>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</si>
  <si>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</si>
  <si>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</si>
  <si>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</si>
  <si>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</si>
  <si>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</si>
  <si>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</si>
  <si>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</si>
  <si>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</si>
  <si>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</si>
  <si>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</si>
  <si>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</si>
  <si>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</si>
  <si>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</si>
  <si>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</si>
  <si>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</si>
  <si>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</si>
  <si>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</si>
  <si>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</si>
  <si>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</si>
  <si>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</si>
  <si>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</si>
  <si>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</si>
  <si>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</si>
  <si>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</si>
  <si>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</si>
  <si>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</si>
  <si>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</si>
  <si>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</si>
  <si>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</si>
  <si>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</si>
  <si>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</si>
  <si>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</si>
  <si>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</si>
  <si>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</si>
  <si>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</si>
  <si>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</si>
  <si>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</si>
  <si>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</si>
  <si>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</si>
  <si>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</si>
  <si>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</si>
  <si>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</si>
  <si>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</si>
  <si>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</si>
  <si>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</si>
  <si>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</si>
  <si>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</si>
  <si>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</si>
  <si>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</si>
  <si>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</si>
  <si>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</si>
  <si>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</si>
  <si>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</si>
  <si>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</si>
  <si>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</si>
  <si>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</si>
  <si>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</si>
  <si>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</si>
  <si>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</si>
  <si>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</si>
  <si>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</si>
  <si>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</si>
  <si>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</si>
  <si>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</si>
  <si>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</si>
  <si>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</si>
  <si>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</si>
  <si>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</si>
  <si>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</si>
  <si>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</si>
  <si>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</si>
  <si>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</si>
  <si>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</si>
  <si>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</si>
  <si>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</si>
  <si>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</si>
  <si>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</si>
  <si>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</si>
  <si>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</si>
  <si>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</si>
  <si>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</si>
  <si>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</si>
  <si>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</si>
  <si>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</si>
  <si>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</si>
  <si>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</si>
  <si>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</si>
  <si>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</si>
  <si>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</si>
  <si>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</si>
  <si>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</si>
  <si>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</si>
  <si>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</si>
  <si>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</si>
  <si>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</si>
  <si>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</si>
  <si>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</si>
  <si>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</si>
  <si>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</si>
  <si>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</si>
  <si>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</si>
  <si>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</si>
  <si>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</si>
  <si>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</si>
  <si>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</si>
  <si>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</si>
  <si>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</si>
  <si>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</si>
  <si>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</si>
  <si>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</si>
  <si>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</si>
  <si>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</si>
  <si>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</si>
  <si>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</si>
  <si>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</si>
  <si>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</si>
  <si>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</si>
  <si>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</si>
  <si>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</si>
  <si>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</si>
  <si>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</si>
  <si>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</si>
  <si>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</si>
  <si>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</si>
  <si>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</si>
  <si>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</si>
  <si>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</si>
  <si>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</si>
  <si>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</si>
  <si>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</si>
  <si>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</si>
  <si>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</si>
  <si>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</si>
  <si>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</si>
  <si>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</si>
  <si>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</si>
  <si>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</si>
  <si>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</si>
  <si>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</si>
  <si>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</si>
  <si>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</si>
  <si>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</si>
  <si>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</si>
  <si>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</si>
  <si>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</si>
  <si>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</si>
  <si>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</si>
  <si>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</si>
  <si>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</si>
  <si>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</si>
  <si>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</si>
  <si>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</si>
  <si>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</si>
  <si>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</si>
  <si>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</si>
  <si>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</si>
  <si>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</si>
  <si>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</si>
  <si>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</si>
  <si>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</si>
  <si>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</si>
  <si>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</si>
  <si>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</si>
  <si>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</si>
  <si>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</si>
  <si>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</si>
  <si>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</si>
  <si>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</si>
  <si>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</si>
  <si>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</si>
  <si>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</si>
  <si>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</si>
  <si>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</si>
  <si>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</si>
  <si>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</si>
  <si>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</si>
  <si>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</si>
  <si>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</si>
  <si>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</si>
  <si>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</si>
  <si>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</si>
  <si>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</si>
  <si>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</si>
  <si>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</si>
  <si>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</si>
  <si>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</si>
  <si>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</si>
  <si>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</si>
  <si>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</si>
  <si>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</si>
  <si>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</si>
  <si>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</si>
  <si>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</si>
  <si>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</si>
  <si>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</si>
  <si>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</si>
  <si>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</si>
  <si>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</si>
  <si>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</si>
  <si>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</si>
  <si>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</si>
  <si>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</si>
  <si>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</si>
  <si>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</si>
  <si>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</si>
  <si>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</si>
  <si>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</si>
  <si>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</si>
  <si>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</si>
  <si>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</si>
  <si>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</si>
  <si>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</si>
  <si>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</si>
  <si>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</si>
  <si>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</si>
  <si>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</si>
  <si>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</si>
  <si>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</si>
  <si>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</si>
  <si>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</si>
  <si>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</si>
  <si>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</si>
  <si>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</si>
  <si>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</si>
  <si>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</si>
  <si>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</si>
  <si>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</si>
  <si>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</si>
  <si>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</si>
  <si>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</si>
  <si>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</si>
  <si>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</si>
  <si>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</si>
  <si>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</si>
  <si>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</si>
  <si>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</si>
  <si>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</si>
  <si>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</si>
  <si>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</si>
  <si>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</si>
  <si>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</si>
  <si>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</si>
  <si>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</si>
  <si>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</si>
  <si>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</si>
  <si>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</si>
  <si>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</si>
  <si>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</si>
  <si>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</si>
  <si>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</si>
  <si>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</si>
  <si>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</si>
  <si>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</si>
  <si>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</si>
  <si>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</si>
  <si>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</si>
  <si>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</si>
  <si>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</si>
  <si>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</si>
  <si>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</si>
  <si>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</si>
  <si>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</si>
  <si>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</si>
  <si>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</si>
  <si>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</si>
  <si>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</si>
  <si>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</si>
  <si>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</si>
  <si>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</si>
  <si>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</si>
  <si>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</si>
  <si>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</si>
  <si>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</si>
  <si>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</si>
  <si>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</si>
  <si>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</si>
  <si>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</si>
  <si>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</si>
  <si>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</si>
  <si>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</si>
  <si>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</si>
  <si>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</si>
  <si>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</si>
  <si>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</si>
  <si>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</si>
  <si>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</si>
  <si>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</si>
  <si>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</si>
  <si>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</si>
  <si>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</si>
  <si>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</si>
  <si>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</si>
  <si>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</si>
  <si>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</si>
  <si>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</si>
  <si>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</si>
  <si>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</si>
  <si>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</si>
  <si>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</si>
  <si>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</si>
  <si>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</si>
  <si>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</si>
  <si>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</si>
  <si>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</si>
  <si>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</si>
  <si>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</si>
  <si>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</si>
  <si>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</si>
  <si>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</si>
  <si>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</si>
  <si>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</si>
  <si>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</si>
  <si>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</si>
  <si>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</si>
  <si>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</si>
  <si>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</si>
  <si>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</si>
  <si>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</si>
  <si>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</si>
  <si>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</si>
  <si>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</si>
  <si>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</si>
  <si>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</si>
  <si>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</si>
  <si>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</si>
  <si>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</si>
  <si>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</si>
  <si>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</si>
  <si>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</si>
  <si>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</si>
  <si>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</si>
  <si>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</si>
  <si>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</si>
  <si>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</si>
  <si>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</si>
  <si>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</si>
  <si>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</si>
  <si>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</si>
  <si>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</si>
  <si>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</si>
  <si>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</si>
  <si>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</si>
  <si>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</si>
  <si>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</si>
  <si>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</si>
  <si>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</si>
  <si>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</si>
  <si>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</si>
  <si>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</si>
  <si>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</si>
  <si>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</si>
  <si>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</si>
  <si>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</si>
  <si>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</si>
  <si>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</si>
  <si>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</si>
  <si>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</si>
  <si>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</si>
  <si>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</si>
  <si>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</si>
  <si>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</si>
  <si>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</si>
  <si>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</si>
  <si>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</si>
  <si>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</si>
  <si>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</si>
  <si>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</si>
  <si>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</si>
  <si>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</si>
  <si>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</si>
  <si>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</si>
  <si>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</si>
  <si>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</si>
  <si>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</si>
  <si>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</si>
  <si>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</si>
  <si>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</si>
  <si>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</si>
  <si>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</si>
  <si>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</si>
  <si>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</si>
  <si>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</si>
  <si>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</si>
  <si>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</si>
  <si>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</si>
  <si>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</si>
  <si>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</si>
  <si>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</si>
  <si>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</si>
  <si>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</si>
  <si>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</si>
  <si>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</si>
  <si>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</si>
  <si>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</si>
  <si>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</si>
  <si>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</si>
  <si>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</si>
  <si>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</si>
  <si>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</si>
  <si>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</si>
  <si>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</si>
  <si>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</si>
  <si>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</si>
  <si>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</si>
  <si>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</si>
  <si>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</si>
  <si>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</si>
  <si>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</si>
  <si>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</si>
  <si>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</si>
  <si>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</si>
  <si>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</si>
  <si>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</si>
  <si>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</si>
  <si>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</si>
  <si>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</si>
  <si>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</si>
  <si>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</si>
  <si>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</si>
  <si>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</si>
  <si>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</si>
  <si>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</si>
  <si>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</si>
  <si>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</si>
  <si>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</si>
  <si>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</si>
  <si>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</si>
  <si>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</si>
  <si>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</si>
  <si>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</si>
  <si>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</si>
  <si>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</si>
  <si>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</si>
  <si>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</si>
  <si>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</si>
  <si>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</si>
  <si>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</si>
  <si>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</si>
  <si>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</si>
  <si>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</si>
  <si>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</si>
  <si>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</si>
  <si>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</si>
  <si>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</si>
  <si>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</si>
  <si>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</si>
  <si>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</si>
  <si>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</si>
  <si>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</si>
  <si>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</si>
  <si>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</si>
  <si>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</si>
  <si>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</si>
  <si>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</si>
  <si>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</si>
  <si>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</si>
  <si>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</si>
  <si>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</si>
  <si>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</si>
  <si>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</si>
  <si>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</si>
  <si>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</si>
  <si>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</si>
  <si>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</si>
  <si>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</si>
  <si>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</si>
  <si>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</si>
  <si>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</si>
  <si>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</si>
  <si>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</si>
  <si>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</si>
  <si>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</si>
  <si>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</si>
  <si>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</si>
  <si>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</si>
  <si>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</si>
  <si>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</si>
  <si>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</si>
  <si>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</si>
  <si>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</si>
  <si>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</si>
  <si>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</si>
  <si>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</si>
  <si>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</si>
  <si>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</si>
  <si>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</si>
  <si>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</si>
  <si>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</si>
  <si>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</si>
  <si>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</si>
  <si>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</si>
  <si>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</si>
  <si>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</si>
  <si>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</si>
  <si>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</si>
  <si>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</si>
  <si>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</si>
  <si>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</si>
  <si>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</si>
  <si>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</si>
  <si>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</si>
  <si>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</si>
  <si>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</si>
  <si>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</si>
  <si>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</si>
  <si>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</si>
  <si>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</si>
  <si>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</si>
  <si>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</si>
  <si>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</si>
  <si>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</si>
  <si>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</si>
  <si>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</si>
  <si>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</si>
  <si>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</si>
  <si>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</si>
  <si>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</si>
  <si>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</si>
  <si>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</si>
  <si>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</si>
  <si>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</si>
  <si>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</si>
  <si>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</si>
  <si>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</si>
  <si>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</si>
  <si>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</si>
  <si>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</si>
  <si>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</si>
  <si>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</si>
  <si>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</si>
  <si>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</si>
  <si>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</si>
  <si>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</si>
  <si>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</si>
  <si>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</si>
  <si>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</si>
  <si>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</si>
  <si>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</si>
  <si>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</si>
  <si>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</si>
  <si>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</si>
  <si>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</si>
  <si>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</si>
  <si>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</si>
  <si>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</si>
  <si>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</si>
  <si>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</si>
  <si>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</si>
  <si>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</si>
  <si>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</si>
  <si>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</si>
  <si>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</si>
  <si>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</si>
  <si>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</si>
  <si>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</si>
  <si>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</si>
  <si>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</si>
  <si>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</si>
  <si>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</si>
  <si>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</si>
  <si>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</si>
  <si>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</si>
  <si>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</si>
  <si>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</si>
  <si>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</si>
  <si>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</si>
  <si>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</si>
  <si>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</si>
  <si>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</si>
  <si>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</si>
  <si>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</si>
  <si>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</si>
  <si>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</si>
  <si>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</si>
  <si>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</si>
  <si>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</si>
  <si>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</si>
  <si>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</si>
  <si>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</si>
  <si>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</si>
  <si>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</si>
  <si>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</si>
  <si>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</si>
  <si>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</si>
  <si>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</si>
  <si>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</si>
  <si>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</si>
  <si>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</si>
  <si>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</si>
  <si>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</si>
  <si>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</si>
  <si>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</si>
  <si>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</si>
  <si>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</si>
  <si>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</si>
  <si>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</si>
  <si>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</si>
  <si>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</si>
  <si>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</si>
  <si>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</si>
  <si>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</si>
  <si>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</si>
  <si>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</si>
  <si>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</si>
  <si>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</si>
  <si>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</si>
  <si>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</si>
  <si>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</si>
  <si>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</si>
  <si>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</si>
  <si>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</si>
  <si>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</si>
  <si>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</si>
  <si>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</si>
  <si>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</si>
  <si>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</si>
  <si>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</si>
  <si>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</si>
  <si>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</si>
  <si>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</si>
  <si>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</si>
  <si>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</si>
  <si>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</si>
  <si>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</si>
  <si>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</si>
  <si>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</si>
  <si>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</si>
  <si>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</si>
  <si>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</si>
  <si>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</si>
  <si>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</si>
  <si>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</si>
  <si>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</si>
  <si>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</si>
  <si>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</si>
  <si>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</si>
  <si>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</si>
  <si>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</si>
  <si>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</si>
  <si>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</si>
  <si>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</si>
  <si>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</si>
  <si>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</si>
  <si>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</si>
  <si>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</si>
  <si>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</si>
  <si>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</si>
  <si>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</si>
  <si>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</si>
  <si>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</si>
  <si>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</si>
  <si>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</si>
  <si>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</si>
  <si>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</si>
  <si>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</si>
  <si>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</si>
  <si>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</si>
  <si>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</si>
  <si>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</si>
  <si>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</si>
  <si>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</si>
  <si>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</si>
  <si>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</si>
  <si>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</si>
  <si>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</si>
  <si>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</si>
  <si>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</si>
  <si>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</si>
  <si>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</si>
  <si>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</si>
  <si>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</si>
  <si>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</si>
  <si>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</si>
  <si>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</si>
  <si>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</si>
  <si>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</si>
  <si>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</si>
  <si>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</si>
  <si>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</si>
  <si>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</si>
  <si>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</si>
  <si>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</si>
  <si>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</si>
  <si>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</si>
  <si>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</si>
  <si>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</si>
  <si>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</si>
  <si>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</si>
  <si>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</si>
  <si>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</si>
  <si>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</si>
  <si>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</si>
  <si>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</si>
  <si>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</si>
  <si>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</si>
  <si>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</si>
  <si>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</si>
  <si>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</si>
  <si>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</si>
  <si>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</si>
  <si>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</si>
  <si>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</si>
  <si>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</si>
  <si>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</si>
  <si>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</si>
  <si>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</si>
  <si>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</si>
  <si>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</si>
  <si>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</si>
  <si>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</si>
  <si>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</si>
  <si>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</si>
  <si>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</si>
  <si>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</si>
  <si>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</si>
  <si>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</si>
  <si>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</si>
  <si>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</si>
  <si>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</si>
  <si>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</si>
  <si>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</si>
  <si>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</si>
  <si>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</si>
  <si>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</si>
  <si>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</si>
  <si>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</si>
  <si>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</si>
  <si>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</si>
  <si>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</si>
  <si>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</si>
  <si>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</si>
  <si>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</si>
  <si>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</si>
  <si>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</si>
  <si>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</si>
  <si>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</si>
  <si>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</si>
  <si>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</si>
  <si>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</si>
  <si>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</si>
  <si>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</si>
  <si>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</si>
  <si>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</si>
  <si>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</si>
  <si>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</si>
  <si>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</si>
  <si>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</si>
  <si>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</si>
  <si>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</si>
  <si>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</si>
  <si>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</si>
  <si>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</si>
  <si>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</si>
  <si>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</si>
  <si>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</si>
  <si>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</si>
  <si>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</si>
  <si>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</si>
  <si>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</si>
  <si>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</si>
  <si>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</si>
  <si>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</si>
  <si>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</si>
  <si>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</si>
  <si>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</si>
  <si>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</si>
  <si>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</si>
  <si>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</si>
  <si>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</si>
  <si>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</si>
  <si>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</si>
  <si>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</si>
  <si>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</si>
  <si>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</si>
  <si>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</si>
  <si>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</si>
  <si>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</si>
  <si>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</si>
  <si>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</si>
  <si>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</si>
  <si>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</si>
  <si>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</si>
  <si>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</si>
  <si>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</si>
  <si>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</si>
  <si>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</si>
  <si>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</si>
  <si>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</si>
  <si>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</si>
  <si>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</si>
  <si>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</si>
  <si>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</si>
  <si>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</si>
  <si>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</si>
  <si>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</si>
  <si>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</si>
  <si>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</si>
  <si>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</si>
  <si>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</si>
  <si>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</si>
  <si>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</si>
  <si>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</si>
  <si>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</si>
  <si>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</si>
  <si>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</si>
  <si>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</si>
  <si>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</si>
  <si>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</si>
  <si>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</si>
  <si>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</si>
  <si>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</si>
  <si>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</si>
  <si>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</si>
  <si>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</si>
  <si>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</si>
  <si>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</si>
  <si>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</si>
  <si>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</si>
  <si>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</si>
  <si>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</si>
  <si>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</si>
  <si>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</si>
  <si>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</si>
  <si>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</si>
  <si>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</si>
  <si>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</si>
  <si>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</si>
  <si>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</si>
  <si>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</si>
  <si>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</si>
  <si>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</si>
  <si>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</si>
  <si>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</si>
  <si>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</si>
  <si>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</si>
  <si>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</si>
  <si>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</si>
  <si>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</si>
  <si>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</si>
  <si>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</si>
  <si>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</si>
  <si>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</si>
  <si>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</si>
  <si>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</si>
  <si>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</si>
  <si>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</si>
  <si>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</si>
  <si>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</si>
  <si>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</si>
  <si>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</si>
  <si>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</si>
  <si>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</si>
  <si>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</si>
  <si>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</si>
  <si>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</si>
  <si>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</si>
  <si>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</si>
  <si>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</si>
  <si>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</si>
  <si>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</si>
  <si>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</si>
  <si>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</si>
  <si>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</si>
  <si>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</si>
  <si>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</si>
  <si>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</si>
  <si>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</si>
  <si>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</si>
  <si>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</si>
  <si>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</si>
  <si>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</si>
  <si>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</si>
  <si>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</si>
  <si>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</si>
  <si>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</si>
  <si>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</si>
  <si>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</si>
  <si>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</si>
  <si>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</si>
  <si>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</si>
  <si>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</si>
  <si>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</si>
  <si>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</si>
  <si>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</si>
  <si>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</si>
  <si>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</si>
  <si>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</si>
  <si>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</si>
  <si>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</si>
  <si>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</si>
  <si>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</si>
  <si>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</si>
  <si>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</si>
  <si>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</si>
  <si>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</si>
  <si>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</si>
  <si>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</si>
  <si>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</si>
  <si>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</si>
  <si>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</si>
  <si>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</si>
  <si>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</si>
  <si>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</si>
  <si>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</si>
  <si>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</si>
  <si>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</si>
  <si>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</si>
  <si>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</si>
  <si>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</si>
  <si>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</si>
  <si>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</si>
  <si>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</si>
  <si>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</si>
  <si>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</si>
  <si>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</si>
  <si>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</si>
  <si>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</si>
  <si>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</si>
  <si>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</si>
  <si>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</si>
  <si>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</si>
  <si>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</si>
  <si>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</si>
  <si>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</si>
  <si>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</si>
  <si>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</si>
  <si>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</si>
  <si>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</si>
  <si>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</si>
  <si>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</si>
  <si>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</si>
  <si>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</si>
  <si>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</si>
  <si>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</si>
  <si>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</si>
  <si>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</si>
  <si>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</si>
  <si>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</si>
  <si>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</si>
  <si>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</si>
  <si>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</si>
  <si>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</si>
  <si>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</si>
  <si>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</si>
  <si>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</si>
  <si>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</si>
  <si>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</si>
  <si>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</si>
  <si>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</si>
  <si>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</si>
  <si>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</si>
  <si>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</si>
  <si>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</si>
  <si>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</si>
  <si>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</si>
  <si>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</si>
  <si>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</si>
  <si>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</si>
  <si>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</si>
  <si>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</si>
  <si>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</si>
  <si>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</si>
  <si>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</si>
  <si>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</si>
  <si>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</si>
  <si>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</si>
  <si>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</si>
  <si>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</si>
  <si>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</si>
  <si>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</si>
  <si>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</si>
  <si>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</si>
  <si>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</si>
  <si>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</si>
  <si>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</si>
  <si>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</si>
  <si>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</si>
  <si>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</si>
  <si>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</si>
  <si>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</si>
  <si>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</si>
  <si>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</si>
  <si>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</si>
  <si>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</si>
  <si>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</si>
  <si>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</si>
  <si>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</si>
  <si>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</si>
  <si>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</si>
  <si>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</si>
  <si>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</si>
  <si>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</si>
  <si>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</si>
  <si>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</si>
  <si>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</si>
  <si>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</si>
  <si>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</si>
  <si>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</si>
  <si>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</si>
  <si>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</si>
  <si>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</si>
  <si>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</si>
  <si>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</si>
  <si>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</si>
  <si>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</si>
  <si>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</si>
  <si>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</si>
  <si>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</si>
  <si>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</si>
  <si>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</si>
  <si>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</si>
  <si>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</si>
  <si>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</si>
  <si>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</si>
  <si>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</si>
  <si>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</si>
  <si>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</si>
  <si>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</si>
  <si>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</si>
  <si>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</si>
  <si>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</si>
  <si>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</si>
  <si>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</si>
  <si>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</si>
  <si>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</si>
  <si>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</si>
  <si>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</si>
  <si>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</si>
  <si>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</si>
  <si>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</si>
  <si>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</si>
  <si>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</si>
  <si>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</si>
  <si>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</si>
  <si>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</si>
  <si>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</si>
  <si>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</si>
  <si>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</si>
  <si>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</si>
  <si>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</si>
  <si>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</si>
  <si>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</si>
  <si>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</si>
  <si>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</si>
  <si>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</si>
  <si>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</si>
  <si>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</si>
  <si>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</si>
  <si>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</si>
  <si>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</si>
  <si>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</si>
  <si>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</si>
  <si>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</si>
  <si>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</si>
  <si>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</si>
  <si>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</si>
  <si>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</si>
  <si>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</si>
  <si>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</si>
  <si>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</si>
  <si>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</si>
  <si>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</si>
  <si>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</si>
  <si>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</si>
  <si>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</si>
  <si>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</si>
  <si>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</si>
  <si>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</si>
  <si>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</si>
  <si>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</si>
  <si>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</si>
  <si>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</si>
  <si>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</si>
  <si>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</si>
  <si>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</si>
  <si>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</si>
  <si>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</si>
  <si>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</si>
  <si>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</si>
  <si>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</si>
  <si>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</si>
  <si>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</si>
  <si>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</si>
  <si>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</si>
  <si>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</si>
  <si>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</si>
  <si>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</si>
  <si>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</si>
  <si>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</si>
  <si>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</si>
  <si>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</si>
  <si>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</si>
  <si>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</si>
  <si>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</si>
  <si>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</si>
  <si>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</si>
  <si>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</si>
  <si>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</si>
  <si>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</si>
  <si>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</si>
  <si>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</si>
  <si>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</si>
  <si>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</si>
  <si>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</si>
  <si>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</si>
  <si>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</si>
  <si>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</si>
  <si>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</si>
  <si>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</si>
  <si>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</si>
  <si>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</si>
  <si>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</si>
  <si>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</si>
  <si>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</si>
  <si>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</si>
  <si>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</si>
  <si>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</si>
  <si>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</si>
  <si>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</si>
  <si>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</si>
  <si>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</si>
  <si>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</si>
  <si>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</si>
  <si>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</si>
  <si>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</si>
  <si>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</si>
  <si>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</si>
  <si>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</si>
  <si>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</si>
  <si>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</si>
  <si>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</si>
  <si>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</si>
  <si>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</si>
  <si>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</si>
  <si>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</si>
  <si>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</si>
  <si>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</si>
  <si>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</si>
  <si>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</si>
  <si>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</si>
  <si>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</si>
  <si>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</si>
  <si>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</si>
  <si>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</si>
  <si>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</si>
  <si>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</si>
  <si>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</si>
  <si>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</si>
  <si>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</si>
  <si>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</si>
  <si>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</si>
  <si>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</si>
  <si>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</si>
  <si>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</si>
  <si>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</si>
  <si>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</si>
  <si>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</si>
  <si>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</si>
  <si>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</si>
  <si>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</si>
  <si>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</si>
  <si>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</si>
  <si>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</si>
  <si>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</si>
  <si>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</si>
  <si>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</si>
  <si>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</si>
  <si>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</si>
  <si>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</si>
  <si>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</si>
  <si>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</si>
  <si>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</si>
  <si>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</si>
  <si>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</si>
  <si>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</si>
  <si>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</si>
  <si>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</si>
  <si>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</si>
  <si>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</si>
  <si>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</si>
  <si>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</si>
  <si>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</si>
  <si>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</si>
  <si>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</si>
  <si>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</si>
  <si>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</si>
  <si>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</si>
  <si>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</si>
  <si>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</si>
  <si>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</si>
  <si>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</si>
  <si>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</si>
  <si>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</si>
  <si>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</si>
  <si>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</si>
  <si>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</si>
  <si>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</si>
  <si>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</si>
  <si>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</si>
  <si>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</si>
  <si>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</si>
  <si>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</si>
  <si>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</si>
  <si>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</si>
  <si>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</si>
  <si>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</si>
  <si>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</si>
  <si>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</si>
  <si>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</si>
  <si>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</si>
  <si>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</si>
  <si>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</si>
  <si>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</si>
  <si>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</si>
  <si>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</si>
  <si>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</si>
  <si>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</si>
  <si>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</si>
  <si>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</si>
  <si>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</si>
  <si>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</si>
  <si>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</si>
  <si>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</si>
  <si>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</si>
  <si>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</si>
  <si>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</si>
  <si>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</si>
  <si>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</si>
  <si>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</si>
  <si>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</si>
  <si>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</si>
  <si>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</si>
  <si>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</si>
  <si>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</si>
  <si>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</si>
  <si>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</si>
  <si>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</si>
  <si>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</si>
  <si>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</si>
  <si>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</si>
  <si>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</si>
  <si>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</si>
  <si>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</si>
  <si>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</si>
  <si>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</si>
  <si>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</si>
  <si>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</si>
  <si>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</si>
  <si>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</si>
  <si>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</si>
  <si>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</si>
  <si>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</si>
  <si>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</si>
  <si>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</si>
  <si>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</si>
  <si>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</si>
  <si>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</si>
  <si>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</si>
  <si>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</si>
  <si>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</si>
  <si>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</si>
  <si>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</si>
  <si>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</si>
  <si>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</si>
  <si>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</si>
  <si>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</si>
  <si>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</si>
  <si>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</si>
  <si>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</si>
  <si>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</si>
  <si>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</si>
  <si>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</si>
  <si>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</si>
  <si>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</si>
  <si>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</si>
  <si>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</si>
  <si>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</si>
  <si>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</si>
  <si>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</si>
  <si>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</si>
  <si>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</si>
  <si>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</si>
  <si>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</si>
  <si>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</si>
  <si>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</si>
  <si>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</si>
  <si>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</si>
  <si>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</si>
  <si>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</si>
  <si>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</si>
  <si>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</si>
  <si>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</si>
  <si>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</si>
  <si>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</si>
  <si>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</si>
  <si>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</si>
  <si>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</si>
  <si>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</si>
  <si>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</si>
  <si>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</si>
  <si>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</si>
  <si>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</si>
  <si>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</si>
  <si>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</si>
  <si>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</si>
  <si>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</si>
  <si>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</si>
  <si>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</si>
  <si>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</si>
  <si>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</si>
  <si>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</si>
  <si>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</si>
  <si>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</si>
  <si>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</si>
  <si>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</si>
  <si>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</si>
  <si>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</si>
  <si>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</si>
  <si>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</si>
  <si>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</si>
  <si>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</si>
  <si>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</si>
  <si>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</si>
  <si>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</si>
  <si>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</si>
  <si>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</si>
  <si>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</si>
  <si>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</si>
  <si>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</si>
  <si>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</si>
  <si>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</si>
  <si>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</si>
  <si>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</si>
  <si>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</si>
  <si>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</si>
  <si>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</si>
  <si>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</si>
  <si>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</si>
  <si>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</si>
  <si>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</si>
  <si>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</si>
  <si>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</si>
  <si>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</si>
  <si>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</si>
  <si>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</si>
  <si>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</si>
  <si>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</si>
  <si>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</si>
  <si>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</si>
  <si>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</si>
  <si>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</si>
  <si>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</si>
  <si>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</si>
  <si>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</si>
  <si>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</si>
  <si>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</si>
  <si>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</si>
  <si>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</si>
  <si>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</si>
  <si>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</si>
  <si>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</si>
  <si>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</si>
  <si>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</si>
  <si>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</si>
  <si>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</si>
  <si>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</si>
  <si>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</si>
  <si>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</si>
  <si>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</si>
  <si>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</si>
  <si>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</si>
  <si>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</si>
  <si>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</si>
  <si>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</si>
  <si>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</si>
  <si>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</si>
  <si>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</si>
  <si>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</si>
  <si>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</si>
  <si>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</si>
  <si>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</si>
  <si>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</si>
  <si>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</si>
  <si>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</si>
  <si>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</si>
  <si>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</si>
  <si>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</si>
  <si>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</si>
  <si>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</si>
  <si>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</si>
  <si>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</si>
  <si>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</si>
  <si>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</si>
  <si>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</si>
  <si>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</si>
  <si>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</si>
  <si>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</si>
  <si>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</si>
  <si>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</si>
  <si>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</si>
  <si>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</si>
  <si>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</si>
  <si>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</si>
  <si>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</si>
  <si>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</si>
  <si>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</si>
  <si>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</si>
  <si>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</si>
  <si>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</si>
  <si>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</si>
  <si>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</si>
  <si>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</si>
  <si>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</si>
  <si>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</si>
  <si>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</si>
  <si>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</si>
  <si>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</si>
  <si>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</si>
  <si>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</si>
  <si>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</si>
  <si>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</si>
  <si>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</si>
  <si>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</si>
  <si>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</si>
  <si>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</si>
  <si>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</si>
  <si>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</si>
  <si>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</si>
  <si>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</si>
  <si>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</si>
  <si>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</si>
  <si>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</si>
  <si>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</si>
  <si>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</si>
  <si>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</si>
  <si>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</si>
  <si>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</si>
  <si>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</si>
  <si>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</si>
  <si>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</si>
  <si>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</si>
  <si>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</si>
  <si>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</si>
  <si>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</si>
  <si>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</si>
  <si>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</si>
  <si>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</si>
  <si>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</si>
  <si>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</si>
  <si>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</si>
  <si>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</si>
  <si>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</si>
  <si>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</si>
  <si>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</si>
  <si>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</si>
  <si>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</si>
  <si>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</si>
  <si>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</si>
  <si>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</si>
  <si>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</si>
  <si>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</si>
  <si>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</si>
  <si>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</si>
  <si>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</si>
  <si>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</si>
  <si>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</si>
  <si>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</si>
  <si>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</si>
  <si>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</si>
  <si>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</si>
  <si>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</si>
  <si>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</si>
  <si>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</si>
  <si>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</si>
  <si>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</si>
  <si>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</si>
  <si>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</si>
  <si>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</si>
  <si>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</si>
  <si>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</si>
  <si>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</si>
  <si>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</si>
  <si>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</si>
  <si>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</si>
  <si>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</si>
  <si>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</si>
  <si>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</si>
  <si>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</si>
  <si>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</si>
  <si>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</si>
  <si>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</si>
  <si>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</si>
  <si>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</si>
  <si>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</si>
  <si>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</si>
  <si>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</si>
  <si>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</si>
  <si>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</si>
  <si>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</si>
  <si>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</si>
  <si>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</si>
  <si>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</si>
  <si>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</si>
  <si>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</si>
  <si>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</si>
  <si>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</si>
  <si>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</si>
  <si>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</si>
  <si>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</si>
  <si>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</si>
  <si>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</si>
  <si>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</si>
  <si>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</si>
  <si>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</si>
  <si>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</si>
  <si>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</si>
  <si>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</si>
  <si>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</si>
  <si>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</si>
  <si>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</si>
  <si>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</si>
  <si>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</si>
  <si>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</si>
  <si>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</si>
  <si>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</si>
  <si>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</si>
  <si>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</si>
  <si>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</si>
  <si>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</si>
  <si>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</si>
  <si>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</si>
  <si>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</si>
  <si>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</si>
  <si>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</si>
  <si>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</si>
  <si>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</si>
  <si>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</si>
  <si>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</si>
  <si>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</si>
  <si>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</si>
  <si>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</si>
  <si>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</si>
  <si>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</si>
  <si>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</si>
  <si>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</si>
  <si>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</si>
  <si>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</si>
  <si>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</si>
  <si>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</si>
  <si>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</si>
  <si>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</si>
  <si>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</si>
  <si>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</si>
  <si>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</si>
  <si>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</si>
  <si>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</si>
  <si>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</si>
  <si>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</si>
  <si>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</si>
  <si>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</si>
  <si>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</si>
  <si>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</si>
  <si>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</si>
  <si>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</si>
  <si>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</si>
  <si>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</si>
  <si>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</si>
  <si>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</si>
  <si>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</si>
  <si>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</si>
  <si>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</si>
  <si>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</si>
  <si>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</si>
  <si>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</si>
  <si>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</si>
  <si>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</si>
  <si>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</si>
  <si>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</si>
  <si>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</si>
  <si>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</si>
  <si>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</si>
  <si>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</si>
  <si>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</si>
  <si>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</si>
  <si>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</si>
  <si>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</si>
  <si>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</si>
  <si>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</si>
  <si>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</si>
  <si>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</si>
  <si>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</si>
  <si>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</si>
  <si>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</si>
  <si>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</si>
  <si>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</si>
  <si>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</si>
  <si>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</si>
  <si>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</si>
  <si>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</si>
  <si>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</si>
  <si>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</si>
  <si>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</si>
  <si>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</si>
  <si>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</si>
  <si>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</si>
  <si>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</si>
  <si>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</si>
  <si>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</si>
  <si>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</si>
  <si>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</si>
  <si>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</si>
  <si>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</si>
  <si>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</si>
  <si>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</si>
  <si>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</si>
  <si>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</si>
  <si>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</si>
  <si>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</si>
  <si>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</si>
  <si>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</si>
  <si>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</si>
  <si>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</si>
  <si>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</si>
  <si>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</si>
  <si>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</si>
  <si>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</si>
  <si>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</si>
  <si>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</si>
  <si>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</si>
  <si>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</si>
  <si>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</si>
  <si>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</si>
  <si>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</si>
  <si>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</si>
  <si>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</si>
  <si>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</si>
  <si>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</si>
  <si>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</si>
  <si>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</si>
  <si>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</si>
  <si>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</si>
  <si>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</si>
  <si>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</si>
  <si>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</si>
  <si>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</si>
  <si>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</si>
  <si>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</si>
  <si>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</si>
  <si>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</si>
  <si>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</si>
  <si>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</si>
  <si>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</si>
  <si>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</si>
  <si>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</si>
  <si>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</si>
  <si>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</si>
  <si>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</si>
  <si>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</si>
  <si>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</si>
  <si>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</si>
  <si>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</si>
  <si>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</si>
  <si>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</si>
  <si>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</si>
  <si>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</si>
  <si>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</si>
  <si>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</si>
  <si>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</si>
  <si>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</si>
  <si>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</si>
  <si>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</si>
  <si>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</si>
  <si>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</si>
  <si>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</si>
  <si>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</si>
  <si>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</si>
  <si>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</si>
  <si>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</si>
  <si>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</si>
  <si>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</si>
  <si>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</si>
  <si>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</si>
  <si>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</si>
  <si>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</si>
  <si>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</si>
  <si>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</si>
  <si>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</si>
  <si>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</si>
  <si>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</si>
  <si>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</si>
  <si>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</si>
  <si>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</si>
  <si>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</si>
  <si>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</si>
  <si>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</si>
  <si>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</si>
  <si>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</si>
  <si>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</si>
  <si>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</si>
  <si>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</si>
  <si>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</si>
  <si>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</si>
  <si>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</si>
  <si>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</si>
  <si>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</si>
  <si>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</si>
  <si>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</si>
  <si>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</si>
  <si>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</si>
  <si>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</si>
  <si>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</si>
  <si>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</si>
  <si>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</si>
  <si>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</si>
  <si>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</si>
  <si>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</si>
  <si>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</si>
  <si>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</si>
  <si>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</si>
  <si>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</si>
  <si>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</si>
  <si>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</si>
  <si>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</si>
  <si>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</si>
  <si>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</si>
  <si>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</si>
  <si>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</si>
  <si>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</si>
  <si>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</si>
  <si>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</si>
  <si>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</si>
  <si>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</si>
  <si>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</si>
  <si>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</si>
  <si>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</si>
  <si>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</si>
  <si>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</si>
  <si>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</si>
  <si>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</si>
  <si>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</si>
  <si>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</si>
  <si>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</si>
  <si>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</si>
  <si>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</si>
  <si>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</si>
  <si>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</si>
  <si>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</si>
  <si>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</si>
  <si>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</si>
  <si>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</si>
  <si>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</si>
  <si>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</si>
  <si>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</si>
  <si>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</si>
  <si>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</si>
  <si>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</si>
  <si>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</si>
  <si>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</si>
  <si>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</si>
  <si>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</si>
  <si>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</si>
  <si>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</si>
  <si>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</si>
  <si>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</si>
  <si>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</si>
  <si>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</si>
  <si>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</si>
  <si>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</si>
  <si>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</si>
  <si>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</si>
  <si>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</si>
  <si>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</si>
  <si>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</si>
  <si>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</si>
  <si>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</si>
  <si>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</si>
  <si>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</si>
  <si>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</si>
  <si>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</si>
  <si>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</si>
  <si>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</si>
  <si>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</si>
  <si>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</si>
  <si>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</si>
  <si>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</si>
  <si>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</si>
  <si>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</si>
  <si>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</si>
  <si>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</si>
  <si>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</si>
  <si>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</si>
  <si>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</si>
  <si>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</si>
  <si>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</si>
  <si>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</si>
  <si>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</si>
  <si>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</si>
  <si>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</si>
  <si>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</si>
  <si>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</si>
  <si>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</si>
  <si>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</si>
  <si>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</si>
  <si>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</si>
  <si>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</si>
  <si>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</si>
  <si>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</si>
  <si>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</si>
  <si>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</si>
  <si>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</si>
  <si>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</si>
  <si>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</si>
  <si>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</si>
  <si>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</si>
  <si>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</si>
  <si>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</si>
  <si>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</si>
  <si>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</si>
  <si>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</si>
  <si>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</si>
  <si>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</si>
  <si>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</si>
  <si>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</si>
  <si>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</si>
  <si>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</si>
  <si>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</si>
  <si>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</si>
  <si>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</si>
  <si>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</si>
  <si>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</si>
  <si>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</si>
  <si>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</si>
  <si>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</si>
  <si>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</si>
  <si>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</si>
  <si>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</si>
  <si>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</si>
  <si>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</si>
  <si>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</si>
  <si>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</si>
  <si>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</si>
  <si>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</si>
  <si>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</si>
  <si>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</si>
  <si>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</si>
  <si>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</si>
  <si>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</si>
  <si>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</si>
  <si>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</si>
  <si>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</si>
  <si>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</si>
  <si>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</si>
  <si>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</si>
  <si>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</si>
  <si>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</si>
  <si>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</si>
  <si>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</si>
  <si>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</si>
  <si>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</si>
  <si>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</si>
  <si>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</si>
  <si>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</si>
  <si>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</si>
  <si>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</si>
  <si>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</si>
  <si>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</si>
  <si>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</si>
  <si>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</si>
  <si>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</si>
  <si>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</si>
  <si>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</si>
  <si>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</si>
  <si>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</si>
  <si>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</si>
  <si>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</si>
  <si>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</si>
  <si>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</si>
  <si>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</si>
  <si>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</si>
  <si>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</si>
  <si>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</si>
  <si>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</si>
  <si>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</si>
  <si>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</si>
  <si>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</si>
  <si>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</si>
  <si>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</si>
  <si>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</si>
  <si>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</si>
  <si>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</si>
  <si>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</si>
  <si>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</si>
  <si>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</si>
  <si>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</si>
  <si>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</si>
  <si>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</si>
  <si>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</si>
  <si>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</si>
  <si>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</si>
  <si>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</si>
  <si>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</si>
  <si>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</si>
  <si>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</si>
  <si>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</si>
  <si>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</si>
  <si>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</si>
  <si>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</si>
  <si>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</si>
  <si>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</si>
  <si>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</si>
  <si>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</si>
  <si>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</si>
  <si>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</si>
  <si>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</si>
  <si>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</si>
  <si>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</si>
  <si>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</si>
  <si>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</si>
  <si>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</si>
  <si>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</si>
  <si>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</si>
  <si>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</si>
  <si>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</si>
  <si>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</si>
  <si>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</si>
  <si>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</si>
  <si>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</si>
  <si>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</si>
  <si>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</si>
  <si>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</si>
  <si>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</si>
  <si>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</si>
  <si>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</si>
  <si>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</si>
  <si>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</si>
  <si>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</si>
  <si>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</si>
  <si>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</si>
  <si>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</si>
  <si>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</si>
  <si>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</si>
  <si>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</si>
  <si>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</si>
  <si>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</si>
  <si>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</si>
  <si>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</si>
  <si>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</si>
  <si>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</si>
  <si>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</si>
  <si>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</si>
  <si>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</si>
  <si>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</si>
  <si>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</si>
  <si>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</si>
  <si>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</si>
  <si>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</si>
  <si>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</si>
  <si>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</si>
  <si>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</si>
  <si>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</si>
  <si>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</si>
  <si>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</si>
  <si>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</si>
  <si>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</si>
  <si>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</si>
  <si>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</si>
  <si>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</si>
  <si>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</si>
  <si>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</si>
  <si>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</si>
  <si>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</si>
  <si>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</si>
  <si>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</si>
  <si>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</si>
  <si>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</si>
  <si>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</si>
  <si>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</si>
  <si>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</si>
  <si>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</si>
  <si>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</si>
  <si>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</si>
  <si>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</si>
  <si>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</si>
  <si>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</si>
  <si>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</si>
  <si>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</si>
  <si>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</si>
  <si>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</si>
  <si>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</si>
  <si>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</si>
  <si>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</si>
  <si>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</si>
  <si>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</si>
  <si>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</si>
  <si>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</si>
  <si>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</si>
  <si>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</si>
  <si>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</si>
  <si>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</si>
  <si>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</si>
  <si>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</si>
  <si>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</si>
  <si>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</si>
  <si>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</si>
  <si>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</si>
  <si>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</si>
  <si>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</si>
  <si>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</si>
  <si>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</si>
  <si>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</si>
  <si>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</si>
  <si>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</si>
  <si>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</si>
  <si>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</si>
  <si>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</si>
  <si>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</si>
  <si>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</si>
  <si>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</si>
  <si>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</si>
  <si>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</si>
  <si>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</si>
  <si>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</si>
  <si>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</si>
  <si>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</si>
  <si>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</si>
  <si>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</si>
  <si>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</si>
  <si>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</si>
  <si>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</si>
  <si>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</si>
  <si>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</si>
  <si>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</si>
  <si>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</si>
  <si>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</si>
  <si>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</si>
  <si>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</si>
  <si>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</si>
  <si>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</si>
  <si>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</si>
  <si>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</si>
  <si>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</si>
  <si>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</si>
  <si>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</si>
  <si>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</si>
  <si>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</si>
  <si>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</si>
  <si>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</si>
  <si>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</si>
  <si>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</si>
  <si>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</si>
  <si>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</si>
  <si>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</si>
  <si>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</si>
  <si>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</si>
  <si>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</si>
  <si>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</si>
  <si>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</si>
  <si>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</si>
  <si>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</si>
  <si>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</si>
  <si>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</si>
  <si>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</si>
  <si>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</si>
  <si>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</si>
  <si>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</si>
  <si>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</si>
  <si>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</si>
  <si>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</si>
  <si>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</si>
  <si>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</si>
  <si>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</si>
  <si>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</si>
  <si>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</si>
  <si>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</si>
  <si>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</si>
  <si>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</si>
  <si>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</si>
  <si>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</si>
  <si>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</si>
  <si>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</si>
  <si>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</si>
  <si>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</si>
  <si>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</si>
  <si>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</si>
  <si>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</si>
  <si>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</si>
  <si>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</si>
  <si>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</si>
  <si>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</si>
  <si>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</si>
  <si>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</si>
  <si>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</si>
  <si>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</si>
  <si>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</si>
  <si>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</si>
  <si>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</si>
  <si>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</si>
  <si>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</si>
  <si>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</si>
  <si>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</si>
  <si>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</si>
  <si>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</si>
  <si>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</si>
  <si>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</si>
  <si>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</si>
  <si>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</si>
  <si>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</si>
  <si>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</si>
  <si>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</si>
  <si>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</si>
  <si>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</si>
  <si>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</si>
  <si>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</si>
  <si>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</si>
  <si>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</si>
  <si>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</si>
  <si>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</si>
  <si>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</si>
  <si>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</si>
  <si>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</si>
  <si>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</si>
  <si>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</si>
  <si>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</si>
  <si>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</si>
  <si>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</si>
  <si>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</si>
  <si>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</si>
  <si>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</si>
  <si>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</si>
  <si>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</si>
  <si>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</si>
  <si>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</si>
  <si>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</si>
  <si>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</si>
  <si>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</si>
  <si>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</si>
  <si>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</si>
  <si>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</si>
  <si>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</si>
  <si>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</si>
  <si>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</si>
  <si>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</si>
  <si>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</si>
  <si>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</si>
  <si>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</si>
  <si>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</si>
  <si>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</si>
  <si>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</si>
  <si>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</si>
  <si>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</si>
  <si>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</si>
  <si>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</si>
  <si>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</si>
  <si>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</si>
  <si>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</si>
  <si>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</si>
  <si>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</si>
  <si>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</si>
  <si>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</si>
  <si>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</si>
  <si>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</si>
  <si>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</si>
  <si>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</si>
  <si>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</si>
  <si>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</si>
  <si>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</si>
  <si>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</si>
  <si>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</si>
  <si>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</si>
  <si>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</si>
  <si>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</si>
  <si>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</si>
  <si>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</si>
  <si>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</si>
  <si>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</si>
  <si>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</si>
  <si>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</si>
  <si>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</si>
  <si>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</si>
  <si>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</si>
  <si>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</si>
  <si>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</si>
  <si>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</si>
  <si>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</si>
  <si>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</si>
  <si>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</si>
  <si>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</si>
  <si>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</si>
  <si>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</si>
  <si>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</si>
  <si>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</si>
  <si>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</si>
  <si>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</si>
  <si>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</si>
  <si>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</si>
  <si>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</si>
  <si>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</si>
  <si>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</si>
  <si>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</si>
  <si>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</si>
  <si>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</si>
  <si>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</si>
  <si>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</si>
  <si>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</si>
  <si>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</si>
  <si>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</si>
  <si>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</si>
  <si>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</si>
  <si>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</si>
  <si>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</si>
  <si>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</si>
  <si>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</si>
  <si>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</si>
  <si>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</si>
  <si>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</si>
  <si>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</si>
  <si>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</si>
  <si>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</si>
  <si>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</si>
  <si>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</si>
  <si>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</si>
  <si>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</si>
  <si>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</si>
  <si>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</si>
  <si>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</si>
  <si>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</si>
  <si>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</si>
  <si>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</si>
  <si>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</si>
  <si>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</si>
  <si>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</si>
  <si>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</si>
  <si>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</si>
  <si>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</si>
  <si>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</si>
  <si>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</si>
  <si>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</si>
  <si>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</si>
  <si>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</si>
  <si>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</si>
  <si>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</si>
  <si>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</si>
  <si>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</si>
  <si>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楼号</t>
  </si>
  <si>
    <t>地上</t>
  </si>
  <si>
    <t>地下</t>
  </si>
  <si>
    <t>戊类厂房</t>
  </si>
  <si>
    <t>集体宿舍</t>
  </si>
  <si>
    <t>汽车库</t>
  </si>
  <si>
    <t>餐厅、厨房</t>
  </si>
  <si>
    <t>厂房</t>
  </si>
  <si>
    <t>设备机房及其他</t>
  </si>
  <si>
    <t>设备</t>
  </si>
  <si>
    <t>总计</t>
  </si>
  <si>
    <r>
      <t>一区</t>
    </r>
    <r>
      <rPr>
        <sz val="10"/>
        <color rgb="FF000000"/>
        <rFont val="Arial"/>
        <family val="2"/>
      </rPr>
      <t>1</t>
    </r>
    <r>
      <rPr>
        <sz val="10"/>
        <color rgb="FF000000"/>
        <rFont val="华文细黑"/>
        <family val="3"/>
        <charset val="134"/>
      </rPr>
      <t>号楼</t>
    </r>
  </si>
  <si>
    <r>
      <t>一区</t>
    </r>
    <r>
      <rPr>
        <sz val="10"/>
        <color rgb="FF000000"/>
        <rFont val="Arial"/>
        <family val="2"/>
      </rPr>
      <t>2</t>
    </r>
    <r>
      <rPr>
        <sz val="10"/>
        <color rgb="FF000000"/>
        <rFont val="华文细黑"/>
        <family val="3"/>
        <charset val="134"/>
      </rPr>
      <t>号楼</t>
    </r>
  </si>
  <si>
    <r>
      <t>一区</t>
    </r>
    <r>
      <rPr>
        <sz val="10"/>
        <color rgb="FF000000"/>
        <rFont val="Arial"/>
        <family val="2"/>
      </rPr>
      <t>101</t>
    </r>
    <r>
      <rPr>
        <sz val="10"/>
        <color rgb="FF000000"/>
        <rFont val="华文细黑"/>
        <family val="3"/>
        <charset val="134"/>
      </rPr>
      <t>幢</t>
    </r>
  </si>
  <si>
    <r>
      <t>一区</t>
    </r>
    <r>
      <rPr>
        <sz val="10"/>
        <color rgb="FF000000"/>
        <rFont val="Arial"/>
        <family val="2"/>
      </rPr>
      <t>3</t>
    </r>
    <r>
      <rPr>
        <sz val="10"/>
        <color rgb="FF000000"/>
        <rFont val="华文细黑"/>
        <family val="3"/>
        <charset val="134"/>
      </rPr>
      <t>号楼</t>
    </r>
  </si>
  <si>
    <r>
      <t>一区</t>
    </r>
    <r>
      <rPr>
        <sz val="10"/>
        <color rgb="FF000000"/>
        <rFont val="Arial"/>
        <family val="2"/>
      </rPr>
      <t>4</t>
    </r>
    <r>
      <rPr>
        <sz val="10"/>
        <color rgb="FF000000"/>
        <rFont val="华文细黑"/>
        <family val="3"/>
        <charset val="134"/>
      </rPr>
      <t>号楼</t>
    </r>
  </si>
  <si>
    <r>
      <t>一区</t>
    </r>
    <r>
      <rPr>
        <sz val="10"/>
        <color rgb="FF000000"/>
        <rFont val="Arial"/>
        <family val="2"/>
      </rPr>
      <t>5</t>
    </r>
    <r>
      <rPr>
        <sz val="10"/>
        <color rgb="FF000000"/>
        <rFont val="华文细黑"/>
        <family val="3"/>
        <charset val="134"/>
      </rPr>
      <t>号楼</t>
    </r>
  </si>
  <si>
    <r>
      <t>二区</t>
    </r>
    <r>
      <rPr>
        <sz val="10"/>
        <color rgb="FF000000"/>
        <rFont val="Arial"/>
        <family val="2"/>
      </rPr>
      <t>1</t>
    </r>
    <r>
      <rPr>
        <sz val="10"/>
        <color rgb="FF000000"/>
        <rFont val="华文细黑"/>
        <family val="3"/>
        <charset val="134"/>
      </rPr>
      <t>号楼</t>
    </r>
  </si>
  <si>
    <r>
      <t>二区</t>
    </r>
    <r>
      <rPr>
        <sz val="10"/>
        <color rgb="FF000000"/>
        <rFont val="Arial"/>
        <family val="2"/>
      </rPr>
      <t>2</t>
    </r>
    <r>
      <rPr>
        <sz val="10"/>
        <color rgb="FF000000"/>
        <rFont val="华文细黑"/>
        <family val="3"/>
        <charset val="134"/>
      </rPr>
      <t>号楼</t>
    </r>
  </si>
  <si>
    <r>
      <t>二区</t>
    </r>
    <r>
      <rPr>
        <sz val="10"/>
        <color rgb="FF000000"/>
        <rFont val="Arial"/>
        <family val="2"/>
      </rPr>
      <t>3</t>
    </r>
    <r>
      <rPr>
        <sz val="10"/>
        <color rgb="FF000000"/>
        <rFont val="华文细黑"/>
        <family val="3"/>
        <charset val="134"/>
      </rPr>
      <t>号楼</t>
    </r>
  </si>
  <si>
    <r>
      <t>二区</t>
    </r>
    <r>
      <rPr>
        <sz val="10"/>
        <color rgb="FF000000"/>
        <rFont val="Arial"/>
        <family val="2"/>
      </rPr>
      <t>4</t>
    </r>
    <r>
      <rPr>
        <sz val="10"/>
        <color rgb="FF000000"/>
        <rFont val="华文细黑"/>
        <family val="3"/>
        <charset val="134"/>
      </rPr>
      <t>号楼</t>
    </r>
  </si>
  <si>
    <r>
      <t>二区</t>
    </r>
    <r>
      <rPr>
        <sz val="10"/>
        <color rgb="FF000000"/>
        <rFont val="Arial"/>
        <family val="2"/>
      </rPr>
      <t>5</t>
    </r>
    <r>
      <rPr>
        <sz val="10"/>
        <color rgb="FF000000"/>
        <rFont val="华文细黑"/>
        <family val="3"/>
        <charset val="134"/>
      </rPr>
      <t>号楼</t>
    </r>
  </si>
  <si>
    <r>
      <t>二区</t>
    </r>
    <r>
      <rPr>
        <sz val="10"/>
        <color rgb="FF000000"/>
        <rFont val="Arial"/>
        <family val="2"/>
      </rPr>
      <t>6</t>
    </r>
    <r>
      <rPr>
        <sz val="10"/>
        <color rgb="FF000000"/>
        <rFont val="华文细黑"/>
        <family val="3"/>
        <charset val="134"/>
      </rPr>
      <t>号楼</t>
    </r>
  </si>
  <si>
    <r>
      <t>二区</t>
    </r>
    <r>
      <rPr>
        <sz val="10"/>
        <color rgb="FF000000"/>
        <rFont val="Arial"/>
        <family val="2"/>
      </rPr>
      <t>7</t>
    </r>
    <r>
      <rPr>
        <sz val="10"/>
        <color rgb="FF000000"/>
        <rFont val="华文细黑"/>
        <family val="3"/>
        <charset val="134"/>
      </rPr>
      <t>号楼</t>
    </r>
  </si>
  <si>
    <r>
      <t>二区</t>
    </r>
    <r>
      <rPr>
        <sz val="10"/>
        <color rgb="FF000000"/>
        <rFont val="Arial"/>
        <family val="2"/>
      </rPr>
      <t>8</t>
    </r>
    <r>
      <rPr>
        <sz val="10"/>
        <color rgb="FF000000"/>
        <rFont val="华文细黑"/>
        <family val="3"/>
        <charset val="134"/>
      </rPr>
      <t>号楼</t>
    </r>
  </si>
  <si>
    <r>
      <t>二区</t>
    </r>
    <r>
      <rPr>
        <sz val="10"/>
        <color rgb="FF000000"/>
        <rFont val="Arial"/>
        <family val="2"/>
      </rPr>
      <t>9</t>
    </r>
    <r>
      <rPr>
        <sz val="10"/>
        <color rgb="FF000000"/>
        <rFont val="华文细黑"/>
        <family val="3"/>
        <charset val="134"/>
      </rPr>
      <t>号楼</t>
    </r>
  </si>
  <si>
    <r>
      <t>二区</t>
    </r>
    <r>
      <rPr>
        <sz val="10"/>
        <color rgb="FF000000"/>
        <rFont val="Arial"/>
        <family val="2"/>
      </rPr>
      <t>10</t>
    </r>
    <r>
      <rPr>
        <sz val="10"/>
        <color rgb="FF000000"/>
        <rFont val="华文细黑"/>
        <family val="3"/>
        <charset val="134"/>
      </rPr>
      <t>号楼</t>
    </r>
  </si>
  <si>
    <r>
      <t>二区</t>
    </r>
    <r>
      <rPr>
        <sz val="10"/>
        <color rgb="FF000000"/>
        <rFont val="Arial"/>
        <family val="2"/>
      </rPr>
      <t>11</t>
    </r>
    <r>
      <rPr>
        <sz val="10"/>
        <color rgb="FF000000"/>
        <rFont val="华文细黑"/>
        <family val="3"/>
        <charset val="134"/>
      </rPr>
      <t>号楼</t>
    </r>
  </si>
  <si>
    <r>
      <t>二区</t>
    </r>
    <r>
      <rPr>
        <sz val="10"/>
        <color rgb="FF000000"/>
        <rFont val="Arial"/>
        <family val="2"/>
      </rPr>
      <t>12</t>
    </r>
    <r>
      <rPr>
        <sz val="10"/>
        <color rgb="FF000000"/>
        <rFont val="华文细黑"/>
        <family val="3"/>
        <charset val="134"/>
      </rPr>
      <t>号楼</t>
    </r>
  </si>
  <si>
    <r>
      <t>二区</t>
    </r>
    <r>
      <rPr>
        <sz val="10"/>
        <color rgb="FF000000"/>
        <rFont val="Arial"/>
        <family val="2"/>
      </rPr>
      <t>13</t>
    </r>
    <r>
      <rPr>
        <sz val="10"/>
        <color rgb="FF000000"/>
        <rFont val="华文细黑"/>
        <family val="3"/>
        <charset val="134"/>
      </rPr>
      <t>号楼</t>
    </r>
  </si>
  <si>
    <r>
      <t>二区</t>
    </r>
    <r>
      <rPr>
        <sz val="10"/>
        <color rgb="FF000000"/>
        <rFont val="Arial"/>
        <family val="2"/>
      </rPr>
      <t>101</t>
    </r>
    <r>
      <rPr>
        <sz val="10"/>
        <color rgb="FF000000"/>
        <rFont val="华文细黑"/>
        <family val="3"/>
        <charset val="134"/>
      </rPr>
      <t>幢</t>
    </r>
  </si>
  <si>
    <r>
      <t>四区</t>
    </r>
    <r>
      <rPr>
        <sz val="10"/>
        <color rgb="FF000000"/>
        <rFont val="Arial"/>
        <family val="2"/>
      </rPr>
      <t>3</t>
    </r>
    <r>
      <rPr>
        <sz val="10"/>
        <color rgb="FF000000"/>
        <rFont val="华文细黑"/>
        <family val="3"/>
        <charset val="134"/>
      </rPr>
      <t>号楼</t>
    </r>
  </si>
  <si>
    <t>宿舍</t>
  </si>
  <si>
    <r>
      <t>2#</t>
    </r>
    <r>
      <rPr>
        <sz val="10"/>
        <color theme="1"/>
        <rFont val="华文细黑"/>
        <family val="3"/>
        <charset val="134"/>
      </rPr>
      <t>宿舍</t>
    </r>
  </si>
  <si>
    <r>
      <t>三区</t>
    </r>
    <r>
      <rPr>
        <sz val="10"/>
        <color theme="1"/>
        <rFont val="Arial"/>
        <family val="2"/>
      </rPr>
      <t>1</t>
    </r>
    <r>
      <rPr>
        <sz val="10"/>
        <color theme="1"/>
        <rFont val="华文细黑"/>
        <family val="3"/>
        <charset val="134"/>
      </rPr>
      <t>号楼</t>
    </r>
  </si>
  <si>
    <r>
      <t>25#</t>
    </r>
    <r>
      <rPr>
        <sz val="10"/>
        <color theme="1"/>
        <rFont val="华文细黑"/>
        <family val="3"/>
        <charset val="134"/>
      </rPr>
      <t>厂房</t>
    </r>
    <r>
      <rPr>
        <sz val="10"/>
        <color theme="1"/>
        <rFont val="Arial"/>
        <family val="2"/>
      </rPr>
      <t>-A</t>
    </r>
  </si>
  <si>
    <r>
      <t>三区</t>
    </r>
    <r>
      <rPr>
        <sz val="10"/>
        <color theme="1"/>
        <rFont val="Arial"/>
        <family val="2"/>
      </rPr>
      <t>2</t>
    </r>
    <r>
      <rPr>
        <sz val="10"/>
        <color theme="1"/>
        <rFont val="华文细黑"/>
        <family val="3"/>
        <charset val="134"/>
      </rPr>
      <t>号楼</t>
    </r>
  </si>
  <si>
    <r>
      <t>25#</t>
    </r>
    <r>
      <rPr>
        <sz val="10"/>
        <color theme="1"/>
        <rFont val="华文细黑"/>
        <family val="3"/>
        <charset val="134"/>
      </rPr>
      <t>厂房</t>
    </r>
    <r>
      <rPr>
        <sz val="10"/>
        <color theme="1"/>
        <rFont val="Arial"/>
        <family val="2"/>
      </rPr>
      <t>-B</t>
    </r>
  </si>
  <si>
    <r>
      <t>三区</t>
    </r>
    <r>
      <rPr>
        <sz val="10"/>
        <color theme="1"/>
        <rFont val="Arial"/>
        <family val="2"/>
      </rPr>
      <t>3</t>
    </r>
    <r>
      <rPr>
        <sz val="10"/>
        <color theme="1"/>
        <rFont val="华文细黑"/>
        <family val="3"/>
        <charset val="134"/>
      </rPr>
      <t>号楼</t>
    </r>
  </si>
  <si>
    <r>
      <t>32#</t>
    </r>
    <r>
      <rPr>
        <sz val="10"/>
        <color theme="1"/>
        <rFont val="华文细黑"/>
        <family val="3"/>
        <charset val="134"/>
      </rPr>
      <t>厂房</t>
    </r>
    <r>
      <rPr>
        <sz val="10"/>
        <color theme="1"/>
        <rFont val="Arial"/>
        <family val="2"/>
      </rPr>
      <t>-A</t>
    </r>
  </si>
  <si>
    <r>
      <t>三区</t>
    </r>
    <r>
      <rPr>
        <sz val="10"/>
        <color theme="1"/>
        <rFont val="Arial"/>
        <family val="2"/>
      </rPr>
      <t>4</t>
    </r>
    <r>
      <rPr>
        <sz val="10"/>
        <color theme="1"/>
        <rFont val="华文细黑"/>
        <family val="3"/>
        <charset val="134"/>
      </rPr>
      <t>号楼</t>
    </r>
  </si>
  <si>
    <t>北区车库</t>
  </si>
  <si>
    <t>设备用房</t>
  </si>
  <si>
    <r>
      <t>48#</t>
    </r>
    <r>
      <rPr>
        <sz val="10"/>
        <color theme="1"/>
        <rFont val="华文细黑"/>
        <family val="3"/>
        <charset val="134"/>
      </rPr>
      <t>厂房</t>
    </r>
  </si>
  <si>
    <r>
      <t>四区</t>
    </r>
    <r>
      <rPr>
        <sz val="10"/>
        <color theme="1"/>
        <rFont val="Arial"/>
        <family val="2"/>
      </rPr>
      <t>4</t>
    </r>
    <r>
      <rPr>
        <sz val="10"/>
        <color theme="1"/>
        <rFont val="华文细黑"/>
        <family val="3"/>
        <charset val="134"/>
      </rPr>
      <t>号楼</t>
    </r>
  </si>
  <si>
    <r>
      <t>47#</t>
    </r>
    <r>
      <rPr>
        <sz val="10"/>
        <color theme="1"/>
        <rFont val="华文细黑"/>
        <family val="3"/>
        <charset val="134"/>
      </rPr>
      <t>厂房</t>
    </r>
  </si>
  <si>
    <r>
      <t>四区</t>
    </r>
    <r>
      <rPr>
        <sz val="10"/>
        <color theme="1"/>
        <rFont val="Arial"/>
        <family val="2"/>
      </rPr>
      <t>5</t>
    </r>
    <r>
      <rPr>
        <sz val="10"/>
        <color theme="1"/>
        <rFont val="华文细黑"/>
        <family val="3"/>
        <charset val="134"/>
      </rPr>
      <t>号楼</t>
    </r>
  </si>
  <si>
    <r>
      <t>43#</t>
    </r>
    <r>
      <rPr>
        <sz val="10"/>
        <color theme="1"/>
        <rFont val="华文细黑"/>
        <family val="3"/>
        <charset val="134"/>
      </rPr>
      <t>厂房</t>
    </r>
  </si>
  <si>
    <r>
      <t>四区</t>
    </r>
    <r>
      <rPr>
        <sz val="10"/>
        <color theme="1"/>
        <rFont val="Arial"/>
        <family val="2"/>
      </rPr>
      <t>6</t>
    </r>
    <r>
      <rPr>
        <sz val="10"/>
        <color theme="1"/>
        <rFont val="华文细黑"/>
        <family val="3"/>
        <charset val="134"/>
      </rPr>
      <t>号楼</t>
    </r>
  </si>
  <si>
    <r>
      <t>40#</t>
    </r>
    <r>
      <rPr>
        <sz val="10"/>
        <color theme="1"/>
        <rFont val="华文细黑"/>
        <family val="3"/>
        <charset val="134"/>
      </rPr>
      <t>厂房</t>
    </r>
  </si>
  <si>
    <r>
      <t>四区</t>
    </r>
    <r>
      <rPr>
        <sz val="10"/>
        <color theme="1"/>
        <rFont val="Arial"/>
        <family val="2"/>
      </rPr>
      <t>7</t>
    </r>
    <r>
      <rPr>
        <sz val="10"/>
        <color theme="1"/>
        <rFont val="华文细黑"/>
        <family val="3"/>
        <charset val="134"/>
      </rPr>
      <t>号楼</t>
    </r>
  </si>
  <si>
    <r>
      <t>36#</t>
    </r>
    <r>
      <rPr>
        <sz val="10"/>
        <color theme="1"/>
        <rFont val="华文细黑"/>
        <family val="3"/>
        <charset val="134"/>
      </rPr>
      <t>厂房</t>
    </r>
  </si>
  <si>
    <r>
      <t>四区</t>
    </r>
    <r>
      <rPr>
        <sz val="10"/>
        <color theme="1"/>
        <rFont val="Arial"/>
        <family val="2"/>
      </rPr>
      <t>8</t>
    </r>
    <r>
      <rPr>
        <sz val="10"/>
        <color theme="1"/>
        <rFont val="华文细黑"/>
        <family val="3"/>
        <charset val="134"/>
      </rPr>
      <t>号楼</t>
    </r>
  </si>
  <si>
    <r>
      <t>46#</t>
    </r>
    <r>
      <rPr>
        <sz val="10"/>
        <color theme="1"/>
        <rFont val="华文细黑"/>
        <family val="3"/>
        <charset val="134"/>
      </rPr>
      <t>厂房</t>
    </r>
  </si>
  <si>
    <r>
      <t>四区</t>
    </r>
    <r>
      <rPr>
        <sz val="10"/>
        <color theme="1"/>
        <rFont val="Arial"/>
        <family val="2"/>
      </rPr>
      <t>9</t>
    </r>
    <r>
      <rPr>
        <sz val="10"/>
        <color theme="1"/>
        <rFont val="华文细黑"/>
        <family val="3"/>
        <charset val="134"/>
      </rPr>
      <t>号楼</t>
    </r>
  </si>
  <si>
    <r>
      <t>39#</t>
    </r>
    <r>
      <rPr>
        <sz val="10"/>
        <color theme="1"/>
        <rFont val="华文细黑"/>
        <family val="3"/>
        <charset val="134"/>
      </rPr>
      <t>厂房</t>
    </r>
  </si>
  <si>
    <r>
      <t>四区</t>
    </r>
    <r>
      <rPr>
        <sz val="10"/>
        <color theme="1"/>
        <rFont val="Arial"/>
        <family val="2"/>
      </rPr>
      <t>10</t>
    </r>
    <r>
      <rPr>
        <sz val="10"/>
        <color theme="1"/>
        <rFont val="华文细黑"/>
        <family val="3"/>
        <charset val="134"/>
      </rPr>
      <t>号楼</t>
    </r>
  </si>
  <si>
    <r>
      <t>37#</t>
    </r>
    <r>
      <rPr>
        <sz val="10"/>
        <color theme="1"/>
        <rFont val="华文细黑"/>
        <family val="3"/>
        <charset val="134"/>
      </rPr>
      <t>厂房</t>
    </r>
  </si>
  <si>
    <r>
      <t>四区</t>
    </r>
    <r>
      <rPr>
        <sz val="10"/>
        <color theme="1"/>
        <rFont val="Arial"/>
        <family val="2"/>
      </rPr>
      <t>11</t>
    </r>
    <r>
      <rPr>
        <sz val="10"/>
        <color theme="1"/>
        <rFont val="华文细黑"/>
        <family val="3"/>
        <charset val="134"/>
      </rPr>
      <t>号楼</t>
    </r>
  </si>
  <si>
    <r>
      <t>45#</t>
    </r>
    <r>
      <rPr>
        <sz val="10"/>
        <color theme="1"/>
        <rFont val="华文细黑"/>
        <family val="3"/>
        <charset val="134"/>
      </rPr>
      <t>厂房</t>
    </r>
  </si>
  <si>
    <r>
      <t>四区</t>
    </r>
    <r>
      <rPr>
        <sz val="10"/>
        <color theme="1"/>
        <rFont val="Arial"/>
        <family val="2"/>
      </rPr>
      <t>12</t>
    </r>
    <r>
      <rPr>
        <sz val="10"/>
        <color theme="1"/>
        <rFont val="华文细黑"/>
        <family val="3"/>
        <charset val="134"/>
      </rPr>
      <t>号楼</t>
    </r>
  </si>
  <si>
    <r>
      <t>44#</t>
    </r>
    <r>
      <rPr>
        <sz val="10"/>
        <color theme="1"/>
        <rFont val="华文细黑"/>
        <family val="3"/>
        <charset val="134"/>
      </rPr>
      <t>厂房</t>
    </r>
  </si>
  <si>
    <r>
      <t>四区</t>
    </r>
    <r>
      <rPr>
        <sz val="10"/>
        <color theme="1"/>
        <rFont val="Arial"/>
        <family val="2"/>
      </rPr>
      <t>13</t>
    </r>
    <r>
      <rPr>
        <sz val="10"/>
        <color theme="1"/>
        <rFont val="华文细黑"/>
        <family val="3"/>
        <charset val="134"/>
      </rPr>
      <t>号楼</t>
    </r>
  </si>
  <si>
    <t>南区车库</t>
  </si>
  <si>
    <r>
      <t>四区</t>
    </r>
    <r>
      <rPr>
        <sz val="10"/>
        <color theme="1"/>
        <rFont val="Arial"/>
        <family val="2"/>
      </rPr>
      <t>16</t>
    </r>
    <r>
      <rPr>
        <sz val="10"/>
        <color theme="1"/>
        <rFont val="华文细黑"/>
        <family val="3"/>
        <charset val="134"/>
      </rPr>
      <t>幢</t>
    </r>
  </si>
  <si>
    <t>抵押</t>
  </si>
  <si>
    <t>房地产抵押价值</t>
  </si>
  <si>
    <t>北京市</t>
  </si>
  <si>
    <t>企业</t>
  </si>
  <si>
    <t>出让</t>
  </si>
  <si>
    <t>现房</t>
  </si>
  <si>
    <t>是</t>
  </si>
  <si>
    <t>标准厂房</t>
  </si>
  <si>
    <t>仓储</t>
  </si>
  <si>
    <t>车库</t>
  </si>
  <si>
    <t>地上厂房</t>
    <phoneticPr fontId="140" type="noConversion"/>
  </si>
  <si>
    <t>地下厂房</t>
  </si>
  <si>
    <t>地下厂房</t>
    <phoneticPr fontId="140" type="noConversion"/>
  </si>
  <si>
    <t>地下车库</t>
    <phoneticPr fontId="140" type="noConversion"/>
  </si>
  <si>
    <t>地上设备</t>
    <phoneticPr fontId="140" type="noConversion"/>
  </si>
  <si>
    <t>地下设备</t>
    <phoneticPr fontId="140" type="noConversion"/>
  </si>
  <si>
    <t>厂房</t>
    <phoneticPr fontId="3" type="noConversion"/>
  </si>
  <si>
    <t>地下厂房</t>
    <phoneticPr fontId="3" type="noConversion"/>
  </si>
  <si>
    <t>地下车库</t>
    <phoneticPr fontId="3" type="noConversion"/>
  </si>
  <si>
    <t>合计</t>
    <phoneticPr fontId="140" type="noConversion"/>
  </si>
  <si>
    <t>成本法</t>
  </si>
  <si>
    <t>收益法（汇总）</t>
  </si>
  <si>
    <t>总价</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</si>
  <si>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</si>
  <si>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</si>
  <si>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</si>
  <si>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</si>
  <si>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</si>
  <si>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</si>
  <si>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</si>
  <si>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</si>
  <si>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</si>
  <si>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</si>
  <si>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</si>
  <si>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</si>
  <si>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</si>
  <si>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</si>
  <si>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</si>
  <si>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</si>
  <si>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</si>
  <si>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</si>
  <si>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</si>
  <si>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</si>
  <si>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</si>
  <si>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</si>
  <si>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</si>
  <si>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</si>
  <si>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</si>
  <si>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</si>
  <si>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</si>
  <si>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</si>
  <si>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</si>
  <si>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</si>
  <si>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</si>
  <si>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</si>
  <si>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</si>
  <si>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</si>
  <si>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</si>
  <si>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</si>
  <si>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 </t>
  </si>
  <si>
    <t xml:space="preserve"> --</t>
  </si>
  <si>
    <t xml:space="preserve"> 已成交</t>
  </si>
  <si>
    <t xml:space="preserve"> 北京燕和盛投资管理有限公司  </t>
  </si>
  <si>
    <t xml:space="preserve"> 20年</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</si>
  <si>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</si>
  <si>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</si>
  <si>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</si>
  <si>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</si>
  <si>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</si>
  <si>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</si>
  <si>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</si>
  <si>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</si>
  <si>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</si>
  <si>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</si>
  <si>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</si>
  <si>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</si>
  <si>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</si>
  <si>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</si>
  <si>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</si>
  <si>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</si>
  <si>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</si>
  <si>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</si>
  <si>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</si>
  <si>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</si>
  <si>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</si>
  <si>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</si>
  <si>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</si>
  <si>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</si>
  <si>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</si>
  <si>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</si>
  <si>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</si>
  <si>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</si>
  <si>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</si>
  <si>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</si>
  <si>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</si>
  <si>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</si>
  <si>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</si>
  <si>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</si>
  <si>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</si>
  <si>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</si>
  <si>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</si>
  <si>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</si>
  <si>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</si>
  <si>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</si>
  <si>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</si>
  <si>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</si>
  <si>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</si>
  <si>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</si>
  <si>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</si>
  <si>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</si>
  <si>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</si>
  <si>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</si>
  <si>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</si>
  <si>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</si>
  <si>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</si>
  <si>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</si>
  <si>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</si>
  <si>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</si>
  <si>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</si>
  <si>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</si>
  <si>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</si>
  <si>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</si>
  <si>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</si>
  <si>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</si>
  <si>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</si>
  <si>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</si>
  <si>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</si>
  <si>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</si>
  <si>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</si>
  <si>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</si>
  <si>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</si>
  <si>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</si>
  <si>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</si>
  <si>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</si>
  <si>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</si>
  <si>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</si>
  <si>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</si>
  <si>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</si>
  <si>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</si>
  <si>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</si>
  <si>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</si>
  <si>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</si>
  <si>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</si>
  <si>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</si>
  <si>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</si>
  <si>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</si>
  <si>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</si>
  <si>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</si>
  <si>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</si>
  <si>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</si>
  <si>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</si>
  <si>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</si>
  <si>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</si>
  <si>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</si>
  <si>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</si>
  <si>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</si>
  <si>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</si>
  <si>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</si>
  <si>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</si>
  <si>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</si>
  <si>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</si>
  <si>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</si>
  <si>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</si>
  <si>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</si>
  <si>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</si>
  <si>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</si>
  <si>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</si>
  <si>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</si>
  <si>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</si>
  <si>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</si>
  <si>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</si>
  <si>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</si>
  <si>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</si>
  <si>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</si>
  <si>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</si>
  <si>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</si>
  <si>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</si>
  <si>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</si>
  <si>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</si>
  <si>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</si>
  <si>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</si>
  <si>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</si>
  <si>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</si>
  <si>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</si>
  <si>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</si>
  <si>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</si>
  <si>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</si>
  <si>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</si>
  <si>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</si>
  <si>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</si>
  <si>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</si>
  <si>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</si>
  <si>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</si>
  <si>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</si>
  <si>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</si>
  <si>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</si>
  <si>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</si>
  <si>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</si>
  <si>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</si>
  <si>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</si>
  <si>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</si>
  <si>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</si>
  <si>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</si>
  <si>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</si>
  <si>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</si>
  <si>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</si>
  <si>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</si>
  <si>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</si>
  <si>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</si>
  <si>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</si>
  <si>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</si>
  <si>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</si>
  <si>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</si>
  <si>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</si>
  <si>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</si>
  <si>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</si>
  <si>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</si>
  <si>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</si>
  <si>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</si>
  <si>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</si>
  <si>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</si>
  <si>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</si>
  <si>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</si>
  <si>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</si>
  <si>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</si>
  <si>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</si>
  <si>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</si>
  <si>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</si>
  <si>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</si>
  <si>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</si>
  <si>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</si>
  <si>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</si>
  <si>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</si>
  <si>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</si>
  <si>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</si>
  <si>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</si>
  <si>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</si>
  <si>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</si>
  <si>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</si>
  <si>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年期修正</t>
  </si>
  <si>
    <t>修正后单价</t>
    <phoneticPr fontId="140" type="noConversion"/>
  </si>
  <si>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</si>
  <si>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</si>
  <si>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</si>
  <si>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</si>
  <si>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</si>
  <si>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</si>
  <si>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利息：取LPR加浮动点数</t>
  </si>
  <si>
    <t>成新度</t>
  </si>
  <si>
    <t>收益法</t>
  </si>
  <si>
    <t>收益法</t>
    <phoneticPr fontId="16" type="noConversion"/>
  </si>
  <si>
    <t>收益法地下厂房</t>
  </si>
  <si>
    <t>收益法地下厂房</t>
    <phoneticPr fontId="16" type="noConversion"/>
  </si>
  <si>
    <t>收益法地下车库</t>
  </si>
  <si>
    <t>收益法地下车库</t>
    <phoneticPr fontId="16" type="noConversion"/>
  </si>
  <si>
    <t>押一</t>
  </si>
  <si>
    <t>按租金收入计税</t>
  </si>
  <si>
    <t>钢混</t>
  </si>
  <si>
    <t>非生产用房</t>
  </si>
  <si>
    <t>自定义</t>
  </si>
  <si>
    <t>未包含在土地购买价格中</t>
  </si>
  <si>
    <t>全部缴纳</t>
  </si>
  <si>
    <t>已包含在土地取得成本中</t>
  </si>
  <si>
    <t>较差</t>
  </si>
  <si>
    <t>较好</t>
  </si>
  <si>
    <t>一般</t>
  </si>
  <si>
    <t>七通</t>
  </si>
  <si>
    <t>较规则</t>
  </si>
  <si>
    <t>较规则</t>
    <phoneticPr fontId="33" type="noConversion"/>
  </si>
  <si>
    <t>较好</t>
    <phoneticPr fontId="33" type="noConversion"/>
  </si>
  <si>
    <t>楼面地价</t>
  </si>
  <si>
    <t>三通</t>
  </si>
  <si>
    <t>吴薇</t>
  </si>
  <si>
    <t>崔锴</t>
  </si>
  <si>
    <t>不动产权正号</t>
    <phoneticPr fontId="140" type="noConversion"/>
  </si>
  <si>
    <t>京央（2022）市不动产权第0000504号</t>
    <phoneticPr fontId="140" type="noConversion"/>
  </si>
  <si>
    <t>京央（2022）市不动产权第0000503号</t>
    <phoneticPr fontId="140" type="noConversion"/>
  </si>
  <si>
    <t>京央（2022）市不动产权第0000407号</t>
    <phoneticPr fontId="140" type="noConversion"/>
  </si>
  <si>
    <t>京央（2022）市不动产权第0000408号</t>
    <phoneticPr fontId="140" type="noConversion"/>
  </si>
  <si>
    <t>京央（2022）市不动产权第0000502号</t>
    <phoneticPr fontId="140" type="noConversion"/>
  </si>
  <si>
    <t>京央（2022）市不动产权第0000501号</t>
    <phoneticPr fontId="140" type="noConversion"/>
  </si>
  <si>
    <t>京央（2022）市不动产权第0000500号</t>
    <phoneticPr fontId="140" type="noConversion"/>
  </si>
  <si>
    <t>京央（2022）市不动产权第0000499号</t>
    <phoneticPr fontId="140" type="noConversion"/>
  </si>
  <si>
    <t>京央（2022）市不动产权第0000505号</t>
  </si>
  <si>
    <t>京央（2022）市不动产权第0000506号</t>
  </si>
  <si>
    <t>京央（2022）市不动产权第0000507号</t>
  </si>
  <si>
    <t>京央（2022）市不动产权第0000508号</t>
  </si>
  <si>
    <t>京央（2022）市不动产权第0000509号</t>
    <phoneticPr fontId="140" type="noConversion"/>
  </si>
  <si>
    <t>未办证</t>
    <phoneticPr fontId="140" type="noConversion"/>
  </si>
  <si>
    <r>
      <t>四区</t>
    </r>
    <r>
      <rPr>
        <sz val="10"/>
        <color theme="1"/>
        <rFont val="Arial"/>
        <family val="2"/>
      </rPr>
      <t>15号楼</t>
    </r>
    <r>
      <rPr>
        <sz val="10"/>
        <color theme="1"/>
        <rFont val="华文细黑"/>
        <family val="3"/>
        <charset val="134"/>
      </rPr>
      <t/>
    </r>
  </si>
  <si>
    <t>配电室</t>
    <phoneticPr fontId="140" type="noConversion"/>
  </si>
  <si>
    <t>——</t>
    <phoneticPr fontId="140" type="noConversion"/>
  </si>
  <si>
    <t>京央（2022）市不动产权第0000510号</t>
  </si>
  <si>
    <t>京央（2022）市不动产权第0000412号</t>
    <phoneticPr fontId="140" type="noConversion"/>
  </si>
  <si>
    <t>京央（2022）市不动产权第0000483号</t>
    <phoneticPr fontId="140" type="noConversion"/>
  </si>
  <si>
    <t>规证楼号</t>
    <phoneticPr fontId="140" type="noConversion"/>
  </si>
  <si>
    <t>京央（2022）市不动产权第0000484号</t>
  </si>
  <si>
    <t>京央（2022）市不动产权第0000485号</t>
  </si>
  <si>
    <t>京央（2022）市不动产权第0000486号</t>
  </si>
  <si>
    <t>京央（2022）市不动产权第0000411号</t>
    <phoneticPr fontId="140" type="noConversion"/>
  </si>
  <si>
    <t>京央（2022）市不动产权第0000487号</t>
    <phoneticPr fontId="140" type="noConversion"/>
  </si>
  <si>
    <t>京央（2022）市不动产权第0000488号</t>
  </si>
  <si>
    <t>京央（2022）市不动产权第0000489号</t>
  </si>
  <si>
    <t>京央（2022）市不动产权第0000490号</t>
  </si>
  <si>
    <t>京央（2022）市不动产权第0000491号</t>
  </si>
  <si>
    <t>京央（2022）市不动产权第0000410号</t>
    <phoneticPr fontId="140" type="noConversion"/>
  </si>
  <si>
    <t>京央（2022）市不动产权第0000492号</t>
    <phoneticPr fontId="140" type="noConversion"/>
  </si>
  <si>
    <t>京央（2022）市不动产权第0000493号</t>
  </si>
  <si>
    <t>京央（2022）市不动产权第0000494号</t>
  </si>
  <si>
    <t>京央（2022）市不动产权第0000409号</t>
    <phoneticPr fontId="140" type="noConversion"/>
  </si>
  <si>
    <t>京央（2022）市不动产权第0000495号</t>
    <phoneticPr fontId="140" type="noConversion"/>
  </si>
  <si>
    <t>京央（2022）市不动产权第0000511号</t>
    <phoneticPr fontId="140" type="noConversion"/>
  </si>
  <si>
    <t>23#厂房</t>
  </si>
  <si>
    <t>京央（2022）市不动产权第0000512号</t>
  </si>
  <si>
    <t>京央（2022）市不动产权第0000496号</t>
    <phoneticPr fontId="140" type="noConversion"/>
  </si>
  <si>
    <t>京央（2022）市不动产权第0000497号</t>
  </si>
  <si>
    <t>京央（2022）市不动产权第0000498号</t>
  </si>
  <si>
    <t>京央（2022）市不动产权第0000513号</t>
    <phoneticPr fontId="140" type="noConversion"/>
  </si>
  <si>
    <t>京（2020）房不动产权第0024528号</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</si>
  <si>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</si>
  <si>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</si>
  <si>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</si>
  <si>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总建筑面积</t>
    <phoneticPr fontId="140" type="noConversion"/>
  </si>
  <si>
    <t>建筑面积及用途</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</si>
  <si>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</si>
  <si>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</si>
  <si>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</si>
  <si>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</si>
  <si>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</si>
  <si>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</si>
  <si>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</si>
  <si>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京（2020）房不动产权第0001598号</t>
    <phoneticPr fontId="140" type="noConversion"/>
  </si>
  <si>
    <t>京（2020）房不动产权第0001599号</t>
  </si>
  <si>
    <t>京（2020）房不动产权第0001600号</t>
  </si>
  <si>
    <t>京（2020）房不动产权第0001601号</t>
  </si>
  <si>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</si>
  <si>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</si>
  <si>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</si>
  <si>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</si>
  <si>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</si>
  <si>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</si>
  <si>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地下（一期B组团）</t>
    <phoneticPr fontId="3" type="noConversion"/>
  </si>
  <si>
    <t>1#综合厂房</t>
    <phoneticPr fontId="3" type="noConversion"/>
  </si>
  <si>
    <t>1#集体宿舍</t>
    <phoneticPr fontId="3" type="noConversion"/>
  </si>
  <si>
    <t>地下（一期A组团）</t>
    <phoneticPr fontId="3" type="noConversion"/>
  </si>
  <si>
    <t>2#厂房</t>
    <phoneticPr fontId="3" type="noConversion"/>
  </si>
  <si>
    <t>3#厂房</t>
  </si>
  <si>
    <t>4#厂房</t>
  </si>
  <si>
    <t>5#厂房</t>
    <phoneticPr fontId="3" type="noConversion"/>
  </si>
  <si>
    <t>6#厂房</t>
  </si>
  <si>
    <t>7#厂房</t>
  </si>
  <si>
    <t>8#厂房</t>
  </si>
  <si>
    <t>9#厂房</t>
  </si>
  <si>
    <t>10#厂房</t>
  </si>
  <si>
    <t>11#厂房</t>
  </si>
  <si>
    <t>12#厂房</t>
  </si>
  <si>
    <t>13#厂房</t>
  </si>
  <si>
    <t>14#厂房</t>
  </si>
  <si>
    <t>15#厂房</t>
  </si>
  <si>
    <t>16#厂房</t>
  </si>
  <si>
    <t>17#厂房</t>
  </si>
  <si>
    <t>50#数据中心</t>
    <phoneticPr fontId="140" type="noConversion"/>
  </si>
  <si>
    <r>
      <t>38#</t>
    </r>
    <r>
      <rPr>
        <sz val="10"/>
        <color rgb="FFFF0000"/>
        <rFont val="华文细黑"/>
        <family val="3"/>
        <charset val="134"/>
      </rPr>
      <t>厂房</t>
    </r>
  </si>
  <si>
    <r>
      <t>四区</t>
    </r>
    <r>
      <rPr>
        <sz val="10"/>
        <color rgb="FFFF0000"/>
        <rFont val="Arial"/>
        <family val="2"/>
      </rPr>
      <t>14</t>
    </r>
    <r>
      <rPr>
        <sz val="10"/>
        <color rgb="FFFF0000"/>
        <rFont val="华文细黑"/>
        <family val="3"/>
        <charset val="134"/>
      </rPr>
      <t>号楼</t>
    </r>
  </si>
  <si>
    <r>
      <t>32#</t>
    </r>
    <r>
      <rPr>
        <sz val="10"/>
        <rFont val="华文细黑"/>
        <family val="3"/>
        <charset val="134"/>
      </rPr>
      <t>厂房</t>
    </r>
    <r>
      <rPr>
        <sz val="10"/>
        <rFont val="Arial"/>
        <family val="2"/>
      </rPr>
      <t>-B</t>
    </r>
  </si>
  <si>
    <r>
      <t>三区</t>
    </r>
    <r>
      <rPr>
        <sz val="10"/>
        <rFont val="Arial"/>
        <family val="2"/>
      </rPr>
      <t>5</t>
    </r>
    <r>
      <rPr>
        <sz val="10"/>
        <rFont val="华文细黑"/>
        <family val="3"/>
        <charset val="134"/>
      </rPr>
      <t>号楼</t>
    </r>
  </si>
  <si>
    <r>
      <t>三区</t>
    </r>
    <r>
      <rPr>
        <sz val="10"/>
        <rFont val="Arial"/>
        <family val="2"/>
      </rPr>
      <t>6号楼</t>
    </r>
    <r>
      <rPr>
        <sz val="10"/>
        <color theme="1"/>
        <rFont val="华文细黑"/>
        <family val="3"/>
        <charset val="134"/>
      </rPr>
      <t/>
    </r>
  </si>
  <si>
    <r>
      <t>20#</t>
    </r>
    <r>
      <rPr>
        <sz val="10"/>
        <rFont val="华文细黑"/>
        <family val="3"/>
        <charset val="134"/>
      </rPr>
      <t>厂房</t>
    </r>
  </si>
  <si>
    <r>
      <t>三区</t>
    </r>
    <r>
      <rPr>
        <sz val="10"/>
        <rFont val="Arial"/>
        <family val="2"/>
      </rPr>
      <t>7</t>
    </r>
    <r>
      <rPr>
        <sz val="10"/>
        <rFont val="华文细黑"/>
        <family val="3"/>
        <charset val="134"/>
      </rPr>
      <t>号楼</t>
    </r>
  </si>
  <si>
    <r>
      <t>24#</t>
    </r>
    <r>
      <rPr>
        <sz val="10"/>
        <rFont val="华文细黑"/>
        <family val="3"/>
        <charset val="134"/>
      </rPr>
      <t>厂房</t>
    </r>
  </si>
  <si>
    <r>
      <t>三区</t>
    </r>
    <r>
      <rPr>
        <sz val="10"/>
        <rFont val="Arial"/>
        <family val="2"/>
      </rPr>
      <t>8</t>
    </r>
    <r>
      <rPr>
        <sz val="10"/>
        <rFont val="华文细黑"/>
        <family val="3"/>
        <charset val="134"/>
      </rPr>
      <t>号楼</t>
    </r>
  </si>
  <si>
    <r>
      <t>26#</t>
    </r>
    <r>
      <rPr>
        <sz val="10"/>
        <rFont val="华文细黑"/>
        <family val="3"/>
        <charset val="134"/>
      </rPr>
      <t>厂房</t>
    </r>
  </si>
  <si>
    <r>
      <t>三区</t>
    </r>
    <r>
      <rPr>
        <sz val="10"/>
        <rFont val="Arial"/>
        <family val="2"/>
      </rPr>
      <t>9</t>
    </r>
    <r>
      <rPr>
        <sz val="10"/>
        <rFont val="华文细黑"/>
        <family val="3"/>
        <charset val="134"/>
      </rPr>
      <t>号楼</t>
    </r>
  </si>
  <si>
    <r>
      <t>31#</t>
    </r>
    <r>
      <rPr>
        <sz val="10"/>
        <rFont val="华文细黑"/>
        <family val="3"/>
        <charset val="134"/>
      </rPr>
      <t>厂房</t>
    </r>
  </si>
  <si>
    <r>
      <t>三区</t>
    </r>
    <r>
      <rPr>
        <sz val="10"/>
        <rFont val="Arial"/>
        <family val="2"/>
      </rPr>
      <t>10</t>
    </r>
    <r>
      <rPr>
        <sz val="10"/>
        <rFont val="华文细黑"/>
        <family val="3"/>
        <charset val="134"/>
      </rPr>
      <t>号楼</t>
    </r>
  </si>
  <si>
    <r>
      <t>33#</t>
    </r>
    <r>
      <rPr>
        <sz val="10"/>
        <rFont val="华文细黑"/>
        <family val="3"/>
        <charset val="134"/>
      </rPr>
      <t>厂房</t>
    </r>
    <r>
      <rPr>
        <sz val="10"/>
        <rFont val="Arial"/>
        <family val="2"/>
      </rPr>
      <t>-A</t>
    </r>
  </si>
  <si>
    <r>
      <t>三区</t>
    </r>
    <r>
      <rPr>
        <sz val="10"/>
        <rFont val="Arial"/>
        <family val="2"/>
      </rPr>
      <t>11</t>
    </r>
    <r>
      <rPr>
        <sz val="10"/>
        <rFont val="华文细黑"/>
        <family val="3"/>
        <charset val="134"/>
      </rPr>
      <t>号楼</t>
    </r>
  </si>
  <si>
    <r>
      <t>21#</t>
    </r>
    <r>
      <rPr>
        <sz val="10"/>
        <rFont val="华文细黑"/>
        <family val="3"/>
        <charset val="134"/>
      </rPr>
      <t>厂房</t>
    </r>
  </si>
  <si>
    <r>
      <t>三区</t>
    </r>
    <r>
      <rPr>
        <sz val="10"/>
        <rFont val="Arial"/>
        <family val="2"/>
      </rPr>
      <t>12</t>
    </r>
    <r>
      <rPr>
        <sz val="10"/>
        <rFont val="华文细黑"/>
        <family val="3"/>
        <charset val="134"/>
      </rPr>
      <t>号楼</t>
    </r>
  </si>
  <si>
    <r>
      <t>27#</t>
    </r>
    <r>
      <rPr>
        <sz val="10"/>
        <rFont val="华文细黑"/>
        <family val="3"/>
        <charset val="134"/>
      </rPr>
      <t>厂房</t>
    </r>
  </si>
  <si>
    <r>
      <t>三区</t>
    </r>
    <r>
      <rPr>
        <sz val="10"/>
        <rFont val="Arial"/>
        <family val="2"/>
      </rPr>
      <t>13</t>
    </r>
    <r>
      <rPr>
        <sz val="10"/>
        <rFont val="华文细黑"/>
        <family val="3"/>
        <charset val="134"/>
      </rPr>
      <t>号楼</t>
    </r>
  </si>
  <si>
    <r>
      <t>30#</t>
    </r>
    <r>
      <rPr>
        <sz val="10"/>
        <rFont val="华文细黑"/>
        <family val="3"/>
        <charset val="134"/>
      </rPr>
      <t>厂房</t>
    </r>
  </si>
  <si>
    <r>
      <t>三区</t>
    </r>
    <r>
      <rPr>
        <sz val="10"/>
        <rFont val="Arial"/>
        <family val="2"/>
      </rPr>
      <t>14</t>
    </r>
    <r>
      <rPr>
        <sz val="10"/>
        <rFont val="华文细黑"/>
        <family val="3"/>
        <charset val="134"/>
      </rPr>
      <t>号楼</t>
    </r>
  </si>
  <si>
    <r>
      <t>33#</t>
    </r>
    <r>
      <rPr>
        <sz val="10"/>
        <rFont val="华文细黑"/>
        <family val="3"/>
        <charset val="134"/>
      </rPr>
      <t>厂房</t>
    </r>
    <r>
      <rPr>
        <sz val="10"/>
        <rFont val="Arial"/>
        <family val="2"/>
      </rPr>
      <t>-B</t>
    </r>
  </si>
  <si>
    <r>
      <t>三区</t>
    </r>
    <r>
      <rPr>
        <sz val="10"/>
        <rFont val="Arial"/>
        <family val="2"/>
      </rPr>
      <t>15</t>
    </r>
    <r>
      <rPr>
        <sz val="10"/>
        <rFont val="华文细黑"/>
        <family val="3"/>
        <charset val="134"/>
      </rPr>
      <t>号楼</t>
    </r>
  </si>
  <si>
    <r>
      <t>22#</t>
    </r>
    <r>
      <rPr>
        <sz val="10"/>
        <rFont val="华文细黑"/>
        <family val="3"/>
        <charset val="134"/>
      </rPr>
      <t>厂房</t>
    </r>
  </si>
  <si>
    <r>
      <t>三区</t>
    </r>
    <r>
      <rPr>
        <sz val="10"/>
        <rFont val="Arial"/>
        <family val="2"/>
      </rPr>
      <t>17</t>
    </r>
    <r>
      <rPr>
        <sz val="10"/>
        <rFont val="华文细黑"/>
        <family val="3"/>
        <charset val="134"/>
      </rPr>
      <t>号楼</t>
    </r>
  </si>
  <si>
    <r>
      <t>三区</t>
    </r>
    <r>
      <rPr>
        <sz val="10"/>
        <rFont val="Arial"/>
        <family val="2"/>
      </rPr>
      <t>18号楼</t>
    </r>
    <r>
      <rPr>
        <sz val="10"/>
        <color theme="1"/>
        <rFont val="华文细黑"/>
        <family val="3"/>
        <charset val="134"/>
      </rPr>
      <t/>
    </r>
  </si>
  <si>
    <r>
      <t>28#</t>
    </r>
    <r>
      <rPr>
        <sz val="10"/>
        <rFont val="华文细黑"/>
        <family val="3"/>
        <charset val="134"/>
      </rPr>
      <t>厂房</t>
    </r>
  </si>
  <si>
    <r>
      <t>三区</t>
    </r>
    <r>
      <rPr>
        <sz val="10"/>
        <rFont val="Arial"/>
        <family val="2"/>
      </rPr>
      <t>19号楼</t>
    </r>
    <r>
      <rPr>
        <sz val="10"/>
        <color theme="1"/>
        <rFont val="华文细黑"/>
        <family val="3"/>
        <charset val="134"/>
      </rPr>
      <t/>
    </r>
  </si>
  <si>
    <r>
      <t>29#</t>
    </r>
    <r>
      <rPr>
        <sz val="10"/>
        <rFont val="华文细黑"/>
        <family val="3"/>
        <charset val="134"/>
      </rPr>
      <t>厂房</t>
    </r>
  </si>
  <si>
    <r>
      <t>三区</t>
    </r>
    <r>
      <rPr>
        <sz val="10"/>
        <rFont val="Arial"/>
        <family val="2"/>
      </rPr>
      <t>20</t>
    </r>
    <r>
      <rPr>
        <sz val="10"/>
        <rFont val="华文细黑"/>
        <family val="3"/>
        <charset val="134"/>
      </rPr>
      <t>号楼</t>
    </r>
  </si>
  <si>
    <r>
      <t>35#</t>
    </r>
    <r>
      <rPr>
        <sz val="10"/>
        <rFont val="华文细黑"/>
        <family val="3"/>
        <charset val="134"/>
      </rPr>
      <t>厂房</t>
    </r>
  </si>
  <si>
    <r>
      <t>三区</t>
    </r>
    <r>
      <rPr>
        <sz val="10"/>
        <rFont val="Arial"/>
        <family val="2"/>
      </rPr>
      <t>21</t>
    </r>
    <r>
      <rPr>
        <sz val="10"/>
        <rFont val="华文细黑"/>
        <family val="3"/>
        <charset val="134"/>
      </rPr>
      <t>号楼</t>
    </r>
  </si>
  <si>
    <r>
      <t>三区</t>
    </r>
    <r>
      <rPr>
        <sz val="10"/>
        <rFont val="Arial"/>
        <family val="2"/>
      </rPr>
      <t>22号楼</t>
    </r>
    <r>
      <rPr>
        <sz val="10"/>
        <color theme="1"/>
        <rFont val="华文细黑"/>
        <family val="3"/>
        <charset val="134"/>
      </rPr>
      <t/>
    </r>
  </si>
  <si>
    <r>
      <t>三区</t>
    </r>
    <r>
      <rPr>
        <sz val="10"/>
        <rFont val="Arial"/>
        <family val="2"/>
      </rPr>
      <t>23</t>
    </r>
    <r>
      <rPr>
        <sz val="10"/>
        <rFont val="华文细黑"/>
        <family val="3"/>
        <charset val="134"/>
      </rPr>
      <t>幢</t>
    </r>
  </si>
  <si>
    <r>
      <t>49#</t>
    </r>
    <r>
      <rPr>
        <sz val="10"/>
        <rFont val="华文细黑"/>
        <family val="3"/>
        <charset val="134"/>
      </rPr>
      <t>厂房</t>
    </r>
  </si>
  <si>
    <r>
      <t>四区</t>
    </r>
    <r>
      <rPr>
        <sz val="10"/>
        <rFont val="Arial"/>
        <family val="2"/>
      </rPr>
      <t>1</t>
    </r>
    <r>
      <rPr>
        <sz val="10"/>
        <rFont val="华文细黑"/>
        <family val="3"/>
        <charset val="134"/>
      </rPr>
      <t>号楼</t>
    </r>
  </si>
  <si>
    <r>
      <t>41#</t>
    </r>
    <r>
      <rPr>
        <sz val="10"/>
        <rFont val="华文细黑"/>
        <family val="3"/>
        <charset val="134"/>
      </rPr>
      <t>厂房</t>
    </r>
  </si>
  <si>
    <r>
      <t>四区</t>
    </r>
    <r>
      <rPr>
        <sz val="10"/>
        <rFont val="Arial"/>
        <family val="2"/>
      </rPr>
      <t>2</t>
    </r>
    <r>
      <rPr>
        <sz val="10"/>
        <rFont val="华文细黑"/>
        <family val="3"/>
        <charset val="134"/>
      </rPr>
      <t>号楼</t>
    </r>
  </si>
  <si>
    <r>
      <t>19#</t>
    </r>
    <r>
      <rPr>
        <sz val="10"/>
        <rFont val="宋体"/>
        <family val="3"/>
        <charset val="134"/>
      </rPr>
      <t>厂房</t>
    </r>
    <phoneticPr fontId="140" type="noConversion"/>
  </si>
  <si>
    <r>
      <t>18#</t>
    </r>
    <r>
      <rPr>
        <sz val="10"/>
        <rFont val="宋体"/>
        <family val="3"/>
        <charset val="134"/>
      </rPr>
      <t>厂房</t>
    </r>
    <phoneticPr fontId="140" type="noConversion"/>
  </si>
  <si>
    <r>
      <t>三区</t>
    </r>
    <r>
      <rPr>
        <sz val="10"/>
        <rFont val="Arial"/>
        <family val="2"/>
      </rPr>
      <t>16</t>
    </r>
    <r>
      <rPr>
        <sz val="10"/>
        <rFont val="宋体"/>
        <family val="3"/>
        <charset val="134"/>
      </rPr>
      <t>号楼</t>
    </r>
    <r>
      <rPr>
        <sz val="10"/>
        <color theme="1"/>
        <rFont val="华文细黑"/>
        <family val="3"/>
        <charset val="134"/>
      </rPr>
      <t/>
    </r>
    <phoneticPr fontId="140" type="noConversion"/>
  </si>
  <si>
    <r>
      <t>34#</t>
    </r>
    <r>
      <rPr>
        <sz val="10"/>
        <rFont val="宋体"/>
        <family val="3"/>
        <charset val="134"/>
      </rPr>
      <t>配电室</t>
    </r>
    <phoneticPr fontId="140" type="noConversion"/>
  </si>
  <si>
    <r>
      <t>42#</t>
    </r>
    <r>
      <rPr>
        <sz val="10"/>
        <color theme="1"/>
        <rFont val="宋体"/>
        <family val="3"/>
        <charset val="134"/>
      </rPr>
      <t>变配电室</t>
    </r>
    <phoneticPr fontId="140" type="noConversion"/>
  </si>
  <si>
    <t>终止日期</t>
    <phoneticPr fontId="140" type="noConversion"/>
  </si>
  <si>
    <t>土地面积</t>
    <phoneticPr fontId="140" type="noConversion"/>
  </si>
  <si>
    <t>总建筑面积</t>
    <phoneticPr fontId="140" type="noConversion"/>
  </si>
  <si>
    <t>项目总面积</t>
    <phoneticPr fontId="140" type="noConversion"/>
  </si>
  <si>
    <t>本次抵押范围</t>
    <phoneticPr fontId="140" type="noConversion"/>
  </si>
  <si>
    <t>项目</t>
    <phoneticPr fontId="140" type="noConversion"/>
  </si>
  <si>
    <t>分摊土地面积</t>
    <phoneticPr fontId="140" type="noConversion"/>
  </si>
  <si>
    <t>本次抵押</t>
    <phoneticPr fontId="140" type="noConversion"/>
  </si>
  <si>
    <t>地上工业</t>
    <phoneticPr fontId="140" type="noConversion"/>
  </si>
  <si>
    <t>地下工业</t>
    <phoneticPr fontId="140" type="noConversion"/>
  </si>
  <si>
    <t>地下车库</t>
    <phoneticPr fontId="140" type="noConversion"/>
  </si>
  <si>
    <t>设备</t>
    <phoneticPr fontId="140" type="noConversion"/>
  </si>
  <si>
    <t>合计</t>
    <phoneticPr fontId="140" type="noConversion"/>
  </si>
  <si>
    <t>经营性用途面积</t>
    <phoneticPr fontId="140" type="noConversion"/>
  </si>
  <si>
    <t>建筑面积</t>
    <phoneticPr fontId="140" type="noConversion"/>
  </si>
  <si>
    <t>总值</t>
    <phoneticPr fontId="140" type="noConversion"/>
  </si>
  <si>
    <t>建筑物价值</t>
    <phoneticPr fontId="140" type="noConversion"/>
  </si>
  <si>
    <t>土地价值</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</si>
  <si>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</si>
  <si>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</si>
  <si>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</si>
  <si>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</si>
  <si>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</si>
  <si>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t>四通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</si>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</sst>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华文细黑"/>
      <family val="3"/>
      <charset val="134"/>
    </font>
    <font>
      <sz val="10"/>
      <color theme="1"/>
      <name val="华文细黑"/>
      <family val="3"/>
      <charset val="134"/>
    </font>
    <font>
      <sz val="10"/>
      <color rgb="FFFF0000"/>
      <name val="宋体"/>
      <family val="3"/>
      <charset val="134"/>
      <scheme val="minor"/>
    </font>
    <font>
      <sz val="10"/>
      <name val="宋体"/>
      <family val="3"/>
      <charset val="134"/>
      <scheme val="minor"/>
    </font>
    <font>
      <sz val="10"/>
      <color rgb="FFFF0000"/>
      <name val="华文细黑"/>
      <family val="3"/>
      <charset val="134"/>
    </font>
    <font>
      <sz val="10"/>
      <name val="华文细黑"/>
      <family val="3"/>
      <charset val="134"/>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lignment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7" fillId="0" borderId="0" xfId="0" applyNumberFormat="1" applyFont="1" applyAlignment="1"/>
    <xf numFmtId="0" fontId="98" fillId="0" borderId="0" xfId="0" applyFont="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8" fillId="0" borderId="0" xfId="0" applyNumberFormat="1" applyFont="1" applyAlignment="1"/>
    <xf numFmtId="14" fontId="258" fillId="0" borderId="0" xfId="0" applyNumberFormat="1" applyFont="1" applyAlignment="1"/>
    <xf numFmtId="181" fontId="104" fillId="0" borderId="1" xfId="0" applyNumberFormat="1" applyFont="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103" fillId="0" borderId="1" xfId="0" applyFont="1" applyBorder="1" applyAlignment="1">
      <alignment horizontal="left" vertical="center"/>
    </xf>
    <xf numFmtId="0" fontId="256" fillId="0" borderId="1" xfId="0" applyFont="1" applyBorder="1" applyAlignment="1">
      <alignment horizontal="left" vertical="center"/>
    </xf>
    <xf numFmtId="0" fontId="118" fillId="0" borderId="1" xfId="0" applyFont="1" applyBorder="1" applyAlignment="1">
      <alignment horizontal="left" vertical="center"/>
    </xf>
    <xf numFmtId="0" fontId="259" fillId="0" borderId="1" xfId="0" applyFont="1" applyBorder="1" applyAlignment="1">
      <alignment horizontal="left" vertical="center"/>
    </xf>
    <xf numFmtId="0" fontId="55" fillId="0" borderId="1" xfId="0" applyFont="1" applyBorder="1" applyAlignment="1">
      <alignment horizontal="left" vertical="center"/>
    </xf>
    <xf numFmtId="0" fontId="260" fillId="0" borderId="1" xfId="0" applyFont="1" applyBorder="1" applyAlignment="1">
      <alignment horizontal="left" vertical="center"/>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258" fillId="0" borderId="1" xfId="0" applyFont="1" applyBorder="1" applyAlignment="1">
      <alignment horizontal="left" vertical="center"/>
    </xf>
    <xf numFmtId="0" fontId="257" fillId="0" borderId="0" xfId="0" applyFont="1" applyAlignment="1">
      <alignment horizontal="left" vertical="center"/>
    </xf>
    <xf numFmtId="14" fontId="111" fillId="0" borderId="0" xfId="0" applyNumberFormat="1" applyFont="1" applyAlignment="1">
      <alignment horizontal="left" vertical="center"/>
    </xf>
    <xf numFmtId="0" fontId="257" fillId="0" borderId="1" xfId="0" applyFont="1" applyBorder="1" applyAlignment="1">
      <alignment horizontal="left" vertical="center"/>
    </xf>
    <xf numFmtId="31" fontId="111" fillId="0" borderId="0" xfId="0" applyNumberFormat="1" applyFont="1" applyAlignment="1">
      <alignment horizontal="left" vertical="center"/>
    </xf>
    <xf numFmtId="0" fontId="111" fillId="0" borderId="58" xfId="0" applyFont="1" applyFill="1" applyBorder="1" applyAlignment="1">
      <alignment horizontal="left" vertical="center"/>
    </xf>
    <xf numFmtId="0" fontId="111" fillId="0" borderId="0" xfId="0" applyFont="1" applyFill="1" applyBorder="1">
      <alignment vertical="center"/>
    </xf>
    <xf numFmtId="0" fontId="255" fillId="0" borderId="0" xfId="0" applyFont="1" applyBorder="1" applyAlignment="1">
      <alignment horizontal="left" vertical="center"/>
    </xf>
    <xf numFmtId="0" fontId="170" fillId="0" borderId="0" xfId="0" applyFont="1" applyBorder="1" applyAlignment="1">
      <alignment horizontal="left" vertical="center"/>
    </xf>
    <xf numFmtId="0" fontId="111" fillId="5" borderId="0" xfId="0" applyFont="1" applyFill="1" applyAlignment="1">
      <alignment horizontal="left" vertical="center"/>
    </xf>
    <xf numFmtId="10" fontId="53" fillId="0" borderId="1" xfId="0" applyNumberFormat="1" applyFont="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5" fillId="0" borderId="1" xfId="0" applyFont="1" applyBorder="1" applyAlignment="1">
      <alignment horizontal="left" vertical="center"/>
    </xf>
    <xf numFmtId="0" fontId="256" fillId="0" borderId="1" xfId="0" applyFont="1" applyBorder="1" applyAlignment="1">
      <alignment horizontal="left" vertical="center"/>
    </xf>
    <xf numFmtId="0" fontId="255" fillId="0" borderId="1" xfId="0" applyFont="1" applyBorder="1" applyAlignment="1">
      <alignment horizontal="left" vertical="center"/>
    </xf>
    <xf numFmtId="0" fontId="111" fillId="0" borderId="1" xfId="0" applyFont="1" applyBorder="1" applyAlignment="1">
      <alignment horizontal="left" vertical="center"/>
    </xf>
    <xf numFmtId="0" fontId="170" fillId="0" borderId="1" xfId="0" applyFont="1" applyBorder="1" applyAlignment="1">
      <alignment horizontal="left" vertical="center"/>
    </xf>
    <xf numFmtId="0" fontId="258" fillId="0" borderId="1" xfId="0" applyFont="1" applyBorder="1" applyAlignment="1">
      <alignment horizontal="left" vertical="center"/>
    </xf>
    <xf numFmtId="0" fontId="260" fillId="0" borderId="1" xfId="0" applyFont="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3" fillId="0" borderId="0" xfId="0" applyFont="1" applyBorder="1" applyAlignment="1">
      <alignment horizontal="left" vertical="center"/>
    </xf>
    <xf numFmtId="0" fontId="261" fillId="0" borderId="0" xfId="0" applyFont="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估价对象为北京市房地产，为所有。根据《国有土地使用证》[]，估价对象（分摊）出让国有建设用地使用权面积为118122.57平方米，建筑面积为242531.24平方米。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估价对象为北京市房地产,属开发建设的，该项目尚在开发建设中。根据《国有土地使用证》[]，估价对象（分摊）出让国有建设用地使用权面积为118122.57平方米，规划建筑面积为242531.24平方米。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2022年7月27日（评估专业人员实地查勘之日）</v>
      </c>
    </row>
    <row r="13" spans="1:2" s="1317" customFormat="1">
      <c r="A13" s="1315" t="s">
        <v>954</v>
      </c>
      <c r="B13" s="1316"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164078</v>
      </c>
    </row>
    <row r="21" spans="1:2" s="1317" customFormat="1">
      <c r="A21" s="1315" t="s">
        <v>962</v>
      </c>
      <c r="B21" s="1316">
        <f ca="1">'预评函-2'!D7</f>
        <v>6765</v>
      </c>
    </row>
    <row r="22" spans="1:2" s="1317" customFormat="1">
      <c r="A22" s="1315" t="s">
        <v>963</v>
      </c>
      <c r="B22" s="1316" t="str">
        <f ca="1">'预评函-2'!D6</f>
        <v>壹拾陆亿肆仟零柒拾捌万元整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164078</v>
      </c>
    </row>
    <row r="31" spans="1:2" s="1317" customFormat="1">
      <c r="A31" s="1315" t="s">
        <v>1001</v>
      </c>
      <c r="B31" s="1316">
        <f ca="1">'预评函-2'!D15</f>
        <v>6765</v>
      </c>
    </row>
    <row r="32" spans="1:2" s="1317" customFormat="1">
      <c r="A32" s="1315" t="s">
        <v>968</v>
      </c>
      <c r="B32" s="1316" t="str">
        <f ca="1">'预评函-2'!D14</f>
        <v>壹拾陆亿肆仟零柒拾捌万元整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242531.24</v>
      </c>
    </row>
    <row r="44" spans="1:2" s="1317" customFormat="1">
      <c r="A44" s="1315" t="s">
        <v>1000</v>
      </c>
      <c r="B44" s="1316" t="str">
        <f>'预评函-3'!C2</f>
        <v>(分摊)土地面积</v>
      </c>
    </row>
    <row r="45" spans="1:2" s="1317" customFormat="1">
      <c r="A45" s="1315" t="s">
        <v>972</v>
      </c>
      <c r="B45" s="1316">
        <f>'预评函-3'!C4</f>
        <v>118122.57</v>
      </c>
    </row>
    <row r="46" spans="1:2" s="1317" customFormat="1">
      <c r="A46" s="1315" t="s">
        <v>998</v>
      </c>
      <c r="B46" s="1316" t="str">
        <f>'预评函-3'!D2</f>
        <v>出让国有建设用地使用权价值</v>
      </c>
    </row>
    <row r="47" spans="1:2" s="1317" customFormat="1">
      <c r="A47" s="1315" t="s">
        <v>973</v>
      </c>
      <c r="B47" s="1316">
        <f ca="1">'预评函-3'!D4</f>
        <v>51849</v>
      </c>
    </row>
    <row r="48" spans="1:2" s="1317" customFormat="1">
      <c r="A48" s="1315" t="s">
        <v>974</v>
      </c>
      <c r="B48" s="1316">
        <f ca="1">'预评函-3'!E4</f>
        <v>2138</v>
      </c>
    </row>
    <row r="49" spans="1:2" s="1317" customFormat="1">
      <c r="A49" s="1315" t="s">
        <v>975</v>
      </c>
      <c r="B49" s="1316" t="str">
        <f ca="1">'预评函-3'!D5</f>
        <v>伍亿壹仟捌佰肆拾玖万元整</v>
      </c>
    </row>
    <row r="50" spans="1:2" s="1317" customFormat="1">
      <c r="A50" s="1315" t="s">
        <v>999</v>
      </c>
      <c r="B50" s="1316" t="str">
        <f>'预评函-3'!F2</f>
        <v>在建建筑物价值</v>
      </c>
    </row>
    <row r="51" spans="1:2" s="1317" customFormat="1">
      <c r="A51" s="1315" t="s">
        <v>976</v>
      </c>
      <c r="B51" s="1316">
        <f ca="1">'预评函-3'!F4</f>
        <v>112229</v>
      </c>
    </row>
    <row r="52" spans="1:2" s="1317" customFormat="1">
      <c r="A52" s="1315" t="s">
        <v>977</v>
      </c>
      <c r="B52" s="1316">
        <f ca="1">'预评函-3'!G4</f>
        <v>4627</v>
      </c>
    </row>
    <row r="53" spans="1:2" s="1317" customFormat="1">
      <c r="A53" s="1315" t="s">
        <v>1005</v>
      </c>
      <c r="B53" s="1316" t="str">
        <f ca="1">'预评函-3'!F5</f>
        <v>壹拾壹亿贰仟贰佰贰拾玖万元整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5" thickBot="1">
      <c r="A73" s="1318" t="s">
        <v>990</v>
      </c>
      <c r="B73" s="1319">
        <f ca="1">'预评函-4'!B5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3487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2791</v>
      </c>
      <c r="C17" s="1682"/>
    </row>
    <row r="18" spans="1:3">
      <c r="A18" s="1681" t="s">
        <v>1490</v>
      </c>
      <c r="B18" s="1681" t="s">
        <v>2935</v>
      </c>
      <c r="C18" s="1682"/>
    </row>
    <row r="19" spans="1:3">
      <c r="A19" s="1681" t="s">
        <v>1491</v>
      </c>
      <c r="B19" s="1681" t="s">
        <v>3489</v>
      </c>
      <c r="C19" s="1682"/>
    </row>
    <row r="20" spans="1:3">
      <c r="A20" s="1681" t="s">
        <v>1492</v>
      </c>
      <c r="B20" s="1681" t="s">
        <v>3491</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8"/>
      <c r="B54" s="1689" t="s">
        <v>651</v>
      </c>
      <c r="C54" s="1686" t="s">
        <v>1008</v>
      </c>
    </row>
    <row r="55" spans="1:4">
      <c r="A55" s="3318"/>
      <c r="B55" s="1689" t="s">
        <v>652</v>
      </c>
      <c r="C55" s="1686" t="s">
        <v>1009</v>
      </c>
    </row>
    <row r="56" spans="1:4">
      <c r="A56" s="3318"/>
      <c r="B56" s="1689" t="s">
        <v>653</v>
      </c>
      <c r="C56" s="1686" t="s">
        <v>1013</v>
      </c>
    </row>
    <row r="57" spans="1:4">
      <c r="A57" s="331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9" sqref="D49"/>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321"/>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v>44769</v>
      </c>
      <c r="C3" s="2546" t="s">
        <v>2669</v>
      </c>
      <c r="D3" s="2545">
        <f>B3</f>
        <v>44769</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t="s">
        <v>3509</v>
      </c>
      <c r="C4" s="2548">
        <f ca="1">SUMIF(注册房地产估价师,B4,估价师及机构信息!B3:B24)</f>
        <v>1419970001</v>
      </c>
      <c r="D4" s="2547" t="s">
        <v>3510</v>
      </c>
      <c r="E4" s="2549">
        <f ca="1">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吴薇（注册号：1419970001)、崔锴（注册号：0)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3237</v>
      </c>
      <c r="C8" s="2562"/>
      <c r="D8" s="3322" t="s">
        <v>2675</v>
      </c>
      <c r="E8" s="2563" t="s">
        <v>3238</v>
      </c>
      <c r="F8" s="2564"/>
      <c r="G8" s="2838"/>
      <c r="H8" s="2838"/>
      <c r="I8" s="2838"/>
      <c r="J8" s="2613"/>
      <c r="K8" s="2788"/>
      <c r="L8" s="2787"/>
      <c r="M8" s="2787"/>
      <c r="N8" s="2613"/>
      <c r="O8" s="2624"/>
      <c r="P8" s="2613"/>
      <c r="Q8" s="2613"/>
      <c r="R8" s="2613"/>
    </row>
    <row r="9" spans="1:28" ht="13.5" thickBot="1">
      <c r="A9" s="2565" t="s">
        <v>2676</v>
      </c>
      <c r="B9" s="2566" t="s">
        <v>3238</v>
      </c>
      <c r="C9" s="2567"/>
      <c r="D9" s="3323"/>
      <c r="E9" s="2566"/>
      <c r="F9" s="2568"/>
      <c r="G9" s="2840"/>
      <c r="H9" s="2840"/>
      <c r="I9" s="2840"/>
      <c r="J9" s="2613"/>
      <c r="K9" s="2790"/>
      <c r="L9" s="2787"/>
      <c r="M9" s="2787"/>
      <c r="N9" s="2613"/>
      <c r="O9" s="2624"/>
      <c r="P9" s="2613"/>
      <c r="Q9" s="2613"/>
      <c r="R9" s="2613"/>
    </row>
    <row r="10" spans="1:28" ht="13.5" thickTop="1">
      <c r="A10" s="2569" t="s">
        <v>2677</v>
      </c>
      <c r="B10" s="2570" t="s">
        <v>3239</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3240</v>
      </c>
      <c r="C11" s="2575"/>
      <c r="D11" s="2576"/>
      <c r="E11" s="2542"/>
      <c r="F11" s="2542"/>
      <c r="G11" s="2542"/>
      <c r="H11" s="2542"/>
      <c r="I11" s="2542"/>
      <c r="J11" s="2613"/>
      <c r="K11" s="2790"/>
      <c r="L11" s="2787"/>
      <c r="M11" s="2787"/>
      <c r="N11" s="2613"/>
      <c r="O11" s="2624"/>
      <c r="P11" s="2613"/>
      <c r="Q11" s="2613"/>
      <c r="R11" s="2613"/>
    </row>
    <row r="12" spans="1:28">
      <c r="A12" s="2577" t="s">
        <v>2680</v>
      </c>
      <c r="B12" s="2574" t="s">
        <v>3241</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ht="15">
      <c r="A13" s="1194"/>
      <c r="B13" s="2579"/>
      <c r="C13" s="2580" t="s">
        <v>2688</v>
      </c>
      <c r="D13" s="946"/>
      <c r="E13" s="946"/>
      <c r="F13" s="946"/>
      <c r="G13" s="3241">
        <v>59926</v>
      </c>
      <c r="H13" s="3241"/>
      <c r="I13" s="946">
        <v>59926</v>
      </c>
      <c r="J13" s="2613"/>
      <c r="K13" s="2790"/>
      <c r="L13" s="2787"/>
      <c r="M13" s="2787"/>
      <c r="N13" s="2613"/>
      <c r="O13" s="2624"/>
      <c r="P13" s="2613"/>
      <c r="Q13" s="2613"/>
      <c r="R13" s="2613"/>
    </row>
    <row r="14" spans="1:28">
      <c r="A14" s="1194"/>
      <c r="B14" s="2579"/>
      <c r="C14" s="2580" t="s">
        <v>2689</v>
      </c>
      <c r="D14" s="2581"/>
      <c r="E14" s="2581"/>
      <c r="F14" s="2581"/>
      <c r="G14" s="2581">
        <v>50</v>
      </c>
      <c r="H14" s="2581"/>
      <c r="I14" s="2581">
        <v>50</v>
      </c>
      <c r="J14" s="2613"/>
      <c r="K14" s="2791"/>
      <c r="L14" s="2787"/>
      <c r="M14" s="2787"/>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f>IF(B12="出让",IF(G13="","",ROUNDDOWN(MIN((G13-$D$3)/365,G14),2)),G14)</f>
        <v>41.52</v>
      </c>
      <c r="H15" s="2584" t="str">
        <f>IF(B12="出让",IF(H13="","",ROUNDDOWN(MIN((H13-$D$3)/365,H14),2)),H14)</f>
        <v/>
      </c>
      <c r="I15" s="2584">
        <f>IF(B12="出让",IF(I13="","",ROUNDDOWN(MIN((I13-$D$3)/365,I14),2)),I14)</f>
        <v>41.52</v>
      </c>
      <c r="J15" s="2613"/>
      <c r="K15" s="2792"/>
      <c r="L15" s="2625"/>
      <c r="M15" s="2625"/>
      <c r="N15" s="2683"/>
      <c r="O15" s="2625"/>
      <c r="P15" s="2683"/>
      <c r="Q15" s="2613"/>
      <c r="R15" s="2613"/>
    </row>
    <row r="16" spans="1:28">
      <c r="A16" s="2572" t="s">
        <v>2691</v>
      </c>
      <c r="B16" s="3329"/>
      <c r="C16" s="3330"/>
      <c r="D16" s="3331"/>
      <c r="E16" s="2587" t="s">
        <v>2692</v>
      </c>
      <c r="F16" s="3332"/>
      <c r="G16" s="3333"/>
      <c r="H16" s="3333"/>
      <c r="I16" s="3334"/>
      <c r="J16" s="2613"/>
      <c r="K16" s="2792"/>
      <c r="L16" s="2625"/>
      <c r="M16" s="2625"/>
      <c r="N16" s="2683"/>
      <c r="O16" s="2625"/>
      <c r="P16" s="2683"/>
      <c r="Q16" s="2613"/>
      <c r="R16" s="2613"/>
    </row>
    <row r="17" spans="1:28">
      <c r="A17" s="319" t="s">
        <v>2693</v>
      </c>
      <c r="B17" s="308" t="s">
        <v>2694</v>
      </c>
      <c r="C17" s="11">
        <f>'数据-汇总表'!E3</f>
        <v>242531.24</v>
      </c>
      <c r="D17" s="2494" t="s">
        <v>2695</v>
      </c>
      <c r="E17" s="3335" t="s">
        <v>2696</v>
      </c>
      <c r="F17" s="3336"/>
      <c r="G17" s="3336"/>
      <c r="H17" s="3336"/>
      <c r="I17" s="3337"/>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118122.57</v>
      </c>
      <c r="D18" s="1205" t="s">
        <v>2699</v>
      </c>
      <c r="E18" s="3338" t="s">
        <v>2700</v>
      </c>
      <c r="F18" s="3339"/>
      <c r="G18" s="3339"/>
      <c r="H18" s="3339"/>
      <c r="I18" s="3340"/>
      <c r="J18" s="2613"/>
      <c r="K18" s="2793"/>
      <c r="L18" s="2625"/>
      <c r="M18" s="2625"/>
      <c r="N18" s="2683"/>
      <c r="O18" s="2625"/>
      <c r="P18" s="2683"/>
      <c r="Q18" s="2613"/>
      <c r="R18" s="2613"/>
      <c r="S18" s="2613"/>
      <c r="T18" s="2613"/>
      <c r="U18" s="2613"/>
      <c r="V18" s="2613"/>
    </row>
    <row r="19" spans="1:28" ht="37.5" thickTop="1" thickBot="1">
      <c r="A19" s="333" t="s">
        <v>1499</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25" t="s">
        <v>2704</v>
      </c>
      <c r="C20" s="3326"/>
      <c r="D20" s="3327" t="s">
        <v>2705</v>
      </c>
      <c r="E20" s="3328"/>
      <c r="F20" s="2822" t="s">
        <v>1500</v>
      </c>
      <c r="G20" s="2839"/>
      <c r="H20" s="2839"/>
      <c r="I20" s="2839"/>
      <c r="J20" s="2613"/>
      <c r="K20" s="3324"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1501</v>
      </c>
      <c r="D21" s="1703" t="s">
        <v>2708</v>
      </c>
      <c r="E21" s="2810" t="s">
        <v>1501</v>
      </c>
      <c r="F21" s="2823"/>
      <c r="G21" s="2839"/>
      <c r="H21" s="2839"/>
      <c r="I21" s="2839"/>
      <c r="J21" s="2613"/>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1502</v>
      </c>
      <c r="D22" s="2838"/>
      <c r="E22" s="2838"/>
      <c r="F22" s="2838"/>
      <c r="G22" s="2839"/>
      <c r="H22" s="2839"/>
      <c r="I22" s="2839"/>
      <c r="J22" s="2613"/>
      <c r="K22" s="33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1503</v>
      </c>
      <c r="C24" s="2816"/>
      <c r="D24" s="2812" t="s">
        <v>1503</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1504</v>
      </c>
      <c r="C25" s="2816"/>
      <c r="D25" s="2812" t="s">
        <v>1504</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1505</v>
      </c>
      <c r="C26" s="2820"/>
      <c r="D26" s="2818" t="s">
        <v>1505</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42"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42"/>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42"/>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43"/>
      <c r="B30" s="308" t="s">
        <v>2716</v>
      </c>
      <c r="C30" s="3344"/>
      <c r="D30" s="3345"/>
      <c r="E30" s="2839"/>
      <c r="F30" s="2839"/>
      <c r="G30" s="2839"/>
      <c r="H30" s="2839"/>
      <c r="I30" s="2839"/>
      <c r="J30" s="2613"/>
      <c r="K30" s="2790"/>
      <c r="L30" s="2787"/>
      <c r="M30" s="2787"/>
      <c r="N30" s="2613"/>
      <c r="O30" s="2624"/>
      <c r="P30" s="2613"/>
      <c r="Q30" s="2613"/>
      <c r="R30" s="2613"/>
      <c r="S30" s="2613"/>
      <c r="T30" s="2613"/>
      <c r="U30" s="2613"/>
      <c r="V30" s="2613"/>
    </row>
    <row r="31" spans="1:28">
      <c r="A31" s="3346" t="s">
        <v>2717</v>
      </c>
      <c r="B31" s="2596" t="s">
        <v>3242</v>
      </c>
      <c r="C31" s="2495" t="str">
        <f>IF(B31="现房","成新及维护状况正常否",IF(B31="在建","工程状态是否正常",IF(B31="土地","是否闲置","-")))</f>
        <v>成新及维护状况正常否</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47"/>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47"/>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41" t="s">
        <v>2726</v>
      </c>
      <c r="T34" s="2602" t="str">
        <f>NUMBERSTRING(7-K34,1)&amp;"通"</f>
        <v>七通</v>
      </c>
      <c r="U34" s="2613"/>
      <c r="V34" s="2613"/>
    </row>
    <row r="35" spans="1:30">
      <c r="A35" s="2603"/>
      <c r="B35" s="3348" t="s">
        <v>2727</v>
      </c>
      <c r="C35" s="3348"/>
      <c r="D35" s="3348"/>
      <c r="E35" s="3348"/>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1"/>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533</v>
      </c>
      <c r="C37" s="2605" t="s">
        <v>533</v>
      </c>
      <c r="D37" s="2605" t="s">
        <v>533</v>
      </c>
      <c r="E37" s="2605" t="s">
        <v>533</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t="s">
        <v>233</v>
      </c>
      <c r="C38" s="2606" t="s">
        <v>233</v>
      </c>
      <c r="D38" s="2606" t="s">
        <v>233</v>
      </c>
      <c r="E38" s="2606" t="s">
        <v>233</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面积表!K6</f>
        <v>119876.49</v>
      </c>
      <c r="B3" s="14">
        <f>IF(C3="否",G5-AT5,G5)</f>
        <v>242531.24</v>
      </c>
      <c r="C3" s="1715" t="s">
        <v>3243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f>面积表!K17</f>
        <v>118122.57</v>
      </c>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242531.24</v>
      </c>
      <c r="H5" s="16">
        <f t="shared" ref="H5:AT5" si="0">SUM(H13:H656)</f>
        <v>234605.62</v>
      </c>
      <c r="I5" s="16">
        <f t="shared" si="0"/>
        <v>175962.71000000002</v>
      </c>
      <c r="J5" s="16">
        <f t="shared" si="0"/>
        <v>0</v>
      </c>
      <c r="K5" s="16">
        <f t="shared" si="0"/>
        <v>28385.21</v>
      </c>
      <c r="L5" s="16">
        <f t="shared" si="0"/>
        <v>0</v>
      </c>
      <c r="M5" s="16">
        <f t="shared" si="0"/>
        <v>30257.699999999997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7925.619999999999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572.02</v>
      </c>
      <c r="AM5" s="16">
        <f t="shared" si="0"/>
        <v>0</v>
      </c>
      <c r="AN5" s="16">
        <f t="shared" si="0"/>
        <v>7353.5999999999995</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242531.24</v>
      </c>
      <c r="BA5" s="18">
        <f t="shared" si="1"/>
        <v>234605.62</v>
      </c>
      <c r="BB5" s="18">
        <f t="shared" si="1"/>
        <v>175962.71000000002</v>
      </c>
      <c r="BC5" s="18">
        <f t="shared" si="1"/>
        <v>28385.21</v>
      </c>
      <c r="BD5" s="18">
        <f t="shared" si="1"/>
        <v>30257.699999999997</v>
      </c>
      <c r="BE5" s="18">
        <f t="shared" si="1"/>
        <v>0</v>
      </c>
      <c r="BF5" s="18">
        <f t="shared" si="1"/>
        <v>0</v>
      </c>
      <c r="BG5" s="18">
        <f t="shared" si="1"/>
        <v>0</v>
      </c>
      <c r="BH5" s="18">
        <f t="shared" si="1"/>
        <v>0</v>
      </c>
      <c r="BI5" s="18">
        <f t="shared" si="1"/>
        <v>0</v>
      </c>
      <c r="BJ5" s="18">
        <f t="shared" si="1"/>
        <v>0</v>
      </c>
      <c r="BK5" s="18">
        <f t="shared" si="1"/>
        <v>0</v>
      </c>
      <c r="BL5" s="18">
        <f t="shared" si="1"/>
        <v>7925.619999999999</v>
      </c>
      <c r="BM5" s="18">
        <f t="shared" si="1"/>
        <v>0</v>
      </c>
      <c r="BN5" s="18">
        <f t="shared" si="1"/>
        <v>0</v>
      </c>
      <c r="BO5" s="18">
        <f t="shared" si="1"/>
        <v>0</v>
      </c>
      <c r="BP5" s="18">
        <f t="shared" si="1"/>
        <v>0</v>
      </c>
      <c r="BQ5" s="18">
        <f t="shared" si="1"/>
        <v>572.02</v>
      </c>
      <c r="BR5" s="18">
        <f t="shared" si="1"/>
        <v>7353.5999999999995</v>
      </c>
      <c r="BS5" s="18">
        <f t="shared" si="1"/>
        <v>0</v>
      </c>
      <c r="BT5" s="19">
        <f t="shared" si="1"/>
        <v>0</v>
      </c>
    </row>
    <row r="6" spans="1:72" s="1724" customFormat="1" ht="12.75">
      <c r="A6" s="15" t="s">
        <v>1515</v>
      </c>
      <c r="B6" s="1721"/>
      <c r="C6" s="1721"/>
      <c r="D6" s="1722"/>
      <c r="E6" s="16">
        <f>H6+AC6+AT6</f>
        <v>119876.48000000001</v>
      </c>
      <c r="F6" s="16" t="s">
        <v>1</v>
      </c>
      <c r="G6" s="16" t="s">
        <v>2</v>
      </c>
      <c r="H6" s="20">
        <f>SUMIF(I$12:AB$12,"总值",I6:AB6)</f>
        <v>115959.07</v>
      </c>
      <c r="I6" s="16">
        <f t="shared" ref="I6:AB6" si="2">ROUND($A$3*I5/$B$3,2)</f>
        <v>86973.51</v>
      </c>
      <c r="J6" s="16">
        <f t="shared" si="2"/>
        <v>0</v>
      </c>
      <c r="K6" s="16">
        <f t="shared" si="2"/>
        <v>14030.02</v>
      </c>
      <c r="L6" s="16">
        <f t="shared" si="2"/>
        <v>0</v>
      </c>
      <c r="M6" s="16">
        <f t="shared" si="2"/>
        <v>14955.54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3917.41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282.73</v>
      </c>
      <c r="AM6" s="16">
        <f t="shared" si="3"/>
        <v>0</v>
      </c>
      <c r="AN6" s="16">
        <f t="shared" si="3"/>
        <v>3634.68</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118122.57</v>
      </c>
      <c r="AZ6" s="16" t="s">
        <v>3</v>
      </c>
      <c r="BA6" s="16">
        <f>ROUND($AY$6*BA5/$AZ$5,2)</f>
        <v>114262.47</v>
      </c>
      <c r="BB6" s="16">
        <f>ROUND($AY$6*BB5/$AZ$5,2)</f>
        <v>85700.99</v>
      </c>
      <c r="BC6" s="16">
        <f t="shared" ref="BC6:BH6" si="4">ROUND($AY$6*BC5/$AZ$5,2)</f>
        <v>13824.75</v>
      </c>
      <c r="BD6" s="16">
        <f t="shared" si="4"/>
        <v>14736.73</v>
      </c>
      <c r="BE6" s="16">
        <f t="shared" si="4"/>
        <v>0</v>
      </c>
      <c r="BF6" s="16">
        <f t="shared" si="4"/>
        <v>0</v>
      </c>
      <c r="BG6" s="16">
        <f t="shared" si="4"/>
        <v>0</v>
      </c>
      <c r="BH6" s="16">
        <f t="shared" si="4"/>
        <v>0</v>
      </c>
      <c r="BI6" s="16">
        <f t="shared" ref="BI6:BT6" si="5">ROUND($AY$6*BI5/$AZ$5,2)</f>
        <v>0</v>
      </c>
      <c r="BJ6" s="16">
        <f t="shared" si="5"/>
        <v>0</v>
      </c>
      <c r="BK6" s="16">
        <f t="shared" si="5"/>
        <v>0</v>
      </c>
      <c r="BL6" s="16">
        <f t="shared" si="5"/>
        <v>3860.1</v>
      </c>
      <c r="BM6" s="16">
        <f t="shared" si="5"/>
        <v>0</v>
      </c>
      <c r="BN6" s="16">
        <f t="shared" si="5"/>
        <v>0</v>
      </c>
      <c r="BO6" s="16">
        <f t="shared" si="5"/>
        <v>0</v>
      </c>
      <c r="BP6" s="16">
        <f t="shared" si="5"/>
        <v>0</v>
      </c>
      <c r="BQ6" s="16">
        <f t="shared" si="5"/>
        <v>278.60000000000002</v>
      </c>
      <c r="BR6" s="16">
        <f t="shared" si="5"/>
        <v>3581.5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3" t="s">
        <v>1530</v>
      </c>
      <c r="AU8" s="1729" t="s">
        <v>1531</v>
      </c>
      <c r="AV8" s="1183"/>
      <c r="AW8" s="1712"/>
      <c r="AX8" s="1183"/>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1534</v>
      </c>
      <c r="I9" s="1738" t="s">
        <v>3173</v>
      </c>
      <c r="J9" s="899"/>
      <c r="K9" s="1738" t="s">
        <v>3174</v>
      </c>
      <c r="L9" s="899"/>
      <c r="M9" s="1738" t="s">
        <v>3174</v>
      </c>
      <c r="N9" s="899"/>
      <c r="O9" s="1738"/>
      <c r="P9" s="899"/>
      <c r="Q9" s="1738"/>
      <c r="R9" s="899"/>
      <c r="S9" s="1738"/>
      <c r="T9" s="899"/>
      <c r="U9" s="1738"/>
      <c r="V9" s="899"/>
      <c r="W9" s="1738"/>
      <c r="X9" s="1739"/>
      <c r="Y9" s="1738"/>
      <c r="Z9" s="899"/>
      <c r="AA9" s="1738"/>
      <c r="AB9" s="899"/>
      <c r="AC9" s="1730"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0"/>
      <c r="AT9" s="1729"/>
      <c r="AU9" s="1729" t="s">
        <v>1537</v>
      </c>
      <c r="AV9" s="1183"/>
      <c r="AW9" s="1712"/>
      <c r="AX9" s="1183"/>
      <c r="AY9" s="28"/>
      <c r="AZ9" s="28" t="s">
        <v>1527</v>
      </c>
      <c r="BA9" s="1741" t="s">
        <v>1538</v>
      </c>
      <c r="BB9" s="1742"/>
      <c r="BC9" s="1201"/>
      <c r="BD9" s="1201"/>
      <c r="BE9" s="1201"/>
      <c r="BF9" s="1201"/>
      <c r="BG9" s="1201"/>
      <c r="BH9" s="1201"/>
      <c r="BI9" s="1201"/>
      <c r="BJ9" s="1201"/>
      <c r="BK9" s="1743"/>
      <c r="BL9" s="15" t="s">
        <v>1539</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t="s">
        <v>3245</v>
      </c>
      <c r="L10" s="899"/>
      <c r="M10" s="1744" t="s">
        <v>3246</v>
      </c>
      <c r="N10" s="899"/>
      <c r="O10" s="1744"/>
      <c r="P10" s="899"/>
      <c r="Q10" s="1744"/>
      <c r="R10" s="899"/>
      <c r="S10" s="1744"/>
      <c r="T10" s="899"/>
      <c r="U10" s="1744"/>
      <c r="V10" s="899"/>
      <c r="W10" s="1744"/>
      <c r="X10" s="899"/>
      <c r="Y10" s="1744"/>
      <c r="Z10" s="899"/>
      <c r="AA10" s="1744"/>
      <c r="AB10" s="899"/>
      <c r="AC10" s="1183"/>
      <c r="AD10" s="15" t="s">
        <v>1540</v>
      </c>
      <c r="AE10" s="1745"/>
      <c r="AF10" s="15" t="s">
        <v>1540</v>
      </c>
      <c r="AG10" s="1745"/>
      <c r="AH10" s="15" t="s">
        <v>1541</v>
      </c>
      <c r="AI10" s="1745"/>
      <c r="AJ10" s="15" t="s">
        <v>1541</v>
      </c>
      <c r="AK10" s="1745"/>
      <c r="AL10" s="15" t="s">
        <v>1542</v>
      </c>
      <c r="AM10" s="1189"/>
      <c r="AN10" s="15" t="s">
        <v>1542</v>
      </c>
      <c r="AO10" s="1189"/>
      <c r="AP10" s="15" t="s">
        <v>1543</v>
      </c>
      <c r="AQ10" s="1189"/>
      <c r="AR10" s="15" t="s">
        <v>1543</v>
      </c>
      <c r="AS10" s="1189"/>
      <c r="AT10" s="1729"/>
      <c r="AU10" s="1729"/>
      <c r="AV10" s="1183"/>
      <c r="AW10" s="1712"/>
      <c r="AX10" s="1183"/>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3244</v>
      </c>
      <c r="J11" s="1750"/>
      <c r="K11" s="1749" t="s">
        <v>3244</v>
      </c>
      <c r="L11" s="1750"/>
      <c r="M11" s="1749" t="s">
        <v>3246</v>
      </c>
      <c r="N11" s="1750"/>
      <c r="O11" s="1749"/>
      <c r="P11" s="1750"/>
      <c r="Q11" s="1749"/>
      <c r="R11" s="1750"/>
      <c r="S11" s="1749"/>
      <c r="T11" s="1750"/>
      <c r="U11" s="1749"/>
      <c r="V11" s="1750"/>
      <c r="W11" s="1749"/>
      <c r="X11" s="1750"/>
      <c r="Y11" s="1749"/>
      <c r="Z11" s="1750"/>
      <c r="AA11" s="1749"/>
      <c r="AB11" s="1750"/>
      <c r="AC11" s="1183"/>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t="str">
        <f>K10</f>
        <v>仓储</v>
      </c>
      <c r="BD11" s="1734" t="str">
        <f>M10</f>
        <v>车库</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t="str">
        <f>K11</f>
        <v>标准厂房</v>
      </c>
      <c r="BD12" s="1759" t="str">
        <f>M11</f>
        <v>车库</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3243</v>
      </c>
      <c r="E13" s="16">
        <f>IF($C$3="是",ROUND($A$3*G13/$B$3,2),ROUND($A$3*(G13-AT13)/$B$3,2))</f>
        <v>119876.49</v>
      </c>
      <c r="F13" s="32"/>
      <c r="G13" s="33">
        <f>H13+AC13+AT13</f>
        <v>242531.24</v>
      </c>
      <c r="H13" s="20">
        <f>SUMIF(I$12:AB$12,"总值",I13:AB13)</f>
        <v>234605.62</v>
      </c>
      <c r="I13" s="1761">
        <f>面积表!K19</f>
        <v>175962.71000000002</v>
      </c>
      <c r="J13" s="1761"/>
      <c r="K13" s="1761">
        <f>面积表!K20</f>
        <v>28385.21</v>
      </c>
      <c r="L13" s="1761"/>
      <c r="M13" s="1761">
        <f>面积表!K21</f>
        <v>30257.699999999997</v>
      </c>
      <c r="N13" s="1761"/>
      <c r="O13" s="1761"/>
      <c r="P13" s="1761"/>
      <c r="Q13" s="1761"/>
      <c r="R13" s="1761"/>
      <c r="S13" s="1761"/>
      <c r="T13" s="1761"/>
      <c r="U13" s="1761"/>
      <c r="V13" s="1761"/>
      <c r="W13" s="1761"/>
      <c r="X13" s="1761"/>
      <c r="Y13" s="1761"/>
      <c r="Z13" s="1761"/>
      <c r="AA13" s="1761"/>
      <c r="AB13" s="1761"/>
      <c r="AC13" s="16">
        <f>SUMIF(AD$12:AS$12,"总值",AD13:AS13)</f>
        <v>7925.619999999999</v>
      </c>
      <c r="AD13" s="1762"/>
      <c r="AE13" s="1762"/>
      <c r="AF13" s="1762"/>
      <c r="AG13" s="1762"/>
      <c r="AH13" s="1762"/>
      <c r="AI13" s="1762"/>
      <c r="AJ13" s="1762"/>
      <c r="AK13" s="1762"/>
      <c r="AL13" s="1762">
        <f>面积表!K22</f>
        <v>572.02</v>
      </c>
      <c r="AM13" s="1762"/>
      <c r="AN13" s="1762">
        <f>面积表!K23</f>
        <v>7353.5999999999995</v>
      </c>
      <c r="AO13" s="1762"/>
      <c r="AP13" s="1762"/>
      <c r="AQ13" s="1762"/>
      <c r="AR13" s="1762"/>
      <c r="AS13" s="1762"/>
      <c r="AT13" s="1763"/>
      <c r="AU13" s="1764"/>
      <c r="AV13" s="11">
        <f t="shared" ref="AV13:AX17" si="6">A13</f>
        <v>0</v>
      </c>
      <c r="AW13" s="11">
        <f t="shared" si="6"/>
        <v>0</v>
      </c>
      <c r="AX13" s="11">
        <f t="shared" si="6"/>
        <v>0</v>
      </c>
      <c r="AY13" s="1483">
        <f>ROUND($AY$6*AZ13/$AZ$5,2)</f>
        <v>118122.57</v>
      </c>
      <c r="AZ13" s="16">
        <f>BA13+BL13</f>
        <v>242531.24</v>
      </c>
      <c r="BA13" s="16">
        <f>SUM(BB13:BK13)</f>
        <v>234605.62</v>
      </c>
      <c r="BB13" s="16">
        <f>IF($D13="是",I13-J13,0)</f>
        <v>175962.71000000002</v>
      </c>
      <c r="BC13" s="16">
        <f>IF($D13="是",K13-L13,0)</f>
        <v>28385.21</v>
      </c>
      <c r="BD13" s="16">
        <f>IF($D13="是",M13-N13,0)</f>
        <v>30257.699999999997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7925.619999999999</v>
      </c>
      <c r="BM13" s="16">
        <f>IF($D13="是",AD13-AE13,0)</f>
        <v>0</v>
      </c>
      <c r="BN13" s="16">
        <f>IF($D13="是",AF13-AG13,0)</f>
        <v>0</v>
      </c>
      <c r="BO13" s="16">
        <f>IF($D13="是",AH13-AI13,0)</f>
        <v>0</v>
      </c>
      <c r="BP13" s="16">
        <f>IF($D13="是",AJ13-AK13,0)</f>
        <v>0</v>
      </c>
      <c r="BQ13" s="16">
        <f>IF($D13="是",AL13-AM13,0)</f>
        <v>572.02</v>
      </c>
      <c r="BR13" s="16">
        <f>IF($D13="是",AN13-AO13,0)</f>
        <v>7353.5999999999995</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9" t="s">
        <v>0</v>
      </c>
      <c r="B1" s="3349" t="s">
        <v>4</v>
      </c>
      <c r="C1" s="3349" t="s">
        <v>5</v>
      </c>
      <c r="D1" s="3350" t="s">
        <v>53</v>
      </c>
      <c r="E1" s="3350" t="s">
        <v>54</v>
      </c>
      <c r="F1" s="3350"/>
      <c r="G1" s="3350"/>
      <c r="H1" s="3350"/>
      <c r="I1" s="3350"/>
      <c r="J1" s="3350"/>
      <c r="K1" s="3350"/>
      <c r="L1" s="3350"/>
      <c r="M1" s="3350"/>
    </row>
    <row r="2" spans="1:13" ht="27" customHeight="1">
      <c r="A2" s="3349"/>
      <c r="B2" s="3349"/>
      <c r="C2" s="3349"/>
      <c r="D2" s="3350"/>
      <c r="E2" s="3350" t="s">
        <v>37</v>
      </c>
      <c r="F2" s="3350" t="s">
        <v>38</v>
      </c>
      <c r="G2" s="3350"/>
      <c r="H2" s="3350"/>
      <c r="I2" s="3350"/>
      <c r="J2" s="3350" t="s">
        <v>39</v>
      </c>
      <c r="K2" s="3350"/>
      <c r="L2" s="3350"/>
      <c r="M2" s="3350"/>
    </row>
    <row r="3" spans="1:13" ht="28.5">
      <c r="A3" s="3349"/>
      <c r="B3" s="3349"/>
      <c r="C3" s="3349"/>
      <c r="D3" s="3350"/>
      <c r="E3" s="33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0" t="s">
        <v>55</v>
      </c>
      <c r="B9" s="3350"/>
      <c r="C9" s="33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3" sqref="I5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4"/>
      <c r="C1" s="1254"/>
      <c r="D1" s="1254"/>
      <c r="E1" s="1254"/>
      <c r="F1" s="1254"/>
      <c r="G1" s="1254"/>
      <c r="H1" s="1254"/>
      <c r="I1" s="1254"/>
      <c r="J1" s="1254"/>
      <c r="K1" s="1254"/>
      <c r="L1" s="1254"/>
      <c r="M1" s="1254"/>
      <c r="N1" s="1254"/>
      <c r="O1" s="1254"/>
      <c r="P1" s="1254"/>
    </row>
    <row r="2" spans="1:16" ht="15">
      <c r="A2" s="3360" t="s">
        <v>1574</v>
      </c>
      <c r="B2" s="3360"/>
      <c r="C2" s="3360"/>
      <c r="D2" s="885" t="s">
        <v>1550</v>
      </c>
      <c r="E2" s="1774" t="s">
        <v>1551</v>
      </c>
      <c r="F2" s="2834"/>
      <c r="G2" s="2825"/>
      <c r="H2" s="2826"/>
      <c r="I2" s="2497" t="s">
        <v>1575</v>
      </c>
      <c r="J2" s="2834"/>
      <c r="K2" s="2834"/>
      <c r="L2" s="2834"/>
      <c r="M2" s="2834"/>
      <c r="N2" s="2836"/>
      <c r="O2" s="2834"/>
      <c r="P2" s="2834"/>
    </row>
    <row r="3" spans="1:16" ht="15.75" thickBot="1">
      <c r="A3" s="3361" t="s">
        <v>1548</v>
      </c>
      <c r="B3" s="3361"/>
      <c r="C3" s="3361"/>
      <c r="D3" s="46">
        <f>'数据-基础表'!AY6</f>
        <v>118122.57</v>
      </c>
      <c r="E3" s="46">
        <f>'数据-基础表'!AZ5</f>
        <v>242531.24</v>
      </c>
      <c r="F3" s="2834"/>
      <c r="G3" s="1260"/>
      <c r="H3" s="1138" t="s">
        <v>1549</v>
      </c>
      <c r="I3" s="945">
        <f>ROUND('数据-基础表'!B3/'数据-基础表'!A3,2)</f>
        <v>2.02</v>
      </c>
      <c r="J3" s="2834"/>
      <c r="K3" s="2834"/>
      <c r="L3" s="2834"/>
      <c r="M3" s="2834"/>
      <c r="N3" s="2836"/>
      <c r="O3" s="2834"/>
      <c r="P3" s="2834"/>
    </row>
    <row r="4" spans="1:16" ht="15">
      <c r="A4" s="3362"/>
      <c r="B4" s="3363"/>
      <c r="C4" s="3364"/>
      <c r="D4" s="1776" t="s">
        <v>1550</v>
      </c>
      <c r="E4" s="1777" t="s">
        <v>1551</v>
      </c>
      <c r="F4" s="2834"/>
      <c r="G4" s="2827" t="s">
        <v>1576</v>
      </c>
      <c r="H4" s="1138" t="s">
        <v>1556</v>
      </c>
      <c r="I4" s="945">
        <f>ROUND(SUMIF('数据-基础表'!I9:AS9,"地上",'数据-基础表'!I5:AS5)/'数据-基础表'!A3,2)</f>
        <v>1.47</v>
      </c>
      <c r="J4" s="2834"/>
      <c r="K4" s="2834"/>
      <c r="L4" s="2834"/>
      <c r="M4" s="2834"/>
      <c r="N4" s="2836"/>
      <c r="O4" s="2834"/>
      <c r="P4" s="2834"/>
    </row>
    <row r="5" spans="1:16">
      <c r="A5" s="47" t="s">
        <v>1552</v>
      </c>
      <c r="B5" s="3365" t="s">
        <v>1553</v>
      </c>
      <c r="C5" s="3365"/>
      <c r="D5" s="48">
        <f>ROUND($D$3*E5/$E$3,2)</f>
        <v>0</v>
      </c>
      <c r="E5" s="49">
        <f>SUMIF('数据-基础表'!$11:$11,"住宅",'数据-基础表'!$5:$5)</f>
        <v>0</v>
      </c>
      <c r="F5" s="2834"/>
      <c r="G5" s="1260"/>
      <c r="H5" s="1138" t="s">
        <v>1549</v>
      </c>
      <c r="I5" s="945">
        <f>ROUND(E31/D31,2)</f>
        <v>2.0499999999999998</v>
      </c>
      <c r="J5" s="2834"/>
      <c r="K5" s="2834"/>
      <c r="L5" s="2834"/>
      <c r="M5" s="2834"/>
      <c r="N5" s="2834"/>
      <c r="O5" s="2834"/>
      <c r="P5" s="2834"/>
    </row>
    <row r="6" spans="1:16" ht="15" thickBot="1">
      <c r="A6" s="1779"/>
      <c r="B6" s="3365" t="s">
        <v>1554</v>
      </c>
      <c r="C6" s="3365"/>
      <c r="D6" s="48">
        <f>ROUND($D$3*E6/$E$3,2)</f>
        <v>118122.57</v>
      </c>
      <c r="E6" s="49">
        <f>E3-E5</f>
        <v>242531.24</v>
      </c>
      <c r="F6" s="2834"/>
      <c r="G6" s="2828" t="s">
        <v>1555</v>
      </c>
      <c r="H6" s="1261" t="s">
        <v>1556</v>
      </c>
      <c r="I6" s="2829">
        <f>ROUND(F31/D31,2)</f>
        <v>1.49</v>
      </c>
      <c r="J6" s="2834"/>
      <c r="K6" s="2834"/>
      <c r="L6" s="2834"/>
      <c r="M6" s="2834"/>
      <c r="N6" s="2834"/>
      <c r="O6" s="2834"/>
      <c r="P6" s="2834"/>
    </row>
    <row r="7" spans="1:16" ht="15.75" thickBot="1">
      <c r="A7" s="3357"/>
      <c r="B7" s="3358"/>
      <c r="C7" s="3359"/>
      <c r="D7" s="1776" t="s">
        <v>1550</v>
      </c>
      <c r="E7" s="1780" t="s">
        <v>1557</v>
      </c>
      <c r="F7" s="2834"/>
      <c r="G7" s="2830" t="s">
        <v>1558</v>
      </c>
      <c r="H7" s="2831"/>
      <c r="I7" s="2832"/>
      <c r="J7" s="2834"/>
      <c r="K7" s="2834"/>
      <c r="L7" s="2834"/>
      <c r="M7" s="2834"/>
      <c r="N7" s="2834"/>
      <c r="O7" s="2834"/>
      <c r="P7" s="2834"/>
    </row>
    <row r="8" spans="1:16">
      <c r="A8" s="47" t="s">
        <v>1559</v>
      </c>
      <c r="B8" s="50" t="s">
        <v>1560</v>
      </c>
      <c r="C8" s="48" t="s">
        <v>1561</v>
      </c>
      <c r="D8" s="48">
        <f t="shared" ref="D8:D15" si="0">ROUND($D$3*E8/$E$3,2)</f>
        <v>85700.99</v>
      </c>
      <c r="E8" s="51">
        <f>SUMIF('数据-基础表'!BB10:BK10,"地上",'数据-基础表'!BB5:BK5)</f>
        <v>175962.71000000002</v>
      </c>
      <c r="F8" s="2834"/>
      <c r="G8" s="2835"/>
      <c r="H8" s="2835"/>
      <c r="I8" s="2834"/>
      <c r="J8" s="2834"/>
      <c r="K8" s="2834"/>
      <c r="L8" s="2834"/>
      <c r="M8" s="2834"/>
      <c r="N8" s="2834"/>
      <c r="O8" s="2834"/>
      <c r="P8" s="2834"/>
    </row>
    <row r="9" spans="1:16">
      <c r="A9" s="1781"/>
      <c r="B9" s="1782"/>
      <c r="C9" s="48" t="s">
        <v>1562</v>
      </c>
      <c r="D9" s="48">
        <f t="shared" si="0"/>
        <v>0</v>
      </c>
      <c r="E9" s="52">
        <v>0</v>
      </c>
      <c r="F9" s="2834"/>
      <c r="G9" s="2835"/>
      <c r="H9" s="2835"/>
      <c r="I9" s="2834"/>
      <c r="J9" s="2834"/>
      <c r="K9" s="2834"/>
      <c r="L9" s="2834"/>
      <c r="M9" s="2834"/>
      <c r="N9" s="2834"/>
      <c r="O9" s="2834"/>
      <c r="P9" s="2834"/>
    </row>
    <row r="10" spans="1:16">
      <c r="A10" s="1781"/>
      <c r="B10" s="1782"/>
      <c r="C10" s="48" t="s">
        <v>1571</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1563</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1564</v>
      </c>
      <c r="D12" s="48">
        <f t="shared" si="0"/>
        <v>13824.75</v>
      </c>
      <c r="E12" s="51">
        <f>SUMPRODUCT(('数据-基础表'!BB10:BK10="地下")*('数据-基础表'!BB11:BK11="仓储")*('数据-基础表'!BB5:BK5))</f>
        <v>28385.21</v>
      </c>
      <c r="F12" s="2834"/>
      <c r="G12" s="2835"/>
      <c r="H12" s="2835"/>
      <c r="I12" s="2834"/>
      <c r="J12" s="2834"/>
      <c r="K12" s="2834"/>
      <c r="L12" s="2834"/>
      <c r="M12" s="2834"/>
      <c r="N12" s="2834"/>
      <c r="O12" s="2834"/>
      <c r="P12" s="2834"/>
    </row>
    <row r="13" spans="1:16">
      <c r="A13" s="1781"/>
      <c r="B13" s="1782"/>
      <c r="C13" s="48" t="s">
        <v>1565</v>
      </c>
      <c r="D13" s="48">
        <f t="shared" si="0"/>
        <v>14736.73</v>
      </c>
      <c r="E13" s="51">
        <f>SUMPRODUCT(('数据-基础表'!BB10:BK10="地下")*('数据-基础表'!BB11:BK11="车库")*('数据-基础表'!BB5:BK5))</f>
        <v>30257.699999999997</v>
      </c>
      <c r="F13" s="2834"/>
      <c r="G13" s="2835"/>
      <c r="H13" s="2835"/>
      <c r="I13" s="2834"/>
      <c r="J13" s="2834"/>
      <c r="K13" s="2834"/>
      <c r="L13" s="2834"/>
      <c r="M13" s="2834"/>
      <c r="N13" s="2834"/>
      <c r="O13" s="2834"/>
      <c r="P13" s="2834"/>
    </row>
    <row r="14" spans="1:16">
      <c r="A14" s="1781"/>
      <c r="B14" s="1782"/>
      <c r="C14" s="48" t="s">
        <v>1577</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1572</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1566</v>
      </c>
      <c r="D16" s="50">
        <f>SUM(D8:D15)</f>
        <v>114262.47</v>
      </c>
      <c r="E16" s="53">
        <f>SUM(E8:E15)</f>
        <v>234605.62</v>
      </c>
      <c r="F16" s="2834"/>
      <c r="G16" s="2835"/>
      <c r="H16" s="1783" t="s">
        <v>1578</v>
      </c>
      <c r="I16" s="1784"/>
      <c r="J16" s="1254"/>
      <c r="K16" s="3354" t="s">
        <v>1578</v>
      </c>
      <c r="L16" s="3355"/>
      <c r="M16" s="3355"/>
      <c r="N16" s="3355"/>
      <c r="O16" s="3355"/>
      <c r="P16" s="3356"/>
    </row>
    <row r="17" spans="1:19" ht="15">
      <c r="A17" s="1785" t="s">
        <v>1579</v>
      </c>
      <c r="B17" s="1786" t="s">
        <v>1580</v>
      </c>
      <c r="C17" s="1787" t="s">
        <v>1581</v>
      </c>
      <c r="D17" s="1788" t="s">
        <v>1569</v>
      </c>
      <c r="E17" s="1789" t="s">
        <v>1570</v>
      </c>
      <c r="F17" s="1790"/>
      <c r="G17" s="1791"/>
      <c r="H17" s="1792" t="s">
        <v>1582</v>
      </c>
      <c r="I17" s="1793" t="s">
        <v>1567</v>
      </c>
      <c r="J17" s="1254"/>
      <c r="K17" s="3351" t="s">
        <v>1583</v>
      </c>
      <c r="L17" s="3352"/>
      <c r="M17" s="3353"/>
      <c r="N17" s="3351" t="s">
        <v>1584</v>
      </c>
      <c r="O17" s="3352"/>
      <c r="P17" s="3353"/>
      <c r="R17" s="1775" t="s">
        <v>1585</v>
      </c>
      <c r="S17" s="60"/>
    </row>
    <row r="18" spans="1:19" ht="15">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c r="A19" s="1802"/>
      <c r="B19" s="50" t="s">
        <v>1568</v>
      </c>
      <c r="C19" s="3242" t="s">
        <v>3253</v>
      </c>
      <c r="D19" s="48">
        <f>ROUND($D$3*E19/$E$3,2)</f>
        <v>85700.99</v>
      </c>
      <c r="E19" s="56">
        <f t="shared" ref="E19:E26" si="1">SUM(F19:G19)</f>
        <v>175962.71000000002</v>
      </c>
      <c r="F19" s="2974">
        <f>'数据-基础表'!I5</f>
        <v>175962.71000000002</v>
      </c>
      <c r="G19" s="2975"/>
      <c r="H19" s="679">
        <f>ROUND($D$3*I19/$E$3,2)</f>
        <v>2895.21</v>
      </c>
      <c r="I19" s="51">
        <f t="shared" ref="I19:I26" si="2">IF($I$17="自定义",P19,M19)</f>
        <v>5944.5</v>
      </c>
      <c r="J19" s="1254"/>
      <c r="K19" s="1253">
        <f t="shared" ref="K19:K26" si="3">ROUND(E$28*E19/E$27,2)</f>
        <v>5944.5</v>
      </c>
      <c r="L19" s="1138">
        <f t="shared" ref="L19:L26" si="4">ROUND(IF(COUNTIF(C19,"*住宅*")&gt;0,E$29*E19/E$32,0),2)</f>
        <v>0</v>
      </c>
      <c r="M19" s="1265">
        <f>K19+L19</f>
        <v>5944.5</v>
      </c>
      <c r="N19" s="1803"/>
      <c r="O19" s="1804"/>
      <c r="P19" s="1265">
        <f>N19+O19</f>
        <v>0</v>
      </c>
      <c r="R19" s="1138">
        <f t="shared" ref="R19:S26" si="5">D19+H19</f>
        <v>88596.200000000012</v>
      </c>
      <c r="S19" s="1139">
        <f t="shared" si="5"/>
        <v>181907.21000000002</v>
      </c>
    </row>
    <row r="20" spans="1:19">
      <c r="A20" s="1805"/>
      <c r="B20" s="50" t="s">
        <v>1596</v>
      </c>
      <c r="C20" s="3242" t="s">
        <v>3254</v>
      </c>
      <c r="D20" s="48">
        <f t="shared" ref="D20:D26" si="6">ROUND($D$3*E20/$E$3,2)</f>
        <v>13824.75</v>
      </c>
      <c r="E20" s="56">
        <f t="shared" si="1"/>
        <v>28385.21</v>
      </c>
      <c r="F20" s="2974"/>
      <c r="G20" s="2975">
        <f>'数据-基础表'!K5</f>
        <v>28385.21</v>
      </c>
      <c r="H20" s="679">
        <f t="shared" ref="H20:H26" si="7">ROUND($D$3*I20/$E$3,2)</f>
        <v>467.04</v>
      </c>
      <c r="I20" s="51">
        <f t="shared" si="2"/>
        <v>958.93</v>
      </c>
      <c r="J20" s="1254"/>
      <c r="K20" s="1253">
        <f t="shared" si="3"/>
        <v>958.93</v>
      </c>
      <c r="L20" s="1138">
        <f t="shared" si="4"/>
        <v>0</v>
      </c>
      <c r="M20" s="1265">
        <f t="shared" ref="M20:M26" si="8">K20+L20</f>
        <v>958.93</v>
      </c>
      <c r="N20" s="1803"/>
      <c r="O20" s="1804"/>
      <c r="P20" s="1265">
        <f t="shared" ref="P20:P26" si="9">N20+O20</f>
        <v>0</v>
      </c>
      <c r="R20" s="1138">
        <f t="shared" si="5"/>
        <v>14291.79</v>
      </c>
      <c r="S20" s="1139">
        <f t="shared" si="5"/>
        <v>29344.14</v>
      </c>
    </row>
    <row r="21" spans="1:19">
      <c r="A21" s="1805"/>
      <c r="B21" s="50" t="s">
        <v>1596</v>
      </c>
      <c r="C21" s="3242" t="s">
        <v>3255</v>
      </c>
      <c r="D21" s="48">
        <f t="shared" si="6"/>
        <v>14736.73</v>
      </c>
      <c r="E21" s="56">
        <f t="shared" si="1"/>
        <v>30257.699999999997</v>
      </c>
      <c r="F21" s="2974"/>
      <c r="G21" s="2975">
        <f>'数据-基础表'!M5</f>
        <v>30257.699999999997</v>
      </c>
      <c r="H21" s="679">
        <f t="shared" si="7"/>
        <v>497.85</v>
      </c>
      <c r="I21" s="51">
        <f t="shared" si="2"/>
        <v>1022.19</v>
      </c>
      <c r="J21" s="1254"/>
      <c r="K21" s="1253">
        <f t="shared" si="3"/>
        <v>1022.19</v>
      </c>
      <c r="L21" s="1138">
        <f t="shared" si="4"/>
        <v>0</v>
      </c>
      <c r="M21" s="1265">
        <f t="shared" si="8"/>
        <v>1022.19</v>
      </c>
      <c r="N21" s="1803"/>
      <c r="O21" s="1804"/>
      <c r="P21" s="1265">
        <f t="shared" si="9"/>
        <v>0</v>
      </c>
      <c r="R21" s="1138">
        <f t="shared" si="5"/>
        <v>15234.58</v>
      </c>
      <c r="S21" s="1139">
        <f t="shared" si="5"/>
        <v>31279.889999999996</v>
      </c>
    </row>
    <row r="22" spans="1:19">
      <c r="A22" s="1805"/>
      <c r="B22" s="50" t="s">
        <v>1596</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1596</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1596</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1596</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1596</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1597</v>
      </c>
      <c r="D27" s="1255">
        <f>SUM(D19:D26)</f>
        <v>114262.47</v>
      </c>
      <c r="E27" s="1256">
        <f>IF(SUM(E19:E26)='数据-基础表'!BA5,SUM(E19:E26),IF(F27="地上面积有误","面积有误","地下面积有误"))</f>
        <v>234605.62</v>
      </c>
      <c r="F27" s="1255">
        <f>IF(SUM(F19:F26)=E8,SUM(F19:F26),"地上面积有误")</f>
        <v>175962.71000000002</v>
      </c>
      <c r="G27" s="1257">
        <f>SUM(G19:G26)</f>
        <v>58642.909999999996</v>
      </c>
      <c r="H27" s="1258">
        <f>SUM(H19:H26)</f>
        <v>3860.1</v>
      </c>
      <c r="I27" s="1259">
        <f>SUM(I19:I26)</f>
        <v>7925.6200000000008</v>
      </c>
      <c r="J27" s="1254"/>
      <c r="K27" s="1262">
        <f>SUM(K19:K26)</f>
        <v>7925.6200000000008</v>
      </c>
      <c r="L27" s="1263">
        <f>SUM(L19:L26)</f>
        <v>0</v>
      </c>
      <c r="M27" s="1266">
        <f>SUM(M19:M26)</f>
        <v>7925.6200000000008</v>
      </c>
      <c r="N27" s="1262">
        <f t="shared" ref="N27:O27" si="10">SUM(N19:N26)</f>
        <v>0</v>
      </c>
      <c r="O27" s="1263">
        <f t="shared" si="10"/>
        <v>0</v>
      </c>
      <c r="P27" s="1264">
        <f>SUM(P19:P26)</f>
        <v>0</v>
      </c>
      <c r="R27" s="1140">
        <f>IF(SUM(R19:R26)=$D$3,SUM(R19:R26),SUM(R19:R26)&amp;"误差"&amp;ROUND(SUM(R19:R26)-$D$3,2))</f>
        <v>118122.57000000002</v>
      </c>
      <c r="S27" s="1138">
        <f>IF(SUM(S19:S26)=$E$3,SUM(S19:S26),SUM(S19:S26)&amp;"误差"&amp;ROUND(SUM(S19:S26)-E3,2))</f>
        <v>242531.24000000002</v>
      </c>
    </row>
    <row r="28" spans="1:19">
      <c r="A28" s="1805"/>
      <c r="B28" s="50" t="s">
        <v>1598</v>
      </c>
      <c r="C28" s="1150" t="s">
        <v>1599</v>
      </c>
      <c r="D28" s="48">
        <f>ROUND($D$3*E28/$E$3,2)</f>
        <v>3860.1</v>
      </c>
      <c r="E28" s="56">
        <f>SUM(F28:G28)</f>
        <v>7925.619999999999</v>
      </c>
      <c r="F28" s="60">
        <f>'数据-基础表'!BQ5+'数据-基础表'!BS5</f>
        <v>572.02</v>
      </c>
      <c r="G28" s="61">
        <f>'数据-基础表'!BR5+'数据-基础表'!BT5</f>
        <v>7353.5999999999995</v>
      </c>
      <c r="H28" s="2834"/>
      <c r="I28" s="2834"/>
      <c r="J28" s="2834"/>
      <c r="K28" s="2834"/>
      <c r="L28" s="2834"/>
      <c r="M28" s="2834"/>
      <c r="N28" s="2834"/>
      <c r="O28" s="2834"/>
      <c r="P28" s="2834"/>
    </row>
    <row r="29" spans="1:19">
      <c r="A29" s="1805"/>
      <c r="B29" s="50" t="s">
        <v>1598</v>
      </c>
      <c r="C29" s="1809" t="s">
        <v>1600</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1597</v>
      </c>
      <c r="D30" s="1255">
        <f>SUM(D28:D29)</f>
        <v>3860.1</v>
      </c>
      <c r="E30" s="1255">
        <f>SUM(E28:E29)</f>
        <v>7925.619999999999</v>
      </c>
      <c r="F30" s="1255">
        <f>SUM(F28:F29)</f>
        <v>572.02</v>
      </c>
      <c r="G30" s="1257">
        <f>SUM(G28:G29)</f>
        <v>7353.5999999999995</v>
      </c>
      <c r="H30" s="2834"/>
      <c r="I30" s="2834"/>
      <c r="J30" s="2834"/>
      <c r="K30" s="2834"/>
      <c r="L30" s="2834"/>
      <c r="M30" s="2834"/>
      <c r="N30" s="2834"/>
      <c r="O30" s="2834"/>
      <c r="P30" s="2834"/>
    </row>
    <row r="31" spans="1:19" ht="15.75" thickBot="1">
      <c r="A31" s="1811"/>
      <c r="B31" s="1812"/>
      <c r="C31" s="925" t="s">
        <v>1601</v>
      </c>
      <c r="D31" s="685">
        <f>D27+D30</f>
        <v>118122.57</v>
      </c>
      <c r="E31" s="685">
        <f>E27+E30</f>
        <v>242531.24</v>
      </c>
      <c r="F31" s="686">
        <f>F27+F30</f>
        <v>176534.73</v>
      </c>
      <c r="G31" s="687">
        <f>G27+G30</f>
        <v>65996.509999999995</v>
      </c>
      <c r="H31" s="2834"/>
      <c r="I31" s="2834"/>
      <c r="J31" s="2834"/>
      <c r="K31" s="2834"/>
      <c r="L31" s="2834"/>
      <c r="M31" s="2834"/>
      <c r="N31" s="2834"/>
      <c r="O31" s="2834"/>
      <c r="P31" s="2834"/>
    </row>
    <row r="32" spans="1:19">
      <c r="A32" s="1778"/>
      <c r="B32" s="1778" t="s">
        <v>1602</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8" sqref="K38"/>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1603</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1604</v>
      </c>
      <c r="B2" s="1157">
        <f>项目基本情况!D3</f>
        <v>44769</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1605</v>
      </c>
      <c r="B4" s="1823"/>
      <c r="C4" s="1824"/>
      <c r="D4" s="1825"/>
      <c r="E4" s="1824" t="s">
        <v>1606</v>
      </c>
      <c r="F4" s="1824"/>
      <c r="G4" s="1824"/>
      <c r="H4" s="1824"/>
      <c r="I4" s="1824"/>
      <c r="J4" s="1826"/>
      <c r="K4" s="1827"/>
      <c r="L4" s="1828"/>
      <c r="M4" s="1824"/>
      <c r="N4" s="1824" t="s">
        <v>1607</v>
      </c>
      <c r="O4" s="1824"/>
      <c r="P4" s="1824"/>
      <c r="Q4" s="1824"/>
      <c r="R4" s="1824"/>
      <c r="S4" s="1826"/>
      <c r="T4" s="2833" t="str">
        <f>'数据-汇总表'!I17</f>
        <v>按面积比例</v>
      </c>
      <c r="U4" s="1823" t="s">
        <v>1608</v>
      </c>
      <c r="V4" s="1824"/>
      <c r="W4" s="1824"/>
      <c r="X4" s="1824"/>
      <c r="Y4" s="1826"/>
      <c r="Z4" s="1787" t="s">
        <v>1609</v>
      </c>
      <c r="AA4" s="1787"/>
      <c r="AB4" s="1787"/>
      <c r="AC4" s="1787"/>
      <c r="AD4" s="1787"/>
      <c r="AE4" s="1785" t="s">
        <v>1610</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1611</v>
      </c>
      <c r="B5" s="1831" t="s">
        <v>1612</v>
      </c>
      <c r="C5" s="1832" t="s">
        <v>1613</v>
      </c>
      <c r="D5" s="1833" t="s">
        <v>1614</v>
      </c>
      <c r="E5" s="1159" t="s">
        <v>1615</v>
      </c>
      <c r="F5" s="1834" t="s">
        <v>1616</v>
      </c>
      <c r="G5" s="1159" t="s">
        <v>1617</v>
      </c>
      <c r="H5" s="1159" t="s">
        <v>1618</v>
      </c>
      <c r="I5" s="1159" t="s">
        <v>1619</v>
      </c>
      <c r="J5" s="1835" t="s">
        <v>1620</v>
      </c>
      <c r="K5" s="1836" t="s">
        <v>1621</v>
      </c>
      <c r="L5" s="1837" t="s">
        <v>1622</v>
      </c>
      <c r="M5" s="1838" t="s">
        <v>1623</v>
      </c>
      <c r="N5" s="1839" t="s">
        <v>3485</v>
      </c>
      <c r="O5" s="1837" t="s">
        <v>1624</v>
      </c>
      <c r="P5" s="1840" t="s">
        <v>1625</v>
      </c>
      <c r="Q5" s="65" t="s">
        <v>1626</v>
      </c>
      <c r="R5" s="1841" t="s">
        <v>1627</v>
      </c>
      <c r="S5" s="1842" t="s">
        <v>1628</v>
      </c>
      <c r="T5" s="1843" t="s">
        <v>1629</v>
      </c>
      <c r="U5" s="1158" t="s">
        <v>1630</v>
      </c>
      <c r="V5" s="1159" t="s">
        <v>1631</v>
      </c>
      <c r="W5" s="1159" t="s">
        <v>1632</v>
      </c>
      <c r="X5" s="67"/>
      <c r="Y5" s="66" t="s">
        <v>1633</v>
      </c>
      <c r="Z5" s="1844" t="s">
        <v>1630</v>
      </c>
      <c r="AA5" s="1159" t="s">
        <v>1631</v>
      </c>
      <c r="AB5" s="1159" t="s">
        <v>1632</v>
      </c>
      <c r="AC5" s="67"/>
      <c r="AD5" s="67" t="s">
        <v>1633</v>
      </c>
      <c r="AE5" s="1158" t="s">
        <v>1634</v>
      </c>
      <c r="AF5" s="1159" t="s">
        <v>1635</v>
      </c>
      <c r="AG5" s="66" t="s">
        <v>1636</v>
      </c>
      <c r="AH5" s="1158" t="s">
        <v>1637</v>
      </c>
      <c r="AI5" s="1844" t="s">
        <v>1638</v>
      </c>
      <c r="AJ5" s="1844" t="s">
        <v>1639</v>
      </c>
      <c r="AK5" s="1159" t="s">
        <v>1640</v>
      </c>
      <c r="AL5" s="1159" t="s">
        <v>1641</v>
      </c>
      <c r="AM5" s="66" t="s">
        <v>1642</v>
      </c>
      <c r="AN5" s="1845" t="s">
        <v>1643</v>
      </c>
      <c r="AO5" s="1697" t="s">
        <v>1644</v>
      </c>
      <c r="AP5" s="1140" t="s">
        <v>1645</v>
      </c>
      <c r="AQ5" s="1846" t="s">
        <v>1646</v>
      </c>
      <c r="AR5" s="1846"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厂房</v>
      </c>
      <c r="B6" s="1848" t="str">
        <f>IF(A6=0,"","经营性")</f>
        <v>经营性</v>
      </c>
      <c r="C6" s="1849" t="s">
        <v>6</v>
      </c>
      <c r="D6" s="948">
        <f>SUMIF(项目基本情况!D$12:I$12,C6,项目基本情况!D$14:I$14)</f>
        <v>50</v>
      </c>
      <c r="E6" s="947">
        <f>IF(B6="","",SUMIF(项目基本情况!D$12:I$12,C6,项目基本情况!D$13:I$13))</f>
        <v>59926</v>
      </c>
      <c r="F6" s="68">
        <f>SUMIF(项目基本情况!D$12:I$12,C6,项目基本情况!D$15:I$15)</f>
        <v>41.52</v>
      </c>
      <c r="G6" s="69">
        <f>IF(ISERROR(ROUND(POWER(1+H6,D6-F6)*(POWER(1+H6,F6)-1)/(POWER(1+H6,D6)-1),3)),0,ROUND(POWER(1+H6,D6-F6)*(POWER(1+H6,F6)-1)/(POWER(1+H6,D6)-1),3))</f>
        <v>0.94399999999999995</v>
      </c>
      <c r="H6" s="741">
        <v>4.4999999999999998E-2</v>
      </c>
      <c r="I6" s="741">
        <v>0.05</v>
      </c>
      <c r="J6" s="70">
        <v>0.08</v>
      </c>
      <c r="K6" s="1142">
        <f>SUMIF('数据-汇总表'!C$19:C$33,A6,'数据-汇总表'!E$19:E$33)</f>
        <v>175962.71000000002</v>
      </c>
      <c r="L6" s="742">
        <v>3300</v>
      </c>
      <c r="M6" s="71">
        <f t="shared" ref="M6:M14" si="0">ROUND(K6*L6/10000,0)</f>
        <v>58068</v>
      </c>
      <c r="N6" s="740">
        <v>0.97</v>
      </c>
      <c r="O6" s="71" t="str">
        <f>IF($N$5="成新度","——",ROUND(M6*N6,0))</f>
        <v>——</v>
      </c>
      <c r="P6" s="72" t="str">
        <f>IF($N$5="成新度","——",M6-O6)</f>
        <v>——</v>
      </c>
      <c r="Q6" s="743">
        <v>0.15</v>
      </c>
      <c r="R6" s="73">
        <f ca="1">SUMIF('数据-汇总表'!C$19:C$33,A6,'数据-汇总表'!R$19:R$27)</f>
        <v>88596.200000000012</v>
      </c>
      <c r="S6" s="54">
        <f>IF('数据-汇总表'!$I$17="按面积比例",SUMIF('数据-汇总表'!C$19:C$33,A6,'数据-汇总表'!K$19:K$33),SUMIF('数据-汇总表'!C$19:C$33,A6,'数据-汇总表'!N$19:N$33))</f>
        <v>5944.5</v>
      </c>
      <c r="T6" s="1287">
        <f>ROUND($L$14*S6/10000,0)</f>
        <v>1962</v>
      </c>
      <c r="U6" s="74">
        <v>1.4</v>
      </c>
      <c r="V6" s="3252">
        <v>2.5000000000000001E-2</v>
      </c>
      <c r="W6" s="75">
        <v>0.1</v>
      </c>
      <c r="X6" s="1152"/>
      <c r="Y6" s="76">
        <f>N6</f>
        <v>0.97</v>
      </c>
      <c r="Z6" s="77"/>
      <c r="AA6" s="70"/>
      <c r="AB6" s="70"/>
      <c r="AC6" s="1152"/>
      <c r="AD6" s="78"/>
      <c r="AE6" s="1153">
        <f ca="1">IF(AN6="",0,SUMIF(INDIRECT("'"&amp;AN6&amp;"'"&amp;"!E:E"),$AE$5,INDIRECT("'"&amp;AN6&amp;"'"&amp;"!F:F")))</f>
        <v>41.52</v>
      </c>
      <c r="AF6" s="1482"/>
      <c r="AG6" s="143">
        <f>IF(AF6="",0,AE6-AF6)</f>
        <v>0</v>
      </c>
      <c r="AH6" s="79"/>
      <c r="AI6" s="81">
        <v>365</v>
      </c>
      <c r="AJ6" s="82"/>
      <c r="AK6" s="3275">
        <v>0.01</v>
      </c>
      <c r="AL6" s="84">
        <v>1.5E-3</v>
      </c>
      <c r="AM6" s="85">
        <v>0.01</v>
      </c>
      <c r="AN6" s="1850" t="s">
        <v>3486</v>
      </c>
      <c r="AO6" s="55">
        <f ca="1">SUMIF(INDIRECT("'"&amp;AN6&amp;"'"&amp;"!A:A"),"总价",INDIRECT("'"&amp;AN6&amp;"'"&amp;"!B:B"))</f>
        <v>142549</v>
      </c>
      <c r="AP6" s="1851">
        <f>IF(C6="住宅",K6*L6,0)</f>
        <v>0</v>
      </c>
      <c r="AQ6" s="55">
        <f>ROUND($L$14*$N$14*S6/10000,0)</f>
        <v>1903</v>
      </c>
      <c r="AR6" s="55">
        <f>ROUND($L$14*(1-$N$14)*S6/10000,0)</f>
        <v>59</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地下厂房</v>
      </c>
      <c r="B7" s="1848" t="str">
        <f t="shared" ref="B7:B13" si="1">IF(A7=0,"","经营性")</f>
        <v>经营性</v>
      </c>
      <c r="C7" s="1849" t="s">
        <v>6</v>
      </c>
      <c r="D7" s="948">
        <f>SUMIF(项目基本情况!D$12:I$12,C7,项目基本情况!D$14:I$14)</f>
        <v>50</v>
      </c>
      <c r="E7" s="947">
        <f>IF(B7="","",SUMIF(项目基本情况!D$12:I$12,C7,项目基本情况!D$13:I$13))</f>
        <v>59926</v>
      </c>
      <c r="F7" s="68">
        <f>SUMIF(项目基本情况!D$12:I$12,C7,项目基本情况!D$15:I$15)</f>
        <v>41.52</v>
      </c>
      <c r="G7" s="69">
        <f t="shared" ref="G7:G11" si="2">IF(ISERROR(ROUND(POWER(1+H7,D7-F7)*(POWER(1+H7,F7)-1)/(POWER(1+H7,D7)-1),3)),0,ROUND(POWER(1+H7,D7-F7)*(POWER(1+H7,F7)-1)/(POWER(1+H7,D7)-1),3))</f>
        <v>0.94399999999999995</v>
      </c>
      <c r="H7" s="741">
        <v>4.4999999999999998E-2</v>
      </c>
      <c r="I7" s="741">
        <f t="shared" ref="I7" si="3">H7+0.005</f>
        <v>4.9999999999999996E-2</v>
      </c>
      <c r="J7" s="70">
        <v>0.08</v>
      </c>
      <c r="K7" s="1142">
        <f>SUMIF('数据-汇总表'!C$19:C$33,A7,'数据-汇总表'!E$19:E$33)</f>
        <v>28385.21</v>
      </c>
      <c r="L7" s="742">
        <f>L6</f>
        <v>3300</v>
      </c>
      <c r="M7" s="71">
        <f t="shared" si="0"/>
        <v>9367</v>
      </c>
      <c r="N7" s="740">
        <f>N6</f>
        <v>0.97</v>
      </c>
      <c r="O7" s="71" t="str">
        <f t="shared" ref="O7:O14" si="4">IF($N$5="成新度","——",ROUND(M7*N7,0))</f>
        <v>——</v>
      </c>
      <c r="P7" s="72" t="str">
        <f t="shared" ref="P7:P14" si="5">IF($N$5="成新度","——",M7-O7)</f>
        <v>——</v>
      </c>
      <c r="Q7" s="743">
        <v>0.08</v>
      </c>
      <c r="R7" s="73">
        <f ca="1">SUMIF('数据-汇总表'!C$19:C$33,A7,'数据-汇总表'!R$19:R$27)</f>
        <v>14291.79</v>
      </c>
      <c r="S7" s="54">
        <f>IF('数据-汇总表'!$I$17="按面积比例",SUMIF('数据-汇总表'!C$19:C$33,A7,'数据-汇总表'!K$19:K$33),SUMIF('数据-汇总表'!C$19:C$33,A7,'数据-汇总表'!N$19:N$33))</f>
        <v>958.93</v>
      </c>
      <c r="T7" s="1287">
        <f t="shared" ref="T7:T13" si="6">ROUND($L$14*S7/10000,0)</f>
        <v>316</v>
      </c>
      <c r="U7" s="74">
        <v>0.95</v>
      </c>
      <c r="V7" s="75">
        <v>2.5000000000000001E-2</v>
      </c>
      <c r="W7" s="75">
        <v>0.1</v>
      </c>
      <c r="X7" s="1152"/>
      <c r="Y7" s="76">
        <f>Y6</f>
        <v>0.97</v>
      </c>
      <c r="Z7" s="77"/>
      <c r="AA7" s="70"/>
      <c r="AB7" s="70"/>
      <c r="AC7" s="1152"/>
      <c r="AD7" s="78"/>
      <c r="AE7" s="1153">
        <f t="shared" ref="AE7:AE13" ca="1" si="7">IF(AN7="",0,SUMIF(INDIRECT("'"&amp;AN7&amp;"'"&amp;"!E:E"),$AE$5,INDIRECT("'"&amp;AN7&amp;"'"&amp;"!F:F")))</f>
        <v>41.52</v>
      </c>
      <c r="AF7" s="1482"/>
      <c r="AG7" s="143">
        <f t="shared" ref="AG7:AG13" si="8">IF(AF7="",0,AE7-AF7)</f>
        <v>0</v>
      </c>
      <c r="AH7" s="79"/>
      <c r="AI7" s="81">
        <v>365</v>
      </c>
      <c r="AJ7" s="82"/>
      <c r="AK7" s="83">
        <v>5.0000000000000001E-3</v>
      </c>
      <c r="AL7" s="84">
        <v>1.5E-3</v>
      </c>
      <c r="AM7" s="85">
        <v>0.01</v>
      </c>
      <c r="AN7" s="1850" t="s">
        <v>3488</v>
      </c>
      <c r="AO7" s="55">
        <f t="shared" ref="AO7:AO13" ca="1" si="9">SUMIF(INDIRECT("'"&amp;AN7&amp;"'"&amp;"!A:A"),"总价",INDIRECT("'"&amp;AN7&amp;"'"&amp;"!B:B"))</f>
        <v>16213</v>
      </c>
      <c r="AP7" s="1851">
        <f t="shared" ref="AP7:AP13" si="10">IF(C7="住宅",K7*L7,0)</f>
        <v>0</v>
      </c>
      <c r="AQ7" s="55">
        <f t="shared" ref="AQ7:AQ13" si="11">ROUND($L$14*$N$14*S7/10000,0)</f>
        <v>307</v>
      </c>
      <c r="AR7" s="55">
        <f t="shared" ref="AR7:AR13" si="12">ROUND($L$14*(1-$N$14)*S7/10000,0)</f>
        <v>9</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地下车库</v>
      </c>
      <c r="B8" s="1848" t="str">
        <f t="shared" si="1"/>
        <v>经营性</v>
      </c>
      <c r="C8" s="1849" t="s">
        <v>3246</v>
      </c>
      <c r="D8" s="948">
        <f>SUMIF(项目基本情况!D$12:I$12,C8,项目基本情况!D$14:I$14)</f>
        <v>50</v>
      </c>
      <c r="E8" s="947">
        <f>IF(B8="","",SUMIF(项目基本情况!D$12:I$12,C8,项目基本情况!D$13:I$13))</f>
        <v>59926</v>
      </c>
      <c r="F8" s="68">
        <f>SUMIF(项目基本情况!D$12:I$12,C8,项目基本情况!D$15:I$15)</f>
        <v>41.52</v>
      </c>
      <c r="G8" s="69">
        <f t="shared" si="2"/>
        <v>0.94399999999999995</v>
      </c>
      <c r="H8" s="741">
        <v>4.4999999999999998E-2</v>
      </c>
      <c r="I8" s="741">
        <v>0.05</v>
      </c>
      <c r="J8" s="70">
        <v>0.08</v>
      </c>
      <c r="K8" s="1142">
        <f>SUMIF('数据-汇总表'!C$19:C$33,A8,'数据-汇总表'!E$19:E$33)</f>
        <v>30257.699999999997</v>
      </c>
      <c r="L8" s="742">
        <f>L6</f>
        <v>3300</v>
      </c>
      <c r="M8" s="71">
        <f>ROUND(K8*L8/10000,0)</f>
        <v>9985</v>
      </c>
      <c r="N8" s="740">
        <f>N6</f>
        <v>0.97</v>
      </c>
      <c r="O8" s="71" t="str">
        <f t="shared" si="4"/>
        <v>——</v>
      </c>
      <c r="P8" s="72" t="str">
        <f t="shared" si="5"/>
        <v>——</v>
      </c>
      <c r="Q8" s="743">
        <v>0.03</v>
      </c>
      <c r="R8" s="73">
        <f ca="1">SUMIF('数据-汇总表'!C$19:C$33,A8,'数据-汇总表'!R$19:R$27)</f>
        <v>15234.58</v>
      </c>
      <c r="S8" s="54">
        <f>IF('数据-汇总表'!$I$17="按面积比例",SUMIF('数据-汇总表'!C$19:C$33,A8,'数据-汇总表'!K$19:K$33),SUMIF('数据-汇总表'!C$19:C$33,A8,'数据-汇总表'!N$19:N$33))</f>
        <v>1022.19</v>
      </c>
      <c r="T8" s="1287">
        <f t="shared" si="6"/>
        <v>337</v>
      </c>
      <c r="U8" s="744">
        <v>0.3</v>
      </c>
      <c r="V8" s="745">
        <v>1.4999999999999999E-2</v>
      </c>
      <c r="W8" s="745">
        <v>0.1</v>
      </c>
      <c r="X8" s="1152"/>
      <c r="Y8" s="746">
        <f>Y6</f>
        <v>0.97</v>
      </c>
      <c r="Z8" s="77"/>
      <c r="AA8" s="70"/>
      <c r="AB8" s="70"/>
      <c r="AC8" s="1152"/>
      <c r="AD8" s="78"/>
      <c r="AE8" s="1153">
        <f t="shared" ca="1" si="7"/>
        <v>41.52</v>
      </c>
      <c r="AF8" s="1482"/>
      <c r="AG8" s="143">
        <f t="shared" si="8"/>
        <v>0</v>
      </c>
      <c r="AH8" s="747"/>
      <c r="AI8" s="81">
        <v>365</v>
      </c>
      <c r="AJ8" s="82"/>
      <c r="AK8" s="748">
        <v>5.0000000000000001E-3</v>
      </c>
      <c r="AL8" s="749">
        <v>1.5E-3</v>
      </c>
      <c r="AM8" s="750">
        <v>0.01</v>
      </c>
      <c r="AN8" s="1850" t="s">
        <v>3490</v>
      </c>
      <c r="AO8" s="55">
        <f t="shared" ca="1" si="9"/>
        <v>3323</v>
      </c>
      <c r="AP8" s="1851">
        <f t="shared" si="10"/>
        <v>0</v>
      </c>
      <c r="AQ8" s="55">
        <f t="shared" si="11"/>
        <v>327</v>
      </c>
      <c r="AR8" s="55">
        <f t="shared" si="12"/>
        <v>10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7">
        <f t="shared" si="6"/>
        <v>0</v>
      </c>
      <c r="U9" s="74"/>
      <c r="V9" s="75"/>
      <c r="W9" s="75"/>
      <c r="X9" s="1152"/>
      <c r="Y9" s="76"/>
      <c r="Z9" s="77"/>
      <c r="AA9" s="70"/>
      <c r="AB9" s="70"/>
      <c r="AC9" s="1152"/>
      <c r="AD9" s="78"/>
      <c r="AE9" s="1153">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7">
        <f t="shared" si="6"/>
        <v>0</v>
      </c>
      <c r="U10" s="74"/>
      <c r="V10" s="75"/>
      <c r="W10" s="75"/>
      <c r="X10" s="1152"/>
      <c r="Y10" s="76"/>
      <c r="Z10" s="77"/>
      <c r="AA10" s="70"/>
      <c r="AB10" s="70"/>
      <c r="AC10" s="1152"/>
      <c r="AD10" s="78"/>
      <c r="AE10" s="1153">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7">
        <f t="shared" si="6"/>
        <v>0</v>
      </c>
      <c r="U11" s="79"/>
      <c r="V11" s="70"/>
      <c r="W11" s="70"/>
      <c r="X11" s="1152"/>
      <c r="Y11" s="76"/>
      <c r="Z11" s="89"/>
      <c r="AA11" s="70"/>
      <c r="AB11" s="70"/>
      <c r="AC11" s="1152"/>
      <c r="AD11" s="78"/>
      <c r="AE11" s="1153">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7">
        <f t="shared" si="6"/>
        <v>0</v>
      </c>
      <c r="U12" s="79"/>
      <c r="V12" s="70"/>
      <c r="W12" s="70"/>
      <c r="X12" s="1152"/>
      <c r="Y12" s="76"/>
      <c r="Z12" s="89"/>
      <c r="AA12" s="70"/>
      <c r="AB12" s="70"/>
      <c r="AC12" s="1152"/>
      <c r="AD12" s="78"/>
      <c r="AE12" s="1153">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7">
        <f t="shared" si="6"/>
        <v>0</v>
      </c>
      <c r="U13" s="74"/>
      <c r="V13" s="75"/>
      <c r="W13" s="75"/>
      <c r="X13" s="1152"/>
      <c r="Y13" s="76"/>
      <c r="Z13" s="77"/>
      <c r="AA13" s="70"/>
      <c r="AB13" s="70"/>
      <c r="AC13" s="1152"/>
      <c r="AD13" s="78"/>
      <c r="AE13" s="1153">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1648</v>
      </c>
      <c r="B14" s="1848" t="s">
        <v>1649</v>
      </c>
      <c r="C14" s="1853" t="s">
        <v>1648</v>
      </c>
      <c r="D14" s="948"/>
      <c r="E14" s="947"/>
      <c r="F14" s="68"/>
      <c r="G14" s="69"/>
      <c r="H14" s="1141"/>
      <c r="I14" s="1141"/>
      <c r="J14" s="1141"/>
      <c r="K14" s="1142">
        <f>SUMIF('数据-汇总表'!C$19:C$33,A14,'数据-汇总表'!E$19:E$33)</f>
        <v>7925.619999999999</v>
      </c>
      <c r="L14" s="87">
        <f>L6</f>
        <v>3300</v>
      </c>
      <c r="M14" s="71">
        <f t="shared" si="0"/>
        <v>2615</v>
      </c>
      <c r="N14" s="88">
        <f>N6</f>
        <v>0.97</v>
      </c>
      <c r="O14" s="71" t="str">
        <f t="shared" si="4"/>
        <v>——</v>
      </c>
      <c r="P14" s="72" t="str">
        <f t="shared" si="5"/>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1650</v>
      </c>
      <c r="B15" s="1848" t="s">
        <v>1649</v>
      </c>
      <c r="C15" s="1853"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1652</v>
      </c>
      <c r="B16" s="93"/>
      <c r="C16" s="923"/>
      <c r="D16" s="1855"/>
      <c r="E16" s="93"/>
      <c r="F16" s="93"/>
      <c r="G16" s="94">
        <f>ROUND(SUMPRODUCT(G6:G13,K6:K13)/SUMPRODUCT((G6:G13&gt;0)*(K6:K13)),3)</f>
        <v>0.94399999999999995</v>
      </c>
      <c r="H16" s="95">
        <f>ROUND(SUMPRODUCT(H6:H13,K6:K13)/SUMPRODUCT((H6:H13&gt;0)*(K6:K13)),3)</f>
        <v>4.4999999999999998E-2</v>
      </c>
      <c r="I16" s="96"/>
      <c r="J16" s="96"/>
      <c r="K16" s="97">
        <f>SUM(K6:K15)</f>
        <v>242531.24</v>
      </c>
      <c r="L16" s="98">
        <f>ROUND(M16*10000/SUM(K6:K14),0)</f>
        <v>3300</v>
      </c>
      <c r="M16" s="98">
        <f>SUM(M6:M14)</f>
        <v>80035</v>
      </c>
      <c r="N16" s="99">
        <f>ROUND(SUMPRODUCT(M6:M14,N6:N14)/M16,3)</f>
        <v>0.97</v>
      </c>
      <c r="O16" s="98">
        <f>SUM(O6:O14)</f>
        <v>0</v>
      </c>
      <c r="P16" s="98">
        <f>SUM(P6:P14)</f>
        <v>0</v>
      </c>
      <c r="Q16" s="100">
        <f>ROUND(SUMPRODUCT(Q6:Q13,K6:K13)/SUMPRODUCT((Q6:Q13&gt;0)*(K6:K13)),2)</f>
        <v>0.13</v>
      </c>
      <c r="R16" s="1146">
        <f ca="1">SUM(R6:R13)</f>
        <v>118122.57000000002</v>
      </c>
      <c r="S16" s="101">
        <f>SUM(S6:S13)</f>
        <v>7925.6200000000008</v>
      </c>
      <c r="T16" s="102">
        <f>IF(SUMIF(T6:T13,"&lt;9E307")=M14,SUMIF(T6:T13,"&lt;9E307"),"有误，请检查")</f>
        <v>2615</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1653</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1654</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1655</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1656</v>
      </c>
      <c r="B21" s="109">
        <v>3</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1657</v>
      </c>
      <c r="B22" s="110">
        <f>B19+B20</f>
        <v>3</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1658</v>
      </c>
      <c r="B23" s="110">
        <f>B19+B21</f>
        <v>3</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1659</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1660</v>
      </c>
      <c r="B26" s="1861" t="s">
        <v>1661</v>
      </c>
      <c r="C26" s="2854" t="s">
        <v>1662</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1663</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1664</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1665</v>
      </c>
      <c r="B29" s="117">
        <f ca="1">成本法!C10</f>
        <v>4608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1666</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1667</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1668</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1669</v>
      </c>
      <c r="B33" s="682">
        <v>0.05</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1670</v>
      </c>
      <c r="B34" s="118"/>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1671</v>
      </c>
      <c r="B35" s="115">
        <v>150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1672</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1673</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1674</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1675</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3484</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1676</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1677</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1678</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1679</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1680</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1681</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1682</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1683</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1684</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1685</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1686</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1687</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1688</v>
      </c>
      <c r="B53" s="1873" t="s">
        <v>56</v>
      </c>
      <c r="C53" s="2836" t="s">
        <v>1689</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1690</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1691</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1692</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1693</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1694</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1695</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1696</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1697</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1698</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1699</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70"/>
  <sheetViews>
    <sheetView topLeftCell="J1" zoomScaleNormal="100" workbookViewId="0">
      <selection activeCell="X9" sqref="X9"/>
    </sheetView>
  </sheetViews>
  <sheetFormatPr defaultRowHeight="12"/>
  <cols>
    <col min="1" max="1" width="31.125" style="3262" bestFit="1" customWidth="1"/>
    <col min="2" max="2" width="14.75" style="3262" customWidth="1"/>
    <col min="3" max="3" width="9" style="3262"/>
    <col min="4" max="4" width="11.25" style="3262" bestFit="1" customWidth="1"/>
    <col min="5" max="7" width="9" style="3262"/>
    <col min="8" max="8" width="12.375" style="3262" customWidth="1"/>
    <col min="9" max="9" width="9.375" style="3262" bestFit="1" customWidth="1"/>
    <col min="10" max="10" width="11.375" style="3262" bestFit="1" customWidth="1"/>
    <col min="11" max="11" width="9" style="3262"/>
    <col min="12" max="12" width="12.75" style="3262" bestFit="1" customWidth="1"/>
    <col min="13" max="13" width="9" style="3262"/>
    <col min="14" max="14" width="31.125" style="3262" bestFit="1" customWidth="1"/>
    <col min="15" max="16" width="9" style="3262"/>
    <col min="17" max="17" width="10.625" style="3262" customWidth="1"/>
    <col min="18" max="16384" width="9" style="3262"/>
  </cols>
  <sheetData>
    <row r="1" spans="1:35">
      <c r="A1" s="3262" t="s">
        <v>3645</v>
      </c>
      <c r="N1" s="3262" t="s">
        <v>3646</v>
      </c>
      <c r="Y1" s="3240"/>
      <c r="Z1" s="3240" t="s">
        <v>3650</v>
      </c>
      <c r="AA1" s="3240" t="s">
        <v>3651</v>
      </c>
      <c r="AB1" s="3240" t="s">
        <v>3652</v>
      </c>
      <c r="AC1" s="3240" t="s">
        <v>3653</v>
      </c>
      <c r="AD1" s="3240" t="s">
        <v>3654</v>
      </c>
      <c r="AE1" s="3240" t="s">
        <v>3655</v>
      </c>
      <c r="AF1" s="3240"/>
      <c r="AG1" s="3240"/>
      <c r="AH1" s="3240"/>
      <c r="AI1" s="3240"/>
    </row>
    <row r="2" spans="1:35" ht="15" customHeight="1">
      <c r="A2" s="3367" t="s">
        <v>3511</v>
      </c>
      <c r="B2" s="3367" t="s">
        <v>3532</v>
      </c>
      <c r="C2" s="3368" t="s">
        <v>3172</v>
      </c>
      <c r="D2" s="3368" t="s">
        <v>3559</v>
      </c>
      <c r="E2" s="3368" t="s">
        <v>3560</v>
      </c>
      <c r="F2" s="3368"/>
      <c r="G2" s="3368"/>
      <c r="H2" s="3368"/>
      <c r="N2" s="3367" t="s">
        <v>3511</v>
      </c>
      <c r="O2" s="3367" t="s">
        <v>3532</v>
      </c>
      <c r="P2" s="3368" t="s">
        <v>3172</v>
      </c>
      <c r="Q2" s="3368" t="s">
        <v>3559</v>
      </c>
      <c r="R2" s="3368" t="s">
        <v>3560</v>
      </c>
      <c r="S2" s="3368"/>
      <c r="T2" s="3368"/>
      <c r="U2" s="3368"/>
      <c r="V2" s="3272"/>
      <c r="W2" s="3272"/>
      <c r="Y2" s="3270" t="s">
        <v>3656</v>
      </c>
      <c r="Z2" s="3240">
        <f>K19</f>
        <v>175962.71000000002</v>
      </c>
      <c r="AA2" s="3240">
        <f>K20</f>
        <v>28385.21</v>
      </c>
      <c r="AB2" s="3240">
        <f>K21</f>
        <v>30257.699999999997</v>
      </c>
      <c r="AC2" s="3240">
        <f>K22+K23</f>
        <v>7925.619999999999</v>
      </c>
      <c r="AD2" s="3240">
        <f>SUM(Z2:AC2)</f>
        <v>242531.24</v>
      </c>
      <c r="AE2" s="3240">
        <f>Z2+AA2+AB2</f>
        <v>234605.62</v>
      </c>
      <c r="AF2" s="3240"/>
      <c r="AG2" s="3240" t="s">
        <v>3657</v>
      </c>
      <c r="AH2" s="3240" t="s">
        <v>3658</v>
      </c>
      <c r="AI2" s="3240" t="s">
        <v>3659</v>
      </c>
    </row>
    <row r="3" spans="1:35" ht="14.25">
      <c r="A3" s="3367"/>
      <c r="B3" s="3367"/>
      <c r="C3" s="3368"/>
      <c r="D3" s="3368"/>
      <c r="E3" s="3254" t="s">
        <v>3173</v>
      </c>
      <c r="F3" s="3254"/>
      <c r="G3" s="3254" t="s">
        <v>3174</v>
      </c>
      <c r="H3" s="3254"/>
      <c r="N3" s="3367"/>
      <c r="O3" s="3367"/>
      <c r="P3" s="3368"/>
      <c r="Q3" s="3368"/>
      <c r="R3" s="3254" t="s">
        <v>3173</v>
      </c>
      <c r="S3" s="3254"/>
      <c r="T3" s="3254" t="s">
        <v>3174</v>
      </c>
      <c r="U3" s="3254"/>
      <c r="V3" s="3272" t="s">
        <v>3664</v>
      </c>
      <c r="W3" s="3272"/>
      <c r="Y3" s="3240" t="s">
        <v>3660</v>
      </c>
      <c r="Z3" s="3240">
        <f>'土地比较法-工业'!F51</f>
        <v>31708</v>
      </c>
      <c r="AA3" s="3240">
        <f>'土地比较法-工业'!F57</f>
        <v>255</v>
      </c>
      <c r="AB3" s="3240">
        <f>'土地比较法-工业'!F58</f>
        <v>136</v>
      </c>
      <c r="AC3" s="3240"/>
      <c r="AD3" s="3240">
        <f>SUM(Z3:AC3)</f>
        <v>32099</v>
      </c>
      <c r="AE3" s="3240"/>
      <c r="AF3" s="3240"/>
      <c r="AG3" s="3240">
        <f ca="1">结果表!H118</f>
        <v>164078</v>
      </c>
      <c r="AH3" s="3240">
        <f ca="1">结果表!F118</f>
        <v>112229</v>
      </c>
      <c r="AI3" s="3240">
        <f ca="1">结果表!D118</f>
        <v>51849</v>
      </c>
    </row>
    <row r="4" spans="1:35" ht="14.25">
      <c r="A4" s="3263" t="s">
        <v>3572</v>
      </c>
      <c r="B4" s="3254" t="s">
        <v>3579</v>
      </c>
      <c r="C4" s="3254" t="s">
        <v>3183</v>
      </c>
      <c r="D4" s="3255">
        <v>9433.5300000000007</v>
      </c>
      <c r="E4" s="3255">
        <v>9433.5300000000007</v>
      </c>
      <c r="F4" s="3254" t="s">
        <v>3175</v>
      </c>
      <c r="G4" s="3255" t="s">
        <v>70</v>
      </c>
      <c r="H4" s="3255" t="s">
        <v>70</v>
      </c>
      <c r="N4" s="3263" t="s">
        <v>3572</v>
      </c>
      <c r="O4" s="3254" t="s">
        <v>3579</v>
      </c>
      <c r="P4" s="3254" t="s">
        <v>3183</v>
      </c>
      <c r="Q4" s="3255">
        <v>9433.5300000000007</v>
      </c>
      <c r="R4" s="3255">
        <v>9433.5300000000007</v>
      </c>
      <c r="S4" s="3254" t="s">
        <v>3175</v>
      </c>
      <c r="T4" s="3255" t="s">
        <v>70</v>
      </c>
      <c r="U4" s="3255" t="s">
        <v>70</v>
      </c>
      <c r="V4" s="3273">
        <f ca="1">ROUND(R4*$Z$6/10000+R4*$Z$8/10000,0)</f>
        <v>7111</v>
      </c>
      <c r="W4" s="3273">
        <v>6886</v>
      </c>
      <c r="Y4" s="3240"/>
      <c r="Z4" s="3240"/>
      <c r="AA4" s="3240"/>
      <c r="AB4" s="3240"/>
      <c r="AC4" s="3240"/>
      <c r="AD4" s="3240"/>
      <c r="AE4" s="3240"/>
      <c r="AF4" s="3240"/>
      <c r="AG4" s="3240"/>
      <c r="AH4" s="3240"/>
      <c r="AI4" s="3240"/>
    </row>
    <row r="5" spans="1:35" ht="14.25">
      <c r="A5" s="3263" t="s">
        <v>3573</v>
      </c>
      <c r="B5" s="3254" t="s">
        <v>3580</v>
      </c>
      <c r="C5" s="3254" t="s">
        <v>3184</v>
      </c>
      <c r="D5" s="3255">
        <v>8269.76</v>
      </c>
      <c r="E5" s="3255">
        <v>8269.76</v>
      </c>
      <c r="F5" s="3254" t="s">
        <v>3176</v>
      </c>
      <c r="G5" s="3255" t="s">
        <v>70</v>
      </c>
      <c r="H5" s="3255" t="s">
        <v>70</v>
      </c>
      <c r="J5" s="3262" t="s">
        <v>3647</v>
      </c>
      <c r="L5" s="3262" t="s">
        <v>3642</v>
      </c>
      <c r="N5" s="3263" t="s">
        <v>3573</v>
      </c>
      <c r="O5" s="3254" t="s">
        <v>3580</v>
      </c>
      <c r="P5" s="3254" t="s">
        <v>3184</v>
      </c>
      <c r="Q5" s="3255">
        <v>8269.76</v>
      </c>
      <c r="R5" s="3255">
        <v>8269.76</v>
      </c>
      <c r="S5" s="3254" t="s">
        <v>3176</v>
      </c>
      <c r="T5" s="3255" t="s">
        <v>70</v>
      </c>
      <c r="U5" s="3255" t="s">
        <v>70</v>
      </c>
      <c r="V5" s="3273">
        <f ca="1">ROUND(R5*$Z$6/10000+R5*$Z$8/10000,0)</f>
        <v>6234</v>
      </c>
      <c r="W5" s="3273">
        <v>6036</v>
      </c>
      <c r="Y5" s="3240" t="s">
        <v>3661</v>
      </c>
      <c r="Z5" s="3240">
        <f ca="1">ROUND(Z3/$AD$3*$AI$3,0)</f>
        <v>51217</v>
      </c>
      <c r="AA5" s="3240">
        <f t="shared" ref="AA5:AB5" ca="1" si="0">ROUND(AA3/$AD$3*$AI$3,0)</f>
        <v>412</v>
      </c>
      <c r="AB5" s="3240">
        <f t="shared" ca="1" si="0"/>
        <v>220</v>
      </c>
      <c r="AC5" s="3240"/>
      <c r="AD5" s="3240"/>
      <c r="AE5" s="3240"/>
      <c r="AF5" s="3240"/>
      <c r="AG5" s="3240"/>
      <c r="AH5" s="3240"/>
      <c r="AI5" s="3240"/>
    </row>
    <row r="6" spans="1:35" ht="14.25">
      <c r="A6" s="3369" t="s">
        <v>3577</v>
      </c>
      <c r="B6" s="3368" t="s">
        <v>3581</v>
      </c>
      <c r="C6" s="3368" t="s">
        <v>3185</v>
      </c>
      <c r="D6" s="3370">
        <v>10595.77</v>
      </c>
      <c r="E6" s="3370" t="s">
        <v>70</v>
      </c>
      <c r="F6" s="3370" t="s">
        <v>70</v>
      </c>
      <c r="G6" s="3255">
        <v>5325.27</v>
      </c>
      <c r="H6" s="3254" t="s">
        <v>3177</v>
      </c>
      <c r="J6" s="3262" t="s">
        <v>3643</v>
      </c>
      <c r="K6" s="3262">
        <v>119876.49</v>
      </c>
      <c r="L6" s="3269">
        <v>59926</v>
      </c>
      <c r="N6" s="3369" t="s">
        <v>3577</v>
      </c>
      <c r="O6" s="3368" t="s">
        <v>3581</v>
      </c>
      <c r="P6" s="3368" t="s">
        <v>3185</v>
      </c>
      <c r="Q6" s="3370">
        <v>10595.77</v>
      </c>
      <c r="R6" s="3370" t="s">
        <v>70</v>
      </c>
      <c r="S6" s="3370" t="s">
        <v>70</v>
      </c>
      <c r="T6" s="3255">
        <v>5325.27</v>
      </c>
      <c r="U6" s="3254" t="s">
        <v>3177</v>
      </c>
      <c r="V6" s="3273">
        <f ca="1">ROUND(T6*$AB$6/10000+T6*$Z$8/10000,0)</f>
        <v>2503</v>
      </c>
      <c r="W6" s="3273">
        <v>2768</v>
      </c>
      <c r="Y6" s="3271" t="s">
        <v>3662</v>
      </c>
      <c r="Z6" s="3240">
        <f ca="1">ROUND(Z5/Z2*10000,0)</f>
        <v>2911</v>
      </c>
      <c r="AA6" s="3240">
        <f ca="1">ROUND(AA5/AA2*10000,0)</f>
        <v>145</v>
      </c>
      <c r="AB6" s="3240">
        <f ca="1">ROUND(AB5/AB2*10000,0)</f>
        <v>73</v>
      </c>
      <c r="AC6" s="3240"/>
      <c r="AD6" s="3240"/>
      <c r="AE6" s="3240"/>
      <c r="AF6" s="3240"/>
      <c r="AG6" s="3240"/>
      <c r="AH6" s="3240"/>
      <c r="AI6" s="3240"/>
    </row>
    <row r="7" spans="1:35" ht="14.25">
      <c r="A7" s="3369"/>
      <c r="B7" s="3368"/>
      <c r="C7" s="3368"/>
      <c r="D7" s="3370"/>
      <c r="E7" s="3370"/>
      <c r="F7" s="3370"/>
      <c r="G7" s="3255">
        <v>1393.64</v>
      </c>
      <c r="H7" s="3254" t="s">
        <v>3178</v>
      </c>
      <c r="J7" s="3262" t="s">
        <v>3644</v>
      </c>
      <c r="K7" s="3262">
        <f>D70</f>
        <v>246132.41999999998</v>
      </c>
      <c r="N7" s="3369"/>
      <c r="O7" s="3368"/>
      <c r="P7" s="3368"/>
      <c r="Q7" s="3370"/>
      <c r="R7" s="3370"/>
      <c r="S7" s="3370"/>
      <c r="T7" s="3255">
        <v>1393.64</v>
      </c>
      <c r="U7" s="3254" t="s">
        <v>3178</v>
      </c>
      <c r="V7" s="3273">
        <f ca="1">ROUND(T7*$Z$8/10000,0)</f>
        <v>645</v>
      </c>
      <c r="W7" s="3273">
        <v>713</v>
      </c>
      <c r="Y7" s="3240"/>
      <c r="Z7" s="3240"/>
      <c r="AA7" s="3240"/>
      <c r="AB7" s="3240"/>
      <c r="AC7" s="3240"/>
      <c r="AD7" s="3240"/>
      <c r="AE7" s="3240"/>
      <c r="AF7" s="3240"/>
      <c r="AG7" s="3240"/>
      <c r="AH7" s="3240"/>
      <c r="AI7" s="3240"/>
    </row>
    <row r="8" spans="1:35" ht="14.25">
      <c r="A8" s="3369"/>
      <c r="B8" s="3368"/>
      <c r="C8" s="3368"/>
      <c r="D8" s="3370"/>
      <c r="E8" s="3370"/>
      <c r="F8" s="3370"/>
      <c r="G8" s="3255">
        <v>673.87</v>
      </c>
      <c r="H8" s="3254" t="s">
        <v>3179</v>
      </c>
      <c r="J8" s="3262" t="s">
        <v>3247</v>
      </c>
      <c r="K8" s="3262">
        <f>E4+E5+SUM(E10:E25)+E29+SUM(E31:E51)+SUM(E55:E67)</f>
        <v>178411.05000000002</v>
      </c>
      <c r="N8" s="3369"/>
      <c r="O8" s="3368"/>
      <c r="P8" s="3368"/>
      <c r="Q8" s="3370"/>
      <c r="R8" s="3370"/>
      <c r="S8" s="3370"/>
      <c r="T8" s="3255">
        <v>673.87</v>
      </c>
      <c r="U8" s="3254" t="s">
        <v>3179</v>
      </c>
      <c r="V8" s="3273">
        <f ca="1">ROUND(T8*$AA$6/10000+T8*$Z$8/10000,0)</f>
        <v>322</v>
      </c>
      <c r="W8" s="3273">
        <v>352</v>
      </c>
      <c r="Y8" s="3240" t="s">
        <v>3663</v>
      </c>
      <c r="Z8" s="3240">
        <f ca="1">ROUND(AH3/AD2*10000,0)</f>
        <v>4627</v>
      </c>
      <c r="AA8" s="3240"/>
      <c r="AB8" s="3240"/>
      <c r="AC8" s="3240"/>
      <c r="AD8" s="3240"/>
      <c r="AE8" s="3240"/>
      <c r="AF8" s="3240"/>
      <c r="AG8" s="3240"/>
      <c r="AH8" s="3240"/>
      <c r="AI8" s="3240"/>
    </row>
    <row r="9" spans="1:35" ht="14.25">
      <c r="A9" s="3369"/>
      <c r="B9" s="3368"/>
      <c r="C9" s="3368"/>
      <c r="D9" s="3370"/>
      <c r="E9" s="3370"/>
      <c r="F9" s="3370"/>
      <c r="G9" s="3255">
        <v>3202.99</v>
      </c>
      <c r="H9" s="3254" t="s">
        <v>3180</v>
      </c>
      <c r="J9" s="3262" t="s">
        <v>3249</v>
      </c>
      <c r="K9" s="3262">
        <f>G8+G27+SUM(G33:G51)+SUM(G55:G67)</f>
        <v>28949.67</v>
      </c>
      <c r="N9" s="3369"/>
      <c r="O9" s="3368"/>
      <c r="P9" s="3368"/>
      <c r="Q9" s="3370"/>
      <c r="R9" s="3370"/>
      <c r="S9" s="3370"/>
      <c r="T9" s="3255">
        <v>3202.99</v>
      </c>
      <c r="U9" s="3254" t="s">
        <v>3180</v>
      </c>
      <c r="V9" s="3273">
        <f ca="1">ROUND(T9*$Z$8/10000,0)</f>
        <v>1482</v>
      </c>
      <c r="W9" s="3273">
        <v>1639</v>
      </c>
      <c r="X9" s="3274">
        <f ca="1">V6+V7+V8+V9</f>
        <v>4952</v>
      </c>
      <c r="Y9" s="3262">
        <f>W6+W7+W8+W9</f>
        <v>5472</v>
      </c>
    </row>
    <row r="10" spans="1:35" ht="14.25">
      <c r="A10" s="3263" t="s">
        <v>3574</v>
      </c>
      <c r="B10" s="3264" t="s">
        <v>3582</v>
      </c>
      <c r="C10" s="3254" t="s">
        <v>3186</v>
      </c>
      <c r="D10" s="3255">
        <v>1500.94</v>
      </c>
      <c r="E10" s="3255">
        <v>1500.94</v>
      </c>
      <c r="F10" s="3254" t="s">
        <v>3175</v>
      </c>
      <c r="G10" s="3255" t="s">
        <v>70</v>
      </c>
      <c r="H10" s="3255" t="s">
        <v>70</v>
      </c>
      <c r="J10" s="3262" t="s">
        <v>3250</v>
      </c>
      <c r="K10" s="3262">
        <f>G6+G26+G53+G69</f>
        <v>30257.699999999997</v>
      </c>
      <c r="N10" s="3263" t="s">
        <v>3574</v>
      </c>
      <c r="O10" s="3264" t="s">
        <v>3582</v>
      </c>
      <c r="P10" s="3254" t="s">
        <v>3186</v>
      </c>
      <c r="Q10" s="3255">
        <v>1500.94</v>
      </c>
      <c r="R10" s="3255">
        <v>1500.94</v>
      </c>
      <c r="S10" s="3254" t="s">
        <v>3175</v>
      </c>
      <c r="T10" s="3255" t="s">
        <v>70</v>
      </c>
      <c r="U10" s="3255" t="s">
        <v>70</v>
      </c>
      <c r="V10" s="3273">
        <f ca="1">ROUND(R10*$Z$6/10000+R10*$Z$8/10000,0)</f>
        <v>1131</v>
      </c>
      <c r="W10" s="3273">
        <v>1096</v>
      </c>
    </row>
    <row r="11" spans="1:35" ht="14.25">
      <c r="A11" s="3263" t="s">
        <v>3575</v>
      </c>
      <c r="B11" s="3264" t="s">
        <v>3583</v>
      </c>
      <c r="C11" s="3254" t="s">
        <v>3187</v>
      </c>
      <c r="D11" s="3255">
        <v>1116.4000000000001</v>
      </c>
      <c r="E11" s="3255">
        <v>1116.4000000000001</v>
      </c>
      <c r="F11" s="3254" t="s">
        <v>3175</v>
      </c>
      <c r="G11" s="3255" t="s">
        <v>70</v>
      </c>
      <c r="H11" s="3255" t="s">
        <v>70</v>
      </c>
      <c r="J11" s="3262" t="s">
        <v>3251</v>
      </c>
      <c r="K11" s="3262">
        <f>E30+E52+E68</f>
        <v>1160.4000000000001</v>
      </c>
      <c r="N11" s="3263" t="s">
        <v>3575</v>
      </c>
      <c r="O11" s="3264" t="s">
        <v>3583</v>
      </c>
      <c r="P11" s="3254" t="s">
        <v>3187</v>
      </c>
      <c r="Q11" s="3255">
        <v>1116.4000000000001</v>
      </c>
      <c r="R11" s="3255">
        <v>1116.4000000000001</v>
      </c>
      <c r="S11" s="3254" t="s">
        <v>3175</v>
      </c>
      <c r="T11" s="3255" t="s">
        <v>70</v>
      </c>
      <c r="U11" s="3255" t="s">
        <v>70</v>
      </c>
      <c r="V11" s="3273">
        <f t="shared" ref="V11:V25" ca="1" si="1">ROUND(R11*$Z$6/10000+R11*$Z$8/10000,0)</f>
        <v>842</v>
      </c>
      <c r="W11" s="3273">
        <v>815</v>
      </c>
    </row>
    <row r="12" spans="1:35" ht="14.25">
      <c r="A12" s="3263" t="s">
        <v>3576</v>
      </c>
      <c r="B12" s="3264" t="s">
        <v>3584</v>
      </c>
      <c r="C12" s="3254" t="s">
        <v>3188</v>
      </c>
      <c r="D12" s="3255">
        <v>2056.79</v>
      </c>
      <c r="E12" s="3255">
        <v>2056.79</v>
      </c>
      <c r="F12" s="3254" t="s">
        <v>3175</v>
      </c>
      <c r="G12" s="3255" t="s">
        <v>70</v>
      </c>
      <c r="H12" s="3255" t="s">
        <v>70</v>
      </c>
      <c r="J12" s="3262" t="s">
        <v>3252</v>
      </c>
      <c r="K12" s="3262">
        <f>G7+G9+G28+G29+G54</f>
        <v>7353.5999999999995</v>
      </c>
      <c r="N12" s="3263" t="s">
        <v>3576</v>
      </c>
      <c r="O12" s="3264" t="s">
        <v>3584</v>
      </c>
      <c r="P12" s="3254" t="s">
        <v>3188</v>
      </c>
      <c r="Q12" s="3255">
        <v>2056.79</v>
      </c>
      <c r="R12" s="3255">
        <v>2056.79</v>
      </c>
      <c r="S12" s="3254" t="s">
        <v>3175</v>
      </c>
      <c r="T12" s="3255" t="s">
        <v>70</v>
      </c>
      <c r="U12" s="3255" t="s">
        <v>70</v>
      </c>
      <c r="V12" s="3273">
        <f t="shared" ca="1" si="1"/>
        <v>1550</v>
      </c>
      <c r="W12" s="3273">
        <v>1501</v>
      </c>
    </row>
    <row r="13" spans="1:35" ht="14.25">
      <c r="A13" s="3263" t="s">
        <v>3556</v>
      </c>
      <c r="B13" s="3264" t="s">
        <v>3585</v>
      </c>
      <c r="C13" s="3254" t="s">
        <v>3189</v>
      </c>
      <c r="D13" s="3255">
        <v>2010</v>
      </c>
      <c r="E13" s="3255">
        <v>2010</v>
      </c>
      <c r="F13" s="3254" t="s">
        <v>3175</v>
      </c>
      <c r="G13" s="3255" t="s">
        <v>70</v>
      </c>
      <c r="H13" s="3255" t="s">
        <v>70</v>
      </c>
      <c r="J13" s="3262" t="s">
        <v>3256</v>
      </c>
      <c r="K13" s="3262">
        <f>SUM(K8:K12)</f>
        <v>246132.42000000004</v>
      </c>
      <c r="N13" s="3263" t="s">
        <v>3556</v>
      </c>
      <c r="O13" s="3264" t="s">
        <v>3585</v>
      </c>
      <c r="P13" s="3254" t="s">
        <v>3189</v>
      </c>
      <c r="Q13" s="3255">
        <v>2010</v>
      </c>
      <c r="R13" s="3255">
        <v>2010</v>
      </c>
      <c r="S13" s="3254" t="s">
        <v>3175</v>
      </c>
      <c r="T13" s="3255" t="s">
        <v>70</v>
      </c>
      <c r="U13" s="3255" t="s">
        <v>70</v>
      </c>
      <c r="V13" s="3273">
        <f t="shared" ca="1" si="1"/>
        <v>1515</v>
      </c>
      <c r="W13" s="3273">
        <v>1467</v>
      </c>
    </row>
    <row r="14" spans="1:35" ht="14.25">
      <c r="A14" s="3263" t="s">
        <v>3557</v>
      </c>
      <c r="B14" s="3264" t="s">
        <v>3586</v>
      </c>
      <c r="C14" s="3254" t="s">
        <v>3190</v>
      </c>
      <c r="D14" s="3255">
        <v>1927.94</v>
      </c>
      <c r="E14" s="3255">
        <v>1927.94</v>
      </c>
      <c r="F14" s="3254" t="s">
        <v>3175</v>
      </c>
      <c r="G14" s="3255" t="s">
        <v>70</v>
      </c>
      <c r="H14" s="3255" t="s">
        <v>70</v>
      </c>
      <c r="N14" s="3263" t="s">
        <v>3557</v>
      </c>
      <c r="O14" s="3264" t="s">
        <v>3586</v>
      </c>
      <c r="P14" s="3254" t="s">
        <v>3190</v>
      </c>
      <c r="Q14" s="3255">
        <v>1927.94</v>
      </c>
      <c r="R14" s="3255">
        <v>1927.94</v>
      </c>
      <c r="S14" s="3254" t="s">
        <v>3175</v>
      </c>
      <c r="T14" s="3255" t="s">
        <v>70</v>
      </c>
      <c r="U14" s="3255" t="s">
        <v>70</v>
      </c>
      <c r="V14" s="3273">
        <f t="shared" ca="1" si="1"/>
        <v>1453</v>
      </c>
      <c r="W14" s="3273">
        <v>1407</v>
      </c>
    </row>
    <row r="15" spans="1:35" ht="14.25">
      <c r="A15" s="3263" t="s">
        <v>3558</v>
      </c>
      <c r="B15" s="3264" t="s">
        <v>3587</v>
      </c>
      <c r="C15" s="3254" t="s">
        <v>3191</v>
      </c>
      <c r="D15" s="3255">
        <v>1116.0999999999999</v>
      </c>
      <c r="E15" s="3255">
        <v>1116.0999999999999</v>
      </c>
      <c r="F15" s="3254" t="s">
        <v>3175</v>
      </c>
      <c r="G15" s="3255" t="s">
        <v>70</v>
      </c>
      <c r="H15" s="3255" t="s">
        <v>70</v>
      </c>
      <c r="N15" s="3263" t="s">
        <v>3558</v>
      </c>
      <c r="O15" s="3264" t="s">
        <v>3587</v>
      </c>
      <c r="P15" s="3254" t="s">
        <v>3191</v>
      </c>
      <c r="Q15" s="3255">
        <v>1116.0999999999999</v>
      </c>
      <c r="R15" s="3255">
        <v>1116.0999999999999</v>
      </c>
      <c r="S15" s="3254" t="s">
        <v>3175</v>
      </c>
      <c r="T15" s="3255" t="s">
        <v>70</v>
      </c>
      <c r="U15" s="3255" t="s">
        <v>70</v>
      </c>
      <c r="V15" s="3273">
        <f t="shared" ca="1" si="1"/>
        <v>841</v>
      </c>
      <c r="W15" s="3273">
        <v>815</v>
      </c>
    </row>
    <row r="16" spans="1:35" ht="14.25">
      <c r="A16" s="3263" t="s">
        <v>3561</v>
      </c>
      <c r="B16" s="3264" t="s">
        <v>3588</v>
      </c>
      <c r="C16" s="3254" t="s">
        <v>3192</v>
      </c>
      <c r="D16" s="3255">
        <v>2056.48</v>
      </c>
      <c r="E16" s="3255">
        <v>2056.48</v>
      </c>
      <c r="F16" s="3254" t="s">
        <v>3175</v>
      </c>
      <c r="G16" s="3255" t="s">
        <v>70</v>
      </c>
      <c r="H16" s="3255" t="s">
        <v>70</v>
      </c>
      <c r="J16" s="3262" t="s">
        <v>3649</v>
      </c>
      <c r="L16" s="3262" t="s">
        <v>3642</v>
      </c>
      <c r="N16" s="3263" t="s">
        <v>3561</v>
      </c>
      <c r="O16" s="3264" t="s">
        <v>3588</v>
      </c>
      <c r="P16" s="3254" t="s">
        <v>3192</v>
      </c>
      <c r="Q16" s="3255">
        <v>2056.48</v>
      </c>
      <c r="R16" s="3255">
        <v>2056.48</v>
      </c>
      <c r="S16" s="3254" t="s">
        <v>3175</v>
      </c>
      <c r="T16" s="3255" t="s">
        <v>70</v>
      </c>
      <c r="U16" s="3255" t="s">
        <v>70</v>
      </c>
      <c r="V16" s="3273">
        <f t="shared" ca="1" si="1"/>
        <v>1550</v>
      </c>
      <c r="W16" s="3273">
        <v>1501</v>
      </c>
    </row>
    <row r="17" spans="1:25" ht="14.25">
      <c r="A17" s="3263" t="s">
        <v>3562</v>
      </c>
      <c r="B17" s="3264" t="s">
        <v>3589</v>
      </c>
      <c r="C17" s="3254" t="s">
        <v>3193</v>
      </c>
      <c r="D17" s="3255">
        <v>2010.38</v>
      </c>
      <c r="E17" s="3255">
        <v>2010.38</v>
      </c>
      <c r="F17" s="3254" t="s">
        <v>3175</v>
      </c>
      <c r="G17" s="3255" t="s">
        <v>70</v>
      </c>
      <c r="H17" s="3255" t="s">
        <v>70</v>
      </c>
      <c r="J17" s="3262" t="s">
        <v>3648</v>
      </c>
      <c r="K17" s="3262">
        <f>ROUND(K18/K7*K6,2)</f>
        <v>118122.57</v>
      </c>
      <c r="L17" s="3269">
        <v>59926</v>
      </c>
      <c r="N17" s="3263" t="s">
        <v>3562</v>
      </c>
      <c r="O17" s="3264" t="s">
        <v>3589</v>
      </c>
      <c r="P17" s="3254" t="s">
        <v>3193</v>
      </c>
      <c r="Q17" s="3255">
        <v>2010.38</v>
      </c>
      <c r="R17" s="3255">
        <v>2010.38</v>
      </c>
      <c r="S17" s="3254" t="s">
        <v>3175</v>
      </c>
      <c r="T17" s="3255" t="s">
        <v>70</v>
      </c>
      <c r="U17" s="3255" t="s">
        <v>70</v>
      </c>
      <c r="V17" s="3273">
        <f t="shared" ca="1" si="1"/>
        <v>1515</v>
      </c>
      <c r="W17" s="3273">
        <v>1467</v>
      </c>
    </row>
    <row r="18" spans="1:25" ht="14.25">
      <c r="A18" s="3263" t="s">
        <v>3563</v>
      </c>
      <c r="B18" s="3264" t="s">
        <v>3590</v>
      </c>
      <c r="C18" s="3254" t="s">
        <v>3194</v>
      </c>
      <c r="D18" s="3255">
        <v>1117.76</v>
      </c>
      <c r="E18" s="3255">
        <v>1117.76</v>
      </c>
      <c r="F18" s="3254" t="s">
        <v>3175</v>
      </c>
      <c r="G18" s="3255" t="s">
        <v>70</v>
      </c>
      <c r="H18" s="3255" t="s">
        <v>70</v>
      </c>
      <c r="J18" s="3262" t="s">
        <v>3644</v>
      </c>
      <c r="K18" s="3262">
        <f>Q67</f>
        <v>242531.24000000002</v>
      </c>
      <c r="N18" s="3263" t="s">
        <v>3563</v>
      </c>
      <c r="O18" s="3264" t="s">
        <v>3590</v>
      </c>
      <c r="P18" s="3254" t="s">
        <v>3194</v>
      </c>
      <c r="Q18" s="3255">
        <v>1117.76</v>
      </c>
      <c r="R18" s="3255">
        <v>1117.76</v>
      </c>
      <c r="S18" s="3254" t="s">
        <v>3175</v>
      </c>
      <c r="T18" s="3255" t="s">
        <v>70</v>
      </c>
      <c r="U18" s="3255" t="s">
        <v>70</v>
      </c>
      <c r="V18" s="3273">
        <f t="shared" ca="1" si="1"/>
        <v>843</v>
      </c>
      <c r="W18" s="3273">
        <v>816</v>
      </c>
    </row>
    <row r="19" spans="1:25" ht="14.25">
      <c r="A19" s="3263" t="s">
        <v>3564</v>
      </c>
      <c r="B19" s="3264" t="s">
        <v>3591</v>
      </c>
      <c r="C19" s="3254" t="s">
        <v>3195</v>
      </c>
      <c r="D19" s="3255">
        <v>2010.07</v>
      </c>
      <c r="E19" s="3255">
        <v>2010.07</v>
      </c>
      <c r="F19" s="3254" t="s">
        <v>3175</v>
      </c>
      <c r="G19" s="3255" t="s">
        <v>70</v>
      </c>
      <c r="H19" s="3255" t="s">
        <v>70</v>
      </c>
      <c r="J19" s="3262" t="s">
        <v>3247</v>
      </c>
      <c r="K19" s="3262">
        <f>R4+R5+SUM(R10:R25)+R29+SUM(R31:R51)+SUM(R54:R65)</f>
        <v>175962.71000000002</v>
      </c>
      <c r="N19" s="3263" t="s">
        <v>3564</v>
      </c>
      <c r="O19" s="3264" t="s">
        <v>3591</v>
      </c>
      <c r="P19" s="3254" t="s">
        <v>3195</v>
      </c>
      <c r="Q19" s="3255">
        <v>2010.07</v>
      </c>
      <c r="R19" s="3255">
        <v>2010.07</v>
      </c>
      <c r="S19" s="3254" t="s">
        <v>3175</v>
      </c>
      <c r="T19" s="3255" t="s">
        <v>70</v>
      </c>
      <c r="U19" s="3255" t="s">
        <v>70</v>
      </c>
      <c r="V19" s="3273">
        <f t="shared" ca="1" si="1"/>
        <v>1515</v>
      </c>
      <c r="W19" s="3273">
        <v>1467</v>
      </c>
    </row>
    <row r="20" spans="1:25" ht="14.25">
      <c r="A20" s="3263" t="s">
        <v>3565</v>
      </c>
      <c r="B20" s="3264" t="s">
        <v>3592</v>
      </c>
      <c r="C20" s="3254" t="s">
        <v>3196</v>
      </c>
      <c r="D20" s="3255">
        <v>1117.77</v>
      </c>
      <c r="E20" s="3255">
        <v>1117.77</v>
      </c>
      <c r="F20" s="3254" t="s">
        <v>3175</v>
      </c>
      <c r="G20" s="3255" t="s">
        <v>70</v>
      </c>
      <c r="H20" s="3255" t="s">
        <v>70</v>
      </c>
      <c r="J20" s="3262" t="s">
        <v>3249</v>
      </c>
      <c r="K20" s="3262">
        <f>T8+T27+SUM(T33:T51)+SUM(T54:T65)</f>
        <v>28385.21</v>
      </c>
      <c r="N20" s="3263" t="s">
        <v>3565</v>
      </c>
      <c r="O20" s="3264" t="s">
        <v>3592</v>
      </c>
      <c r="P20" s="3254" t="s">
        <v>3196</v>
      </c>
      <c r="Q20" s="3255">
        <v>1117.77</v>
      </c>
      <c r="R20" s="3255">
        <v>1117.77</v>
      </c>
      <c r="S20" s="3254" t="s">
        <v>3175</v>
      </c>
      <c r="T20" s="3255" t="s">
        <v>70</v>
      </c>
      <c r="U20" s="3255" t="s">
        <v>70</v>
      </c>
      <c r="V20" s="3273">
        <f t="shared" ca="1" si="1"/>
        <v>843</v>
      </c>
      <c r="W20" s="3273">
        <v>816</v>
      </c>
    </row>
    <row r="21" spans="1:25" ht="14.25">
      <c r="A21" s="3263" t="s">
        <v>3566</v>
      </c>
      <c r="B21" s="3264" t="s">
        <v>3593</v>
      </c>
      <c r="C21" s="3254" t="s">
        <v>3197</v>
      </c>
      <c r="D21" s="3255">
        <v>1928.9</v>
      </c>
      <c r="E21" s="3255">
        <v>1928.9</v>
      </c>
      <c r="F21" s="3254" t="s">
        <v>3175</v>
      </c>
      <c r="G21" s="3255" t="s">
        <v>70</v>
      </c>
      <c r="H21" s="3255" t="s">
        <v>70</v>
      </c>
      <c r="J21" s="3262" t="s">
        <v>3250</v>
      </c>
      <c r="K21" s="3262">
        <f>T6+T26+T52+T66</f>
        <v>30257.699999999997</v>
      </c>
      <c r="N21" s="3263" t="s">
        <v>3566</v>
      </c>
      <c r="O21" s="3264" t="s">
        <v>3593</v>
      </c>
      <c r="P21" s="3254" t="s">
        <v>3197</v>
      </c>
      <c r="Q21" s="3255">
        <v>1928.9</v>
      </c>
      <c r="R21" s="3255">
        <v>1928.9</v>
      </c>
      <c r="S21" s="3254" t="s">
        <v>3175</v>
      </c>
      <c r="T21" s="3255" t="s">
        <v>70</v>
      </c>
      <c r="U21" s="3255" t="s">
        <v>70</v>
      </c>
      <c r="V21" s="3273">
        <f t="shared" ca="1" si="1"/>
        <v>1454</v>
      </c>
      <c r="W21" s="3273">
        <v>1408</v>
      </c>
    </row>
    <row r="22" spans="1:25" ht="14.25">
      <c r="A22" s="3263" t="s">
        <v>3567</v>
      </c>
      <c r="B22" s="3264" t="s">
        <v>3594</v>
      </c>
      <c r="C22" s="3254" t="s">
        <v>3198</v>
      </c>
      <c r="D22" s="3255">
        <v>2056.79</v>
      </c>
      <c r="E22" s="3255">
        <v>2056.79</v>
      </c>
      <c r="F22" s="3254" t="s">
        <v>3175</v>
      </c>
      <c r="G22" s="3255" t="s">
        <v>70</v>
      </c>
      <c r="H22" s="3255" t="s">
        <v>70</v>
      </c>
      <c r="J22" s="3262" t="s">
        <v>3251</v>
      </c>
      <c r="K22" s="3262">
        <f>R30</f>
        <v>572.02</v>
      </c>
      <c r="N22" s="3263" t="s">
        <v>3567</v>
      </c>
      <c r="O22" s="3264" t="s">
        <v>3594</v>
      </c>
      <c r="P22" s="3254" t="s">
        <v>3198</v>
      </c>
      <c r="Q22" s="3255">
        <v>2056.79</v>
      </c>
      <c r="R22" s="3255">
        <v>2056.79</v>
      </c>
      <c r="S22" s="3254" t="s">
        <v>3175</v>
      </c>
      <c r="T22" s="3255" t="s">
        <v>70</v>
      </c>
      <c r="U22" s="3255" t="s">
        <v>70</v>
      </c>
      <c r="V22" s="3273">
        <f t="shared" ca="1" si="1"/>
        <v>1550</v>
      </c>
      <c r="W22" s="3273">
        <v>1501</v>
      </c>
    </row>
    <row r="23" spans="1:25" ht="14.25">
      <c r="A23" s="3263" t="s">
        <v>3568</v>
      </c>
      <c r="B23" s="3264" t="s">
        <v>3595</v>
      </c>
      <c r="C23" s="3254" t="s">
        <v>3199</v>
      </c>
      <c r="D23" s="3255">
        <v>2010.26</v>
      </c>
      <c r="E23" s="3255">
        <v>2010.26</v>
      </c>
      <c r="F23" s="3254" t="s">
        <v>3175</v>
      </c>
      <c r="G23" s="3255" t="s">
        <v>70</v>
      </c>
      <c r="H23" s="3255" t="s">
        <v>70</v>
      </c>
      <c r="J23" s="3262" t="s">
        <v>3252</v>
      </c>
      <c r="K23" s="3262">
        <f>T7+T9+T28+T29+T53</f>
        <v>7353.5999999999995</v>
      </c>
      <c r="N23" s="3263" t="s">
        <v>3568</v>
      </c>
      <c r="O23" s="3264" t="s">
        <v>3595</v>
      </c>
      <c r="P23" s="3254" t="s">
        <v>3199</v>
      </c>
      <c r="Q23" s="3255">
        <v>2010.26</v>
      </c>
      <c r="R23" s="3255">
        <v>2010.26</v>
      </c>
      <c r="S23" s="3254" t="s">
        <v>3175</v>
      </c>
      <c r="T23" s="3255" t="s">
        <v>70</v>
      </c>
      <c r="U23" s="3255" t="s">
        <v>70</v>
      </c>
      <c r="V23" s="3273">
        <f t="shared" ca="1" si="1"/>
        <v>1515</v>
      </c>
      <c r="W23" s="3273">
        <v>1467</v>
      </c>
    </row>
    <row r="24" spans="1:25" ht="14.25">
      <c r="A24" s="3263" t="s">
        <v>3569</v>
      </c>
      <c r="B24" s="3264" t="s">
        <v>3596</v>
      </c>
      <c r="C24" s="3254" t="s">
        <v>3200</v>
      </c>
      <c r="D24" s="3255">
        <v>2056.79</v>
      </c>
      <c r="E24" s="3255">
        <v>2056.79</v>
      </c>
      <c r="F24" s="3254" t="s">
        <v>3175</v>
      </c>
      <c r="G24" s="3255" t="s">
        <v>70</v>
      </c>
      <c r="H24" s="3255" t="s">
        <v>70</v>
      </c>
      <c r="J24" s="3262" t="s">
        <v>3256</v>
      </c>
      <c r="K24" s="3262">
        <f>SUM(K19:K23)</f>
        <v>242531.24</v>
      </c>
      <c r="N24" s="3263" t="s">
        <v>3569</v>
      </c>
      <c r="O24" s="3264" t="s">
        <v>3596</v>
      </c>
      <c r="P24" s="3254" t="s">
        <v>3200</v>
      </c>
      <c r="Q24" s="3255">
        <v>2056.79</v>
      </c>
      <c r="R24" s="3255">
        <v>2056.79</v>
      </c>
      <c r="S24" s="3254" t="s">
        <v>3175</v>
      </c>
      <c r="T24" s="3255" t="s">
        <v>70</v>
      </c>
      <c r="U24" s="3255" t="s">
        <v>70</v>
      </c>
      <c r="V24" s="3273">
        <f t="shared" ca="1" si="1"/>
        <v>1550</v>
      </c>
      <c r="W24" s="3273">
        <v>1501</v>
      </c>
    </row>
    <row r="25" spans="1:25" ht="14.25">
      <c r="A25" s="3263" t="s">
        <v>3570</v>
      </c>
      <c r="B25" s="3264" t="s">
        <v>3597</v>
      </c>
      <c r="C25" s="3254" t="s">
        <v>3201</v>
      </c>
      <c r="D25" s="3255">
        <v>1928.9</v>
      </c>
      <c r="E25" s="3255">
        <v>1928.9</v>
      </c>
      <c r="F25" s="3254" t="s">
        <v>3175</v>
      </c>
      <c r="G25" s="3255" t="s">
        <v>70</v>
      </c>
      <c r="H25" s="3255" t="s">
        <v>70</v>
      </c>
      <c r="N25" s="3263" t="s">
        <v>3570</v>
      </c>
      <c r="O25" s="3264" t="s">
        <v>3597</v>
      </c>
      <c r="P25" s="3254" t="s">
        <v>3201</v>
      </c>
      <c r="Q25" s="3255">
        <v>1928.9</v>
      </c>
      <c r="R25" s="3255">
        <v>1928.9</v>
      </c>
      <c r="S25" s="3254" t="s">
        <v>3175</v>
      </c>
      <c r="T25" s="3255" t="s">
        <v>70</v>
      </c>
      <c r="U25" s="3255" t="s">
        <v>70</v>
      </c>
      <c r="V25" s="3273">
        <f t="shared" ca="1" si="1"/>
        <v>1454</v>
      </c>
      <c r="W25" s="3273">
        <v>1408</v>
      </c>
    </row>
    <row r="26" spans="1:25" ht="14.25">
      <c r="A26" s="3369" t="s">
        <v>3571</v>
      </c>
      <c r="B26" s="3368" t="s">
        <v>3578</v>
      </c>
      <c r="C26" s="3368" t="s">
        <v>3202</v>
      </c>
      <c r="D26" s="3370">
        <v>15670.04</v>
      </c>
      <c r="E26" s="3255" t="s">
        <v>70</v>
      </c>
      <c r="F26" s="3255" t="s">
        <v>70</v>
      </c>
      <c r="G26" s="3255">
        <v>7224.48</v>
      </c>
      <c r="H26" s="3254" t="s">
        <v>3177</v>
      </c>
      <c r="N26" s="3369" t="s">
        <v>3571</v>
      </c>
      <c r="O26" s="3368" t="s">
        <v>3578</v>
      </c>
      <c r="P26" s="3368" t="s">
        <v>3202</v>
      </c>
      <c r="Q26" s="3370">
        <v>15670.04</v>
      </c>
      <c r="R26" s="3255" t="s">
        <v>70</v>
      </c>
      <c r="S26" s="3255" t="s">
        <v>70</v>
      </c>
      <c r="T26" s="3255">
        <v>7224.48</v>
      </c>
      <c r="U26" s="3254" t="s">
        <v>3177</v>
      </c>
      <c r="V26" s="3273">
        <f ca="1">ROUND(T26*$AB$6/10000+T26*$Z$8/10000,0)</f>
        <v>3396</v>
      </c>
      <c r="W26" s="3273">
        <v>3755</v>
      </c>
    </row>
    <row r="27" spans="1:25" ht="14.25">
      <c r="A27" s="3369"/>
      <c r="B27" s="3368"/>
      <c r="C27" s="3368"/>
      <c r="D27" s="3370"/>
      <c r="E27" s="3255" t="s">
        <v>70</v>
      </c>
      <c r="F27" s="3255" t="s">
        <v>70</v>
      </c>
      <c r="G27" s="3255">
        <v>7611.54</v>
      </c>
      <c r="H27" s="3254" t="s">
        <v>3179</v>
      </c>
      <c r="N27" s="3369"/>
      <c r="O27" s="3368"/>
      <c r="P27" s="3368"/>
      <c r="Q27" s="3370"/>
      <c r="R27" s="3255" t="s">
        <v>70</v>
      </c>
      <c r="S27" s="3255" t="s">
        <v>70</v>
      </c>
      <c r="T27" s="3255">
        <v>7611.54</v>
      </c>
      <c r="U27" s="3254" t="s">
        <v>3179</v>
      </c>
      <c r="V27" s="3273">
        <f ca="1">ROUND(T27*$AA$6/10000+T27*$Z$8/10000,0)</f>
        <v>3632</v>
      </c>
      <c r="W27" s="3273">
        <v>3977</v>
      </c>
    </row>
    <row r="28" spans="1:25" ht="14.25">
      <c r="A28" s="3369"/>
      <c r="B28" s="3368"/>
      <c r="C28" s="3368"/>
      <c r="D28" s="3370"/>
      <c r="E28" s="3255" t="s">
        <v>70</v>
      </c>
      <c r="F28" s="3255" t="s">
        <v>70</v>
      </c>
      <c r="G28" s="3255">
        <v>834.02</v>
      </c>
      <c r="H28" s="3254" t="s">
        <v>3180</v>
      </c>
      <c r="N28" s="3369"/>
      <c r="O28" s="3368"/>
      <c r="P28" s="3368"/>
      <c r="Q28" s="3370"/>
      <c r="R28" s="3255" t="s">
        <v>70</v>
      </c>
      <c r="S28" s="3255" t="s">
        <v>70</v>
      </c>
      <c r="T28" s="3255">
        <v>834.02</v>
      </c>
      <c r="U28" s="3254" t="s">
        <v>3180</v>
      </c>
      <c r="V28" s="3273">
        <f ca="1">ROUND(T28*$Z$8/10000,0)</f>
        <v>386</v>
      </c>
      <c r="W28" s="3273">
        <v>427</v>
      </c>
      <c r="X28" s="3274">
        <f ca="1">V26+V27+V28</f>
        <v>7414</v>
      </c>
      <c r="Y28" s="3262">
        <f>W26+W27+W28</f>
        <v>8159</v>
      </c>
    </row>
    <row r="29" spans="1:25" ht="14.25">
      <c r="A29" s="3369" t="s">
        <v>3555</v>
      </c>
      <c r="B29" s="3368" t="s">
        <v>3598</v>
      </c>
      <c r="C29" s="3368" t="s">
        <v>3203</v>
      </c>
      <c r="D29" s="3370">
        <v>30777.32</v>
      </c>
      <c r="E29" s="3255">
        <v>29441.65</v>
      </c>
      <c r="F29" s="3254" t="s">
        <v>3175</v>
      </c>
      <c r="G29" s="3255">
        <v>763.65</v>
      </c>
      <c r="H29" s="3254" t="s">
        <v>3181</v>
      </c>
      <c r="N29" s="3369" t="s">
        <v>3555</v>
      </c>
      <c r="O29" s="3368" t="s">
        <v>3598</v>
      </c>
      <c r="P29" s="3368" t="s">
        <v>3203</v>
      </c>
      <c r="Q29" s="3370">
        <v>30777.32</v>
      </c>
      <c r="R29" s="3255">
        <v>29441.65</v>
      </c>
      <c r="S29" s="3254" t="s">
        <v>3175</v>
      </c>
      <c r="T29" s="3255">
        <v>763.65</v>
      </c>
      <c r="U29" s="3254" t="s">
        <v>3181</v>
      </c>
      <c r="V29" s="3273">
        <f ca="1">ROUND(R29*$Z$6/10000+R29*$Z$8/10000,0)</f>
        <v>22193</v>
      </c>
      <c r="W29" s="3273">
        <v>21489</v>
      </c>
    </row>
    <row r="30" spans="1:25" ht="14.25">
      <c r="A30" s="3369"/>
      <c r="B30" s="3368"/>
      <c r="C30" s="3368"/>
      <c r="D30" s="3370"/>
      <c r="E30" s="3255">
        <v>572.02</v>
      </c>
      <c r="F30" s="3254" t="s">
        <v>3181</v>
      </c>
      <c r="G30" s="3255" t="s">
        <v>70</v>
      </c>
      <c r="H30" s="3255" t="s">
        <v>70</v>
      </c>
      <c r="N30" s="3369"/>
      <c r="O30" s="3368"/>
      <c r="P30" s="3368"/>
      <c r="Q30" s="3370"/>
      <c r="R30" s="3255">
        <v>572.02</v>
      </c>
      <c r="S30" s="3254" t="s">
        <v>3181</v>
      </c>
      <c r="T30" s="3255" t="s">
        <v>70</v>
      </c>
      <c r="U30" s="3255" t="s">
        <v>70</v>
      </c>
      <c r="V30" s="3273">
        <f ca="1">ROUND((T29+R30)*$Z$8/10000,0)</f>
        <v>618</v>
      </c>
      <c r="W30" s="3273">
        <v>686</v>
      </c>
      <c r="X30" s="3262">
        <f ca="1">V29+V30</f>
        <v>22811</v>
      </c>
    </row>
    <row r="31" spans="1:25" ht="14.25">
      <c r="A31" s="3263" t="s">
        <v>3530</v>
      </c>
      <c r="B31" s="3256" t="s">
        <v>3205</v>
      </c>
      <c r="C31" s="3257" t="s">
        <v>3206</v>
      </c>
      <c r="D31" s="3256">
        <v>7993.56</v>
      </c>
      <c r="E31" s="3256">
        <v>7993.56</v>
      </c>
      <c r="F31" s="3257" t="s">
        <v>3204</v>
      </c>
      <c r="G31" s="3256">
        <v>0</v>
      </c>
      <c r="H31" s="3256" t="s">
        <v>70</v>
      </c>
      <c r="N31" s="3263" t="s">
        <v>3530</v>
      </c>
      <c r="O31" s="3256" t="s">
        <v>3205</v>
      </c>
      <c r="P31" s="3257" t="s">
        <v>3206</v>
      </c>
      <c r="Q31" s="3256">
        <v>7993.56</v>
      </c>
      <c r="R31" s="3256">
        <v>7993.56</v>
      </c>
      <c r="S31" s="3257" t="s">
        <v>3204</v>
      </c>
      <c r="T31" s="3256">
        <v>0</v>
      </c>
      <c r="U31" s="3256" t="s">
        <v>70</v>
      </c>
      <c r="V31" s="3273">
        <f ca="1">ROUND(R31*$Z$6/10000+R31*$Z$8/10000,0)</f>
        <v>6026</v>
      </c>
      <c r="W31" s="3273"/>
    </row>
    <row r="32" spans="1:25" ht="14.25">
      <c r="A32" s="3263" t="s">
        <v>3531</v>
      </c>
      <c r="B32" s="3256" t="s">
        <v>3207</v>
      </c>
      <c r="C32" s="3257" t="s">
        <v>3208</v>
      </c>
      <c r="D32" s="3256">
        <v>4717.6899999999996</v>
      </c>
      <c r="E32" s="3256">
        <v>4717.6899999999996</v>
      </c>
      <c r="F32" s="3257" t="s">
        <v>3179</v>
      </c>
      <c r="G32" s="3256">
        <v>0</v>
      </c>
      <c r="H32" s="3257" t="s">
        <v>3179</v>
      </c>
      <c r="N32" s="3263" t="s">
        <v>3531</v>
      </c>
      <c r="O32" s="3256" t="s">
        <v>3207</v>
      </c>
      <c r="P32" s="3257" t="s">
        <v>3208</v>
      </c>
      <c r="Q32" s="3256">
        <v>4717.6899999999996</v>
      </c>
      <c r="R32" s="3256">
        <v>4717.6899999999996</v>
      </c>
      <c r="S32" s="3257" t="s">
        <v>3179</v>
      </c>
      <c r="T32" s="3256">
        <v>0</v>
      </c>
      <c r="U32" s="3257" t="s">
        <v>3179</v>
      </c>
      <c r="V32" s="3273">
        <f ca="1">ROUND(R32*$Z$6/10000+R32*$Z$8/10000,0)</f>
        <v>3556</v>
      </c>
      <c r="W32" s="3273"/>
    </row>
    <row r="33" spans="1:23" ht="14.25">
      <c r="A33" s="3263" t="s">
        <v>3533</v>
      </c>
      <c r="B33" s="3256" t="s">
        <v>3209</v>
      </c>
      <c r="C33" s="3257" t="s">
        <v>3210</v>
      </c>
      <c r="D33" s="3256">
        <v>4840.3</v>
      </c>
      <c r="E33" s="3256">
        <v>4242.57</v>
      </c>
      <c r="F33" s="3257" t="s">
        <v>3179</v>
      </c>
      <c r="G33" s="3256">
        <v>597.73</v>
      </c>
      <c r="H33" s="3257" t="s">
        <v>3179</v>
      </c>
      <c r="N33" s="3263" t="s">
        <v>3533</v>
      </c>
      <c r="O33" s="3256" t="s">
        <v>3209</v>
      </c>
      <c r="P33" s="3257" t="s">
        <v>3210</v>
      </c>
      <c r="Q33" s="3256">
        <v>4840.3</v>
      </c>
      <c r="R33" s="3256">
        <v>4242.57</v>
      </c>
      <c r="S33" s="3257" t="s">
        <v>3179</v>
      </c>
      <c r="T33" s="3256">
        <v>597.73</v>
      </c>
      <c r="U33" s="3257" t="s">
        <v>3179</v>
      </c>
      <c r="V33" s="3273">
        <f ca="1">ROUND(R33*$Z$6/10000+T33*$AA$6/10000+(R33+T33)*$Z$8/10000,0)</f>
        <v>3483</v>
      </c>
      <c r="W33" s="3273"/>
    </row>
    <row r="34" spans="1:23" ht="14.25">
      <c r="A34" s="3263" t="s">
        <v>3534</v>
      </c>
      <c r="B34" s="3256" t="s">
        <v>3211</v>
      </c>
      <c r="C34" s="3257" t="s">
        <v>3212</v>
      </c>
      <c r="D34" s="3256">
        <v>5340.98</v>
      </c>
      <c r="E34" s="3256">
        <v>4733.1400000000003</v>
      </c>
      <c r="F34" s="3257" t="s">
        <v>3179</v>
      </c>
      <c r="G34" s="3256">
        <v>607.84</v>
      </c>
      <c r="H34" s="3257" t="s">
        <v>3179</v>
      </c>
      <c r="N34" s="3263" t="s">
        <v>3534</v>
      </c>
      <c r="O34" s="3256" t="s">
        <v>3211</v>
      </c>
      <c r="P34" s="3257" t="s">
        <v>3212</v>
      </c>
      <c r="Q34" s="3256">
        <v>5340.98</v>
      </c>
      <c r="R34" s="3256">
        <v>4733.1400000000003</v>
      </c>
      <c r="S34" s="3257" t="s">
        <v>3179</v>
      </c>
      <c r="T34" s="3256">
        <v>607.84</v>
      </c>
      <c r="U34" s="3257" t="s">
        <v>3179</v>
      </c>
      <c r="V34" s="3273">
        <f t="shared" ref="V34:V51" ca="1" si="2">ROUND(R34*$Z$6/10000+T34*$AA$6/10000+(R34+T34)*$Z$8/10000,0)</f>
        <v>3858</v>
      </c>
      <c r="W34" s="3273"/>
    </row>
    <row r="35" spans="1:23" ht="14.25">
      <c r="A35" s="3265" t="s">
        <v>3535</v>
      </c>
      <c r="B35" s="3260" t="s">
        <v>3601</v>
      </c>
      <c r="C35" s="3261" t="s">
        <v>3602</v>
      </c>
      <c r="D35" s="3260">
        <v>4948.1099999999997</v>
      </c>
      <c r="E35" s="3260">
        <v>4248.6000000000004</v>
      </c>
      <c r="F35" s="3261" t="s">
        <v>3179</v>
      </c>
      <c r="G35" s="3260">
        <v>699.51</v>
      </c>
      <c r="H35" s="3261" t="s">
        <v>3179</v>
      </c>
      <c r="N35" s="3265" t="s">
        <v>3535</v>
      </c>
      <c r="O35" s="3260" t="s">
        <v>3601</v>
      </c>
      <c r="P35" s="3261" t="s">
        <v>3602</v>
      </c>
      <c r="Q35" s="3260">
        <v>4948.1099999999997</v>
      </c>
      <c r="R35" s="3260">
        <v>4248.6000000000004</v>
      </c>
      <c r="S35" s="3261" t="s">
        <v>3179</v>
      </c>
      <c r="T35" s="3260">
        <v>699.51</v>
      </c>
      <c r="U35" s="3261" t="s">
        <v>3179</v>
      </c>
      <c r="V35" s="3273">
        <f t="shared" ca="1" si="2"/>
        <v>3536</v>
      </c>
      <c r="W35" s="3273"/>
    </row>
    <row r="36" spans="1:23" s="3266" customFormat="1" ht="14.25">
      <c r="A36" s="3265" t="s">
        <v>3536</v>
      </c>
      <c r="B36" s="3260" t="s">
        <v>3637</v>
      </c>
      <c r="C36" s="3261" t="s">
        <v>3603</v>
      </c>
      <c r="D36" s="3260">
        <v>3183.86</v>
      </c>
      <c r="E36" s="3260">
        <v>2478.65</v>
      </c>
      <c r="F36" s="3261" t="s">
        <v>3179</v>
      </c>
      <c r="G36" s="3260">
        <v>705.21</v>
      </c>
      <c r="H36" s="3261" t="s">
        <v>3179</v>
      </c>
      <c r="N36" s="3265" t="s">
        <v>3536</v>
      </c>
      <c r="O36" s="3260" t="s">
        <v>3637</v>
      </c>
      <c r="P36" s="3261" t="s">
        <v>3603</v>
      </c>
      <c r="Q36" s="3260">
        <v>3183.86</v>
      </c>
      <c r="R36" s="3260">
        <v>2478.65</v>
      </c>
      <c r="S36" s="3261" t="s">
        <v>3179</v>
      </c>
      <c r="T36" s="3260">
        <v>705.21</v>
      </c>
      <c r="U36" s="3261" t="s">
        <v>3179</v>
      </c>
      <c r="V36" s="3273">
        <f t="shared" ca="1" si="2"/>
        <v>2205</v>
      </c>
      <c r="W36" s="3273"/>
    </row>
    <row r="37" spans="1:23" ht="14.25">
      <c r="A37" s="3265" t="s">
        <v>3537</v>
      </c>
      <c r="B37" s="3260" t="s">
        <v>3604</v>
      </c>
      <c r="C37" s="3261" t="s">
        <v>3605</v>
      </c>
      <c r="D37" s="3260">
        <v>3116.17</v>
      </c>
      <c r="E37" s="3260">
        <v>2448.34</v>
      </c>
      <c r="F37" s="3261" t="s">
        <v>3179</v>
      </c>
      <c r="G37" s="3260">
        <v>667.83</v>
      </c>
      <c r="H37" s="3261" t="s">
        <v>3179</v>
      </c>
      <c r="N37" s="3265" t="s">
        <v>3537</v>
      </c>
      <c r="O37" s="3260" t="s">
        <v>3604</v>
      </c>
      <c r="P37" s="3261" t="s">
        <v>3605</v>
      </c>
      <c r="Q37" s="3260">
        <v>3116.17</v>
      </c>
      <c r="R37" s="3260">
        <v>2448.34</v>
      </c>
      <c r="S37" s="3261" t="s">
        <v>3179</v>
      </c>
      <c r="T37" s="3260">
        <v>667.83</v>
      </c>
      <c r="U37" s="3261" t="s">
        <v>3179</v>
      </c>
      <c r="V37" s="3273">
        <f t="shared" ca="1" si="2"/>
        <v>2164</v>
      </c>
      <c r="W37" s="3273"/>
    </row>
    <row r="38" spans="1:23" ht="14.25">
      <c r="A38" s="3265" t="s">
        <v>3538</v>
      </c>
      <c r="B38" s="3260" t="s">
        <v>3606</v>
      </c>
      <c r="C38" s="3261" t="s">
        <v>3607</v>
      </c>
      <c r="D38" s="3260">
        <v>3174.85</v>
      </c>
      <c r="E38" s="3260">
        <v>2478.65</v>
      </c>
      <c r="F38" s="3261" t="s">
        <v>3179</v>
      </c>
      <c r="G38" s="3260">
        <v>696.2</v>
      </c>
      <c r="H38" s="3261" t="s">
        <v>3179</v>
      </c>
      <c r="N38" s="3265" t="s">
        <v>3538</v>
      </c>
      <c r="O38" s="3260" t="s">
        <v>3606</v>
      </c>
      <c r="P38" s="3261" t="s">
        <v>3607</v>
      </c>
      <c r="Q38" s="3260">
        <v>3174.85</v>
      </c>
      <c r="R38" s="3260">
        <v>2478.65</v>
      </c>
      <c r="S38" s="3261" t="s">
        <v>3179</v>
      </c>
      <c r="T38" s="3260">
        <v>696.2</v>
      </c>
      <c r="U38" s="3261" t="s">
        <v>3179</v>
      </c>
      <c r="V38" s="3273">
        <f t="shared" ca="1" si="2"/>
        <v>2201</v>
      </c>
      <c r="W38" s="3273"/>
    </row>
    <row r="39" spans="1:23" ht="14.25">
      <c r="A39" s="3265" t="s">
        <v>3539</v>
      </c>
      <c r="B39" s="3260" t="s">
        <v>3608</v>
      </c>
      <c r="C39" s="3261" t="s">
        <v>3609</v>
      </c>
      <c r="D39" s="3260">
        <v>3066.13</v>
      </c>
      <c r="E39" s="3260">
        <v>2448.34</v>
      </c>
      <c r="F39" s="3261" t="s">
        <v>3179</v>
      </c>
      <c r="G39" s="3260">
        <v>617.79</v>
      </c>
      <c r="H39" s="3261" t="s">
        <v>3179</v>
      </c>
      <c r="N39" s="3265" t="s">
        <v>3539</v>
      </c>
      <c r="O39" s="3260" t="s">
        <v>3608</v>
      </c>
      <c r="P39" s="3261" t="s">
        <v>3609</v>
      </c>
      <c r="Q39" s="3260">
        <v>3066.13</v>
      </c>
      <c r="R39" s="3260">
        <v>2448.34</v>
      </c>
      <c r="S39" s="3261" t="s">
        <v>3179</v>
      </c>
      <c r="T39" s="3260">
        <v>617.79</v>
      </c>
      <c r="U39" s="3261" t="s">
        <v>3179</v>
      </c>
      <c r="V39" s="3273">
        <f t="shared" ca="1" si="2"/>
        <v>2140</v>
      </c>
      <c r="W39" s="3273"/>
    </row>
    <row r="40" spans="1:23" ht="14.25">
      <c r="A40" s="3265" t="s">
        <v>3540</v>
      </c>
      <c r="B40" s="3260" t="s">
        <v>3610</v>
      </c>
      <c r="C40" s="3261" t="s">
        <v>3611</v>
      </c>
      <c r="D40" s="3260">
        <v>2961.87</v>
      </c>
      <c r="E40" s="3260">
        <v>2478.65</v>
      </c>
      <c r="F40" s="3261" t="s">
        <v>3179</v>
      </c>
      <c r="G40" s="3260">
        <v>483.22</v>
      </c>
      <c r="H40" s="3261" t="s">
        <v>3179</v>
      </c>
      <c r="N40" s="3265" t="s">
        <v>3540</v>
      </c>
      <c r="O40" s="3260" t="s">
        <v>3610</v>
      </c>
      <c r="P40" s="3261" t="s">
        <v>3611</v>
      </c>
      <c r="Q40" s="3260">
        <v>2961.87</v>
      </c>
      <c r="R40" s="3260">
        <v>2478.65</v>
      </c>
      <c r="S40" s="3261" t="s">
        <v>3179</v>
      </c>
      <c r="T40" s="3260">
        <v>483.22</v>
      </c>
      <c r="U40" s="3261" t="s">
        <v>3179</v>
      </c>
      <c r="V40" s="3273">
        <f t="shared" ca="1" si="2"/>
        <v>2099</v>
      </c>
      <c r="W40" s="3273"/>
    </row>
    <row r="41" spans="1:23" ht="14.25">
      <c r="A41" s="3265" t="s">
        <v>3541</v>
      </c>
      <c r="B41" s="3260" t="s">
        <v>3612</v>
      </c>
      <c r="C41" s="3261" t="s">
        <v>3613</v>
      </c>
      <c r="D41" s="3260">
        <v>5232.26</v>
      </c>
      <c r="E41" s="3260">
        <v>4632.58</v>
      </c>
      <c r="F41" s="3261" t="s">
        <v>3179</v>
      </c>
      <c r="G41" s="3260">
        <v>599.67999999999995</v>
      </c>
      <c r="H41" s="3261" t="s">
        <v>3179</v>
      </c>
      <c r="N41" s="3265" t="s">
        <v>3541</v>
      </c>
      <c r="O41" s="3260" t="s">
        <v>3612</v>
      </c>
      <c r="P41" s="3261" t="s">
        <v>3613</v>
      </c>
      <c r="Q41" s="3260">
        <v>5232.26</v>
      </c>
      <c r="R41" s="3260">
        <v>4632.58</v>
      </c>
      <c r="S41" s="3261" t="s">
        <v>3179</v>
      </c>
      <c r="T41" s="3260">
        <v>599.67999999999995</v>
      </c>
      <c r="U41" s="3261" t="s">
        <v>3179</v>
      </c>
      <c r="V41" s="3273">
        <f t="shared" ca="1" si="2"/>
        <v>3778</v>
      </c>
      <c r="W41" s="3273"/>
    </row>
    <row r="42" spans="1:23" ht="14.25">
      <c r="A42" s="3265" t="s">
        <v>3542</v>
      </c>
      <c r="B42" s="3260" t="s">
        <v>3614</v>
      </c>
      <c r="C42" s="3261" t="s">
        <v>3615</v>
      </c>
      <c r="D42" s="3260">
        <v>2973.32</v>
      </c>
      <c r="E42" s="3260">
        <v>2478.65</v>
      </c>
      <c r="F42" s="3261" t="s">
        <v>3179</v>
      </c>
      <c r="G42" s="3260">
        <v>494.67</v>
      </c>
      <c r="H42" s="3261" t="s">
        <v>3179</v>
      </c>
      <c r="N42" s="3265" t="s">
        <v>3542</v>
      </c>
      <c r="O42" s="3260" t="s">
        <v>3614</v>
      </c>
      <c r="P42" s="3261" t="s">
        <v>3615</v>
      </c>
      <c r="Q42" s="3260">
        <v>2973.32</v>
      </c>
      <c r="R42" s="3260">
        <v>2478.65</v>
      </c>
      <c r="S42" s="3261" t="s">
        <v>3179</v>
      </c>
      <c r="T42" s="3260">
        <v>494.67</v>
      </c>
      <c r="U42" s="3261" t="s">
        <v>3179</v>
      </c>
      <c r="V42" s="3273">
        <f t="shared" ca="1" si="2"/>
        <v>2104</v>
      </c>
      <c r="W42" s="3273"/>
    </row>
    <row r="43" spans="1:23" ht="14.25">
      <c r="A43" s="3265" t="s">
        <v>3543</v>
      </c>
      <c r="B43" s="3260" t="s">
        <v>3616</v>
      </c>
      <c r="C43" s="3261" t="s">
        <v>3617</v>
      </c>
      <c r="D43" s="3260">
        <v>3090.4</v>
      </c>
      <c r="E43" s="3260">
        <v>2478.65</v>
      </c>
      <c r="F43" s="3261" t="s">
        <v>3179</v>
      </c>
      <c r="G43" s="3260">
        <v>611.75</v>
      </c>
      <c r="H43" s="3261" t="s">
        <v>3179</v>
      </c>
      <c r="N43" s="3265" t="s">
        <v>3543</v>
      </c>
      <c r="O43" s="3260" t="s">
        <v>3616</v>
      </c>
      <c r="P43" s="3261" t="s">
        <v>3617</v>
      </c>
      <c r="Q43" s="3260">
        <v>3090.4</v>
      </c>
      <c r="R43" s="3260">
        <v>2478.65</v>
      </c>
      <c r="S43" s="3261" t="s">
        <v>3179</v>
      </c>
      <c r="T43" s="3260">
        <v>611.75</v>
      </c>
      <c r="U43" s="3261" t="s">
        <v>3179</v>
      </c>
      <c r="V43" s="3273">
        <f t="shared" ca="1" si="2"/>
        <v>2160</v>
      </c>
      <c r="W43" s="3273"/>
    </row>
    <row r="44" spans="1:23" ht="14.25">
      <c r="A44" s="3265" t="s">
        <v>3544</v>
      </c>
      <c r="B44" s="3260" t="s">
        <v>3618</v>
      </c>
      <c r="C44" s="3261" t="s">
        <v>3619</v>
      </c>
      <c r="D44" s="3260">
        <v>3054.31</v>
      </c>
      <c r="E44" s="3260">
        <v>2448.34</v>
      </c>
      <c r="F44" s="3261" t="s">
        <v>3179</v>
      </c>
      <c r="G44" s="3260">
        <v>605.97</v>
      </c>
      <c r="H44" s="3261" t="s">
        <v>3179</v>
      </c>
      <c r="N44" s="3265" t="s">
        <v>3544</v>
      </c>
      <c r="O44" s="3260" t="s">
        <v>3618</v>
      </c>
      <c r="P44" s="3261" t="s">
        <v>3619</v>
      </c>
      <c r="Q44" s="3260">
        <v>3054.31</v>
      </c>
      <c r="R44" s="3260">
        <v>2448.34</v>
      </c>
      <c r="S44" s="3261" t="s">
        <v>3179</v>
      </c>
      <c r="T44" s="3260">
        <v>605.97</v>
      </c>
      <c r="U44" s="3261" t="s">
        <v>3179</v>
      </c>
      <c r="V44" s="3273">
        <f t="shared" ca="1" si="2"/>
        <v>2135</v>
      </c>
      <c r="W44" s="3273"/>
    </row>
    <row r="45" spans="1:23" ht="14.25">
      <c r="A45" s="3265" t="s">
        <v>3545</v>
      </c>
      <c r="B45" s="3260" t="s">
        <v>3620</v>
      </c>
      <c r="C45" s="3261" t="s">
        <v>3621</v>
      </c>
      <c r="D45" s="3260">
        <v>4939.6499999999996</v>
      </c>
      <c r="E45" s="3260">
        <v>4269.8100000000004</v>
      </c>
      <c r="F45" s="3261" t="s">
        <v>3179</v>
      </c>
      <c r="G45" s="3260">
        <v>669.84</v>
      </c>
      <c r="H45" s="3261" t="s">
        <v>3179</v>
      </c>
      <c r="N45" s="3265" t="s">
        <v>3545</v>
      </c>
      <c r="O45" s="3260" t="s">
        <v>3620</v>
      </c>
      <c r="P45" s="3261" t="s">
        <v>3621</v>
      </c>
      <c r="Q45" s="3260">
        <v>4939.6499999999996</v>
      </c>
      <c r="R45" s="3260">
        <v>4269.8100000000004</v>
      </c>
      <c r="S45" s="3261" t="s">
        <v>3179</v>
      </c>
      <c r="T45" s="3260">
        <v>669.84</v>
      </c>
      <c r="U45" s="3261" t="s">
        <v>3179</v>
      </c>
      <c r="V45" s="3273">
        <f t="shared" ca="1" si="2"/>
        <v>3538</v>
      </c>
      <c r="W45" s="3273"/>
    </row>
    <row r="46" spans="1:23" s="3266" customFormat="1" ht="14.25">
      <c r="A46" s="3265" t="s">
        <v>3546</v>
      </c>
      <c r="B46" s="3260" t="s">
        <v>3638</v>
      </c>
      <c r="C46" s="3261" t="s">
        <v>3639</v>
      </c>
      <c r="D46" s="3260">
        <v>3035.85</v>
      </c>
      <c r="E46" s="3260">
        <v>2478.65</v>
      </c>
      <c r="F46" s="3261" t="s">
        <v>3179</v>
      </c>
      <c r="G46" s="3260">
        <v>557.20000000000005</v>
      </c>
      <c r="H46" s="3261" t="s">
        <v>3179</v>
      </c>
      <c r="N46" s="3265" t="s">
        <v>3546</v>
      </c>
      <c r="O46" s="3260" t="s">
        <v>3638</v>
      </c>
      <c r="P46" s="3261" t="s">
        <v>3639</v>
      </c>
      <c r="Q46" s="3260">
        <v>3035.85</v>
      </c>
      <c r="R46" s="3260">
        <v>2478.65</v>
      </c>
      <c r="S46" s="3261" t="s">
        <v>3179</v>
      </c>
      <c r="T46" s="3260">
        <v>557.20000000000005</v>
      </c>
      <c r="U46" s="3261" t="s">
        <v>3179</v>
      </c>
      <c r="V46" s="3273">
        <f t="shared" ca="1" si="2"/>
        <v>2134</v>
      </c>
      <c r="W46" s="3273"/>
    </row>
    <row r="47" spans="1:23" ht="14.25">
      <c r="A47" s="3265" t="s">
        <v>3547</v>
      </c>
      <c r="B47" s="3260" t="s">
        <v>3622</v>
      </c>
      <c r="C47" s="3261" t="s">
        <v>3623</v>
      </c>
      <c r="D47" s="3260">
        <v>2920.62</v>
      </c>
      <c r="E47" s="3260">
        <v>2448.34</v>
      </c>
      <c r="F47" s="3261" t="s">
        <v>3179</v>
      </c>
      <c r="G47" s="3260">
        <v>472.28</v>
      </c>
      <c r="H47" s="3261" t="s">
        <v>3179</v>
      </c>
      <c r="N47" s="3265" t="s">
        <v>3547</v>
      </c>
      <c r="O47" s="3260" t="s">
        <v>3622</v>
      </c>
      <c r="P47" s="3261" t="s">
        <v>3623</v>
      </c>
      <c r="Q47" s="3260">
        <v>2920.62</v>
      </c>
      <c r="R47" s="3260">
        <v>2448.34</v>
      </c>
      <c r="S47" s="3261" t="s">
        <v>3179</v>
      </c>
      <c r="T47" s="3260">
        <v>472.28</v>
      </c>
      <c r="U47" s="3261" t="s">
        <v>3179</v>
      </c>
      <c r="V47" s="3273">
        <f t="shared" ca="1" si="2"/>
        <v>2071</v>
      </c>
      <c r="W47" s="3273"/>
    </row>
    <row r="48" spans="1:23" s="3266" customFormat="1" ht="14.25">
      <c r="A48" s="3265" t="s">
        <v>3548</v>
      </c>
      <c r="B48" s="3260" t="s">
        <v>3549</v>
      </c>
      <c r="C48" s="3261" t="s">
        <v>3624</v>
      </c>
      <c r="D48" s="3260">
        <v>3255.41</v>
      </c>
      <c r="E48" s="3260">
        <v>2478.65</v>
      </c>
      <c r="F48" s="3261" t="s">
        <v>3179</v>
      </c>
      <c r="G48" s="3260">
        <v>776.76</v>
      </c>
      <c r="H48" s="3261" t="s">
        <v>3179</v>
      </c>
      <c r="N48" s="3265" t="s">
        <v>3548</v>
      </c>
      <c r="O48" s="3260" t="s">
        <v>3549</v>
      </c>
      <c r="P48" s="3261" t="s">
        <v>3624</v>
      </c>
      <c r="Q48" s="3260">
        <v>3255.41</v>
      </c>
      <c r="R48" s="3260">
        <v>2478.65</v>
      </c>
      <c r="S48" s="3261" t="s">
        <v>3179</v>
      </c>
      <c r="T48" s="3260">
        <v>776.76</v>
      </c>
      <c r="U48" s="3261" t="s">
        <v>3179</v>
      </c>
      <c r="V48" s="3273">
        <f t="shared" ca="1" si="2"/>
        <v>2239</v>
      </c>
      <c r="W48" s="3273"/>
    </row>
    <row r="49" spans="1:24" s="3266" customFormat="1" ht="14.25">
      <c r="A49" s="3265" t="s">
        <v>3550</v>
      </c>
      <c r="B49" s="3260" t="s">
        <v>3625</v>
      </c>
      <c r="C49" s="3261" t="s">
        <v>3626</v>
      </c>
      <c r="D49" s="3260">
        <v>2995.3</v>
      </c>
      <c r="E49" s="3260">
        <v>2478.65</v>
      </c>
      <c r="F49" s="3261" t="s">
        <v>3179</v>
      </c>
      <c r="G49" s="3260">
        <v>516.65</v>
      </c>
      <c r="H49" s="3261" t="s">
        <v>3179</v>
      </c>
      <c r="N49" s="3265" t="s">
        <v>3550</v>
      </c>
      <c r="O49" s="3260" t="s">
        <v>3625</v>
      </c>
      <c r="P49" s="3261" t="s">
        <v>3626</v>
      </c>
      <c r="Q49" s="3260">
        <v>2995.3</v>
      </c>
      <c r="R49" s="3260">
        <v>2478.65</v>
      </c>
      <c r="S49" s="3261" t="s">
        <v>3179</v>
      </c>
      <c r="T49" s="3260">
        <v>516.65</v>
      </c>
      <c r="U49" s="3261" t="s">
        <v>3179</v>
      </c>
      <c r="V49" s="3273">
        <f t="shared" ca="1" si="2"/>
        <v>2115</v>
      </c>
      <c r="W49" s="3273"/>
    </row>
    <row r="50" spans="1:24" ht="14.25">
      <c r="A50" s="3265" t="s">
        <v>3551</v>
      </c>
      <c r="B50" s="3260" t="s">
        <v>3627</v>
      </c>
      <c r="C50" s="3261" t="s">
        <v>3628</v>
      </c>
      <c r="D50" s="3260">
        <v>3222.57</v>
      </c>
      <c r="E50" s="3260">
        <v>2478.65</v>
      </c>
      <c r="F50" s="3261" t="s">
        <v>3179</v>
      </c>
      <c r="G50" s="3260">
        <v>743.92</v>
      </c>
      <c r="H50" s="3261" t="s">
        <v>3179</v>
      </c>
      <c r="N50" s="3265" t="s">
        <v>3551</v>
      </c>
      <c r="O50" s="3260" t="s">
        <v>3627</v>
      </c>
      <c r="P50" s="3261" t="s">
        <v>3628</v>
      </c>
      <c r="Q50" s="3260">
        <v>3222.57</v>
      </c>
      <c r="R50" s="3260">
        <v>2478.65</v>
      </c>
      <c r="S50" s="3261" t="s">
        <v>3179</v>
      </c>
      <c r="T50" s="3260">
        <v>743.92</v>
      </c>
      <c r="U50" s="3261" t="s">
        <v>3179</v>
      </c>
      <c r="V50" s="3273">
        <f t="shared" ca="1" si="2"/>
        <v>2223</v>
      </c>
      <c r="W50" s="3273"/>
    </row>
    <row r="51" spans="1:24" ht="14.25">
      <c r="A51" s="3265" t="s">
        <v>3552</v>
      </c>
      <c r="B51" s="3260" t="s">
        <v>3629</v>
      </c>
      <c r="C51" s="3261" t="s">
        <v>3630</v>
      </c>
      <c r="D51" s="3260">
        <v>5273.65</v>
      </c>
      <c r="E51" s="3260">
        <v>4294.3999999999996</v>
      </c>
      <c r="F51" s="3261" t="s">
        <v>3179</v>
      </c>
      <c r="G51" s="3260">
        <v>979.25</v>
      </c>
      <c r="H51" s="3261" t="s">
        <v>3179</v>
      </c>
      <c r="N51" s="3265" t="s">
        <v>3552</v>
      </c>
      <c r="O51" s="3260" t="s">
        <v>3629</v>
      </c>
      <c r="P51" s="3261" t="s">
        <v>3630</v>
      </c>
      <c r="Q51" s="3260">
        <v>5273.65</v>
      </c>
      <c r="R51" s="3260">
        <v>4294.3999999999996</v>
      </c>
      <c r="S51" s="3261" t="s">
        <v>3179</v>
      </c>
      <c r="T51" s="3260">
        <v>979.25</v>
      </c>
      <c r="U51" s="3261" t="s">
        <v>3179</v>
      </c>
      <c r="V51" s="3273">
        <f t="shared" ca="1" si="2"/>
        <v>3704</v>
      </c>
      <c r="W51" s="3273"/>
    </row>
    <row r="52" spans="1:24" ht="14.25">
      <c r="A52" s="3265" t="s">
        <v>3553</v>
      </c>
      <c r="B52" s="3260" t="s">
        <v>3640</v>
      </c>
      <c r="C52" s="3261" t="s">
        <v>3631</v>
      </c>
      <c r="D52" s="3260">
        <v>302.77</v>
      </c>
      <c r="E52" s="3260">
        <v>302.77</v>
      </c>
      <c r="F52" s="3261" t="s">
        <v>3527</v>
      </c>
      <c r="G52" s="3260" t="s">
        <v>3528</v>
      </c>
      <c r="H52" s="3261" t="s">
        <v>3528</v>
      </c>
      <c r="N52" s="3371" t="s">
        <v>3554</v>
      </c>
      <c r="O52" s="3372" t="s">
        <v>3213</v>
      </c>
      <c r="P52" s="3372" t="s">
        <v>3632</v>
      </c>
      <c r="Q52" s="3366">
        <v>11456.18</v>
      </c>
      <c r="R52" s="3260">
        <v>0</v>
      </c>
      <c r="S52" s="3260" t="s">
        <v>70</v>
      </c>
      <c r="T52" s="3260">
        <v>10296.879999999999</v>
      </c>
      <c r="U52" s="3261" t="s">
        <v>48</v>
      </c>
      <c r="V52" s="3273">
        <f ca="1">ROUND(T52*$AB$6/10000+T52*$Z$8/10000,0)</f>
        <v>4840</v>
      </c>
      <c r="W52" s="3273"/>
    </row>
    <row r="53" spans="1:24" ht="14.25">
      <c r="A53" s="3371" t="s">
        <v>3554</v>
      </c>
      <c r="B53" s="3372" t="s">
        <v>3213</v>
      </c>
      <c r="C53" s="3372" t="s">
        <v>3632</v>
      </c>
      <c r="D53" s="3366">
        <v>11456.18</v>
      </c>
      <c r="E53" s="3260">
        <v>0</v>
      </c>
      <c r="F53" s="3260" t="s">
        <v>70</v>
      </c>
      <c r="G53" s="3260">
        <v>10296.879999999999</v>
      </c>
      <c r="H53" s="3261" t="s">
        <v>48</v>
      </c>
      <c r="N53" s="3371"/>
      <c r="O53" s="3372"/>
      <c r="P53" s="3372"/>
      <c r="Q53" s="3366"/>
      <c r="R53" s="3260">
        <v>0</v>
      </c>
      <c r="S53" s="3260" t="s">
        <v>70</v>
      </c>
      <c r="T53" s="3260">
        <v>1159.3</v>
      </c>
      <c r="U53" s="3261" t="s">
        <v>3214</v>
      </c>
      <c r="V53" s="3273">
        <f ca="1">ROUND(T53*$Z$8/10000,0)</f>
        <v>536</v>
      </c>
      <c r="W53" s="3273"/>
      <c r="X53" s="3262">
        <f ca="1">V53+V52</f>
        <v>5376</v>
      </c>
    </row>
    <row r="54" spans="1:24" ht="14.25">
      <c r="A54" s="3371"/>
      <c r="B54" s="3372"/>
      <c r="C54" s="3372"/>
      <c r="D54" s="3366"/>
      <c r="E54" s="3260">
        <v>0</v>
      </c>
      <c r="F54" s="3260" t="s">
        <v>70</v>
      </c>
      <c r="G54" s="3260">
        <v>1159.3</v>
      </c>
      <c r="H54" s="3261" t="s">
        <v>3214</v>
      </c>
      <c r="N54" s="3265" t="s">
        <v>3519</v>
      </c>
      <c r="O54" s="3260" t="s">
        <v>3633</v>
      </c>
      <c r="P54" s="3261" t="s">
        <v>3634</v>
      </c>
      <c r="Q54" s="3260">
        <v>3259.07</v>
      </c>
      <c r="R54" s="3260">
        <v>2478.65</v>
      </c>
      <c r="S54" s="3261" t="s">
        <v>3179</v>
      </c>
      <c r="T54" s="3260">
        <v>780.42</v>
      </c>
      <c r="U54" s="3261" t="s">
        <v>3179</v>
      </c>
      <c r="V54" s="3273">
        <f t="shared" ref="V54:V65" ca="1" si="3">ROUND(R54*$Z$6/10000+T54*$AA$6/10000+(R54+T54)*$Z$8/10000,0)</f>
        <v>2241</v>
      </c>
      <c r="W54" s="3273"/>
    </row>
    <row r="55" spans="1:24" ht="14.25">
      <c r="A55" s="3265" t="s">
        <v>3519</v>
      </c>
      <c r="B55" s="3260" t="s">
        <v>3633</v>
      </c>
      <c r="C55" s="3261" t="s">
        <v>3634</v>
      </c>
      <c r="D55" s="3260">
        <v>3259.07</v>
      </c>
      <c r="E55" s="3260">
        <v>2478.65</v>
      </c>
      <c r="F55" s="3261" t="s">
        <v>3179</v>
      </c>
      <c r="G55" s="3260">
        <v>780.42</v>
      </c>
      <c r="H55" s="3261" t="s">
        <v>3179</v>
      </c>
      <c r="I55" s="3267"/>
      <c r="N55" s="3265" t="s">
        <v>3518</v>
      </c>
      <c r="O55" s="3260" t="s">
        <v>3635</v>
      </c>
      <c r="P55" s="3261" t="s">
        <v>3636</v>
      </c>
      <c r="Q55" s="3260">
        <v>3043.91</v>
      </c>
      <c r="R55" s="3260">
        <v>2448.34</v>
      </c>
      <c r="S55" s="3261" t="s">
        <v>3179</v>
      </c>
      <c r="T55" s="3260">
        <v>595.57000000000005</v>
      </c>
      <c r="U55" s="3261" t="s">
        <v>3179</v>
      </c>
      <c r="V55" s="3273">
        <f t="shared" ca="1" si="3"/>
        <v>2130</v>
      </c>
      <c r="W55" s="3273"/>
    </row>
    <row r="56" spans="1:24" ht="14.25">
      <c r="A56" s="3265" t="s">
        <v>3518</v>
      </c>
      <c r="B56" s="3260" t="s">
        <v>3635</v>
      </c>
      <c r="C56" s="3261" t="s">
        <v>3636</v>
      </c>
      <c r="D56" s="3260">
        <v>3043.91</v>
      </c>
      <c r="E56" s="3260">
        <v>2448.34</v>
      </c>
      <c r="F56" s="3261" t="s">
        <v>3179</v>
      </c>
      <c r="G56" s="3260">
        <v>595.57000000000005</v>
      </c>
      <c r="H56" s="3261" t="s">
        <v>3179</v>
      </c>
      <c r="N56" s="3263" t="s">
        <v>3517</v>
      </c>
      <c r="O56" s="3256" t="s">
        <v>3215</v>
      </c>
      <c r="P56" s="3257" t="s">
        <v>3216</v>
      </c>
      <c r="Q56" s="3256">
        <v>3357.42</v>
      </c>
      <c r="R56" s="3256">
        <v>2448.34</v>
      </c>
      <c r="S56" s="3257" t="s">
        <v>3179</v>
      </c>
      <c r="T56" s="3256">
        <v>909.08</v>
      </c>
      <c r="U56" s="3257" t="s">
        <v>3179</v>
      </c>
      <c r="V56" s="3273">
        <f t="shared" ca="1" si="3"/>
        <v>2279</v>
      </c>
      <c r="W56" s="3273"/>
    </row>
    <row r="57" spans="1:24" ht="14.25">
      <c r="A57" s="3263" t="s">
        <v>3517</v>
      </c>
      <c r="B57" s="3256" t="s">
        <v>3215</v>
      </c>
      <c r="C57" s="3257" t="s">
        <v>3216</v>
      </c>
      <c r="D57" s="3256">
        <v>3357.42</v>
      </c>
      <c r="E57" s="3256">
        <v>2448.34</v>
      </c>
      <c r="F57" s="3257" t="s">
        <v>3179</v>
      </c>
      <c r="G57" s="3256">
        <v>909.08</v>
      </c>
      <c r="H57" s="3257" t="s">
        <v>3179</v>
      </c>
      <c r="N57" s="3263" t="s">
        <v>3516</v>
      </c>
      <c r="O57" s="3256" t="s">
        <v>3217</v>
      </c>
      <c r="P57" s="3257" t="s">
        <v>3218</v>
      </c>
      <c r="Q57" s="3256">
        <v>3296.98</v>
      </c>
      <c r="R57" s="3256">
        <v>2478.65</v>
      </c>
      <c r="S57" s="3257" t="s">
        <v>3179</v>
      </c>
      <c r="T57" s="3256">
        <v>818.33</v>
      </c>
      <c r="U57" s="3257" t="s">
        <v>3179</v>
      </c>
      <c r="V57" s="3273">
        <f t="shared" ca="1" si="3"/>
        <v>2259</v>
      </c>
      <c r="W57" s="3273"/>
    </row>
    <row r="58" spans="1:24" ht="14.25">
      <c r="A58" s="3263" t="s">
        <v>3516</v>
      </c>
      <c r="B58" s="3256" t="s">
        <v>3217</v>
      </c>
      <c r="C58" s="3257" t="s">
        <v>3218</v>
      </c>
      <c r="D58" s="3256">
        <v>3296.98</v>
      </c>
      <c r="E58" s="3256">
        <v>2478.65</v>
      </c>
      <c r="F58" s="3257" t="s">
        <v>3179</v>
      </c>
      <c r="G58" s="3256">
        <v>818.33</v>
      </c>
      <c r="H58" s="3257" t="s">
        <v>3179</v>
      </c>
      <c r="N58" s="3263" t="s">
        <v>3515</v>
      </c>
      <c r="O58" s="3256" t="s">
        <v>3219</v>
      </c>
      <c r="P58" s="3257" t="s">
        <v>3220</v>
      </c>
      <c r="Q58" s="3256">
        <v>3195.49</v>
      </c>
      <c r="R58" s="3256">
        <v>2478.65</v>
      </c>
      <c r="S58" s="3257" t="s">
        <v>3179</v>
      </c>
      <c r="T58" s="3256">
        <v>716.84</v>
      </c>
      <c r="U58" s="3257" t="s">
        <v>3179</v>
      </c>
      <c r="V58" s="3273">
        <f t="shared" ca="1" si="3"/>
        <v>2210</v>
      </c>
      <c r="W58" s="3273"/>
    </row>
    <row r="59" spans="1:24" ht="14.25">
      <c r="A59" s="3263" t="s">
        <v>3515</v>
      </c>
      <c r="B59" s="3256" t="s">
        <v>3219</v>
      </c>
      <c r="C59" s="3257" t="s">
        <v>3220</v>
      </c>
      <c r="D59" s="3256">
        <v>3195.49</v>
      </c>
      <c r="E59" s="3256">
        <v>2478.65</v>
      </c>
      <c r="F59" s="3257" t="s">
        <v>3179</v>
      </c>
      <c r="G59" s="3256">
        <v>716.84</v>
      </c>
      <c r="H59" s="3257" t="s">
        <v>3179</v>
      </c>
      <c r="N59" s="3263" t="s">
        <v>3514</v>
      </c>
      <c r="O59" s="3256" t="s">
        <v>3221</v>
      </c>
      <c r="P59" s="3257" t="s">
        <v>3222</v>
      </c>
      <c r="Q59" s="3256">
        <v>3034.61</v>
      </c>
      <c r="R59" s="3256">
        <v>2478.65</v>
      </c>
      <c r="S59" s="3257" t="s">
        <v>3179</v>
      </c>
      <c r="T59" s="3256">
        <v>555.96</v>
      </c>
      <c r="U59" s="3257" t="s">
        <v>3179</v>
      </c>
      <c r="V59" s="3273">
        <f t="shared" ca="1" si="3"/>
        <v>2134</v>
      </c>
      <c r="W59" s="3273"/>
    </row>
    <row r="60" spans="1:24" ht="14.25">
      <c r="A60" s="3263" t="s">
        <v>3514</v>
      </c>
      <c r="B60" s="3256" t="s">
        <v>3221</v>
      </c>
      <c r="C60" s="3257" t="s">
        <v>3222</v>
      </c>
      <c r="D60" s="3256">
        <v>3034.61</v>
      </c>
      <c r="E60" s="3256">
        <v>2478.65</v>
      </c>
      <c r="F60" s="3257" t="s">
        <v>3179</v>
      </c>
      <c r="G60" s="3256">
        <v>555.96</v>
      </c>
      <c r="H60" s="3257" t="s">
        <v>3179</v>
      </c>
      <c r="N60" s="3263" t="s">
        <v>3513</v>
      </c>
      <c r="O60" s="3256" t="s">
        <v>3223</v>
      </c>
      <c r="P60" s="3257" t="s">
        <v>3224</v>
      </c>
      <c r="Q60" s="3256">
        <v>3091.86</v>
      </c>
      <c r="R60" s="3256">
        <v>2448.34</v>
      </c>
      <c r="S60" s="3257" t="s">
        <v>3179</v>
      </c>
      <c r="T60" s="3256">
        <v>643.52</v>
      </c>
      <c r="U60" s="3257" t="s">
        <v>3179</v>
      </c>
      <c r="V60" s="3273">
        <f t="shared" ca="1" si="3"/>
        <v>2153</v>
      </c>
      <c r="W60" s="3273"/>
    </row>
    <row r="61" spans="1:24" ht="14.25">
      <c r="A61" s="3263" t="s">
        <v>3513</v>
      </c>
      <c r="B61" s="3256" t="s">
        <v>3223</v>
      </c>
      <c r="C61" s="3257" t="s">
        <v>3224</v>
      </c>
      <c r="D61" s="3256">
        <v>3091.86</v>
      </c>
      <c r="E61" s="3256">
        <v>2448.34</v>
      </c>
      <c r="F61" s="3257" t="s">
        <v>3179</v>
      </c>
      <c r="G61" s="3256">
        <v>643.52</v>
      </c>
      <c r="H61" s="3257" t="s">
        <v>3179</v>
      </c>
      <c r="N61" s="3263" t="s">
        <v>3512</v>
      </c>
      <c r="O61" s="3256" t="s">
        <v>3225</v>
      </c>
      <c r="P61" s="3257" t="s">
        <v>3226</v>
      </c>
      <c r="Q61" s="3256">
        <v>3094.72</v>
      </c>
      <c r="R61" s="3256">
        <v>2448.34</v>
      </c>
      <c r="S61" s="3257" t="s">
        <v>3179</v>
      </c>
      <c r="T61" s="3256">
        <v>646.38</v>
      </c>
      <c r="U61" s="3257" t="s">
        <v>3179</v>
      </c>
      <c r="V61" s="3273">
        <f t="shared" ca="1" si="3"/>
        <v>2154</v>
      </c>
      <c r="W61" s="3273"/>
    </row>
    <row r="62" spans="1:24" ht="14.25">
      <c r="A62" s="3263" t="s">
        <v>3512</v>
      </c>
      <c r="B62" s="3256" t="s">
        <v>3225</v>
      </c>
      <c r="C62" s="3257" t="s">
        <v>3226</v>
      </c>
      <c r="D62" s="3256">
        <v>3094.72</v>
      </c>
      <c r="E62" s="3256">
        <v>2448.34</v>
      </c>
      <c r="F62" s="3257" t="s">
        <v>3179</v>
      </c>
      <c r="G62" s="3256">
        <v>646.38</v>
      </c>
      <c r="H62" s="3257" t="s">
        <v>3179</v>
      </c>
      <c r="N62" s="3263" t="s">
        <v>3520</v>
      </c>
      <c r="O62" s="3256" t="s">
        <v>3227</v>
      </c>
      <c r="P62" s="3257" t="s">
        <v>3228</v>
      </c>
      <c r="Q62" s="3256">
        <v>3038.41</v>
      </c>
      <c r="R62" s="3256">
        <v>2448.34</v>
      </c>
      <c r="S62" s="3257" t="s">
        <v>3179</v>
      </c>
      <c r="T62" s="3256">
        <v>590.07000000000005</v>
      </c>
      <c r="U62" s="3257" t="s">
        <v>3179</v>
      </c>
      <c r="V62" s="3273">
        <f t="shared" ca="1" si="3"/>
        <v>2127</v>
      </c>
      <c r="W62" s="3273"/>
    </row>
    <row r="63" spans="1:24" ht="14.25">
      <c r="A63" s="3263" t="s">
        <v>3520</v>
      </c>
      <c r="B63" s="3256" t="s">
        <v>3227</v>
      </c>
      <c r="C63" s="3257" t="s">
        <v>3228</v>
      </c>
      <c r="D63" s="3256">
        <v>3038.41</v>
      </c>
      <c r="E63" s="3256">
        <v>2448.34</v>
      </c>
      <c r="F63" s="3257" t="s">
        <v>3179</v>
      </c>
      <c r="G63" s="3256">
        <v>590.07000000000005</v>
      </c>
      <c r="H63" s="3257" t="s">
        <v>3179</v>
      </c>
      <c r="N63" s="3263" t="s">
        <v>3521</v>
      </c>
      <c r="O63" s="3256" t="s">
        <v>3229</v>
      </c>
      <c r="P63" s="3257" t="s">
        <v>3230</v>
      </c>
      <c r="Q63" s="3256">
        <v>2982.1</v>
      </c>
      <c r="R63" s="3256">
        <v>2478.65</v>
      </c>
      <c r="S63" s="3257" t="s">
        <v>3179</v>
      </c>
      <c r="T63" s="3256">
        <v>503.45</v>
      </c>
      <c r="U63" s="3257" t="s">
        <v>3179</v>
      </c>
      <c r="V63" s="3273">
        <f t="shared" ca="1" si="3"/>
        <v>2109</v>
      </c>
      <c r="W63" s="3273"/>
    </row>
    <row r="64" spans="1:24" ht="14.25">
      <c r="A64" s="3263" t="s">
        <v>3521</v>
      </c>
      <c r="B64" s="3256" t="s">
        <v>3229</v>
      </c>
      <c r="C64" s="3257" t="s">
        <v>3230</v>
      </c>
      <c r="D64" s="3256">
        <v>2982.1</v>
      </c>
      <c r="E64" s="3256">
        <v>2478.65</v>
      </c>
      <c r="F64" s="3257" t="s">
        <v>3179</v>
      </c>
      <c r="G64" s="3256">
        <v>503.45</v>
      </c>
      <c r="H64" s="3257" t="s">
        <v>3179</v>
      </c>
      <c r="N64" s="3263" t="s">
        <v>3522</v>
      </c>
      <c r="O64" s="3256" t="s">
        <v>3231</v>
      </c>
      <c r="P64" s="3257" t="s">
        <v>3232</v>
      </c>
      <c r="Q64" s="3256">
        <v>3110.37</v>
      </c>
      <c r="R64" s="3256">
        <v>2478.65</v>
      </c>
      <c r="S64" s="3257" t="s">
        <v>3179</v>
      </c>
      <c r="T64" s="3256">
        <v>631.72</v>
      </c>
      <c r="U64" s="3257" t="s">
        <v>3179</v>
      </c>
      <c r="V64" s="3273">
        <f t="shared" ca="1" si="3"/>
        <v>2170</v>
      </c>
      <c r="W64" s="3273"/>
    </row>
    <row r="65" spans="1:23" ht="14.25">
      <c r="A65" s="3263" t="s">
        <v>3522</v>
      </c>
      <c r="B65" s="3256" t="s">
        <v>3231</v>
      </c>
      <c r="C65" s="3257" t="s">
        <v>3232</v>
      </c>
      <c r="D65" s="3256">
        <v>3110.37</v>
      </c>
      <c r="E65" s="3256">
        <v>2478.65</v>
      </c>
      <c r="F65" s="3257" t="s">
        <v>3179</v>
      </c>
      <c r="G65" s="3256">
        <v>631.72</v>
      </c>
      <c r="H65" s="3257" t="s">
        <v>3179</v>
      </c>
      <c r="N65" s="3263" t="s">
        <v>3523</v>
      </c>
      <c r="O65" s="3256" t="s">
        <v>3233</v>
      </c>
      <c r="P65" s="3257" t="s">
        <v>3234</v>
      </c>
      <c r="Q65" s="3256">
        <v>3053.5</v>
      </c>
      <c r="R65" s="3256">
        <v>2448.34</v>
      </c>
      <c r="S65" s="3257" t="s">
        <v>3179</v>
      </c>
      <c r="T65" s="3256">
        <v>605.16</v>
      </c>
      <c r="U65" s="3257" t="s">
        <v>3179</v>
      </c>
      <c r="V65" s="3273">
        <f t="shared" ca="1" si="3"/>
        <v>2134</v>
      </c>
      <c r="W65" s="3273"/>
    </row>
    <row r="66" spans="1:23" ht="14.25">
      <c r="A66" s="3263" t="s">
        <v>3523</v>
      </c>
      <c r="B66" s="3256" t="s">
        <v>3233</v>
      </c>
      <c r="C66" s="3257" t="s">
        <v>3234</v>
      </c>
      <c r="D66" s="3256">
        <v>3053.5</v>
      </c>
      <c r="E66" s="3256">
        <v>2448.34</v>
      </c>
      <c r="F66" s="3257" t="s">
        <v>3179</v>
      </c>
      <c r="G66" s="3256">
        <v>605.16</v>
      </c>
      <c r="H66" s="3257" t="s">
        <v>3179</v>
      </c>
      <c r="N66" s="3263" t="s">
        <v>3529</v>
      </c>
      <c r="O66" s="3257" t="s">
        <v>3235</v>
      </c>
      <c r="P66" s="3257" t="s">
        <v>3236</v>
      </c>
      <c r="Q66" s="3256">
        <v>7411.07</v>
      </c>
      <c r="R66" s="3256">
        <v>0</v>
      </c>
      <c r="S66" s="3256" t="s">
        <v>70</v>
      </c>
      <c r="T66" s="3256">
        <v>7411.07</v>
      </c>
      <c r="U66" s="3257" t="s">
        <v>48</v>
      </c>
      <c r="V66" s="3273">
        <f ca="1">ROUND(T66*$AB$6/10000+T66*$Z$8/10000,0)</f>
        <v>3483</v>
      </c>
      <c r="W66" s="3273"/>
    </row>
    <row r="67" spans="1:23" ht="14.25">
      <c r="A67" s="3268" t="s">
        <v>3525</v>
      </c>
      <c r="B67" s="3258" t="s">
        <v>3599</v>
      </c>
      <c r="C67" s="3259" t="s">
        <v>3600</v>
      </c>
      <c r="D67" s="3258">
        <v>3012.8</v>
      </c>
      <c r="E67" s="3258">
        <v>2448.34</v>
      </c>
      <c r="F67" s="3259" t="s">
        <v>3179</v>
      </c>
      <c r="G67" s="3258">
        <v>564.46</v>
      </c>
      <c r="H67" s="3259" t="s">
        <v>3179</v>
      </c>
      <c r="N67" s="3367" t="s">
        <v>3182</v>
      </c>
      <c r="O67" s="3367"/>
      <c r="P67" s="3256" t="s">
        <v>70</v>
      </c>
      <c r="Q67" s="3256">
        <f>SUM(Q4:Q66)</f>
        <v>242531.24000000002</v>
      </c>
      <c r="R67" s="3256">
        <f>SUM(R4:R66)</f>
        <v>176534.72999999989</v>
      </c>
      <c r="S67" s="3256" t="s">
        <v>70</v>
      </c>
      <c r="T67" s="3256">
        <f>SUM(T4:T66)</f>
        <v>65996.509999999995</v>
      </c>
      <c r="U67" s="3256" t="s">
        <v>70</v>
      </c>
      <c r="V67" s="3256">
        <f ca="1">SUM(V4:V66)</f>
        <v>164071</v>
      </c>
      <c r="W67" s="3630">
        <f ca="1">结果表!G19</f>
        <v>164078</v>
      </c>
    </row>
    <row r="68" spans="1:23" ht="14.25">
      <c r="A68" s="3263" t="s">
        <v>3524</v>
      </c>
      <c r="B68" s="3256" t="s">
        <v>3641</v>
      </c>
      <c r="C68" s="3257" t="s">
        <v>3526</v>
      </c>
      <c r="D68" s="3256">
        <v>285.61</v>
      </c>
      <c r="E68" s="3256">
        <v>285.61</v>
      </c>
      <c r="F68" s="3257" t="s">
        <v>3527</v>
      </c>
      <c r="G68" s="3256" t="s">
        <v>3528</v>
      </c>
      <c r="H68" s="3257" t="s">
        <v>3528</v>
      </c>
    </row>
    <row r="69" spans="1:23" ht="14.25">
      <c r="A69" s="3263" t="s">
        <v>3529</v>
      </c>
      <c r="B69" s="3257" t="s">
        <v>3235</v>
      </c>
      <c r="C69" s="3257" t="s">
        <v>3236</v>
      </c>
      <c r="D69" s="3256">
        <v>7411.07</v>
      </c>
      <c r="E69" s="3256">
        <v>0</v>
      </c>
      <c r="F69" s="3256" t="s">
        <v>70</v>
      </c>
      <c r="G69" s="3256">
        <v>7411.07</v>
      </c>
      <c r="H69" s="3257" t="s">
        <v>48</v>
      </c>
    </row>
    <row r="70" spans="1:23" ht="14.25" customHeight="1">
      <c r="A70" s="3367" t="s">
        <v>3182</v>
      </c>
      <c r="B70" s="3367"/>
      <c r="C70" s="3256" t="s">
        <v>70</v>
      </c>
      <c r="D70" s="3256">
        <f>SUM(D4:D69)</f>
        <v>246132.41999999998</v>
      </c>
      <c r="E70" s="3256">
        <f>SUM(E4:E69)</f>
        <v>179571.44999999987</v>
      </c>
      <c r="F70" s="3256" t="s">
        <v>70</v>
      </c>
      <c r="G70" s="3256">
        <f>SUM(G4:G69)</f>
        <v>66560.97</v>
      </c>
      <c r="H70" s="3256" t="s">
        <v>70</v>
      </c>
    </row>
  </sheetData>
  <mergeCells count="48">
    <mergeCell ref="D53:D54"/>
    <mergeCell ref="D2:D3"/>
    <mergeCell ref="D6:D9"/>
    <mergeCell ref="E6:E9"/>
    <mergeCell ref="F6:F9"/>
    <mergeCell ref="D26:D28"/>
    <mergeCell ref="E2:H2"/>
    <mergeCell ref="A2:A3"/>
    <mergeCell ref="A53:A54"/>
    <mergeCell ref="A29:A30"/>
    <mergeCell ref="D29:D30"/>
    <mergeCell ref="B2:B3"/>
    <mergeCell ref="A26:A28"/>
    <mergeCell ref="A6:A9"/>
    <mergeCell ref="B6:B9"/>
    <mergeCell ref="B26:B28"/>
    <mergeCell ref="B29:B30"/>
    <mergeCell ref="C26:C28"/>
    <mergeCell ref="C29:C30"/>
    <mergeCell ref="C2:C3"/>
    <mergeCell ref="C6:C9"/>
    <mergeCell ref="B53:B54"/>
    <mergeCell ref="C53:C54"/>
    <mergeCell ref="A70:B70"/>
    <mergeCell ref="N2:N3"/>
    <mergeCell ref="O2:O3"/>
    <mergeCell ref="P2:P3"/>
    <mergeCell ref="Q2:Q3"/>
    <mergeCell ref="N26:N28"/>
    <mergeCell ref="O26:O28"/>
    <mergeCell ref="P26:P28"/>
    <mergeCell ref="Q26:Q28"/>
    <mergeCell ref="N29:N30"/>
    <mergeCell ref="O29:O30"/>
    <mergeCell ref="P29:P30"/>
    <mergeCell ref="Q29:Q30"/>
    <mergeCell ref="N52:N53"/>
    <mergeCell ref="O52:O53"/>
    <mergeCell ref="P52:P53"/>
    <mergeCell ref="Q52:Q53"/>
    <mergeCell ref="N67:O67"/>
    <mergeCell ref="R2:U2"/>
    <mergeCell ref="N6:N9"/>
    <mergeCell ref="O6:O9"/>
    <mergeCell ref="P6:P9"/>
    <mergeCell ref="Q6:Q9"/>
    <mergeCell ref="R6:R9"/>
    <mergeCell ref="S6:S9"/>
  </mergeCells>
  <phoneticPr fontId="140" type="noConversion"/>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5" sqref="E35"/>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73" t="s">
        <v>2784</v>
      </c>
      <c r="B1" s="3374"/>
      <c r="C1" s="3374"/>
      <c r="D1" s="3374"/>
      <c r="E1" s="3374"/>
      <c r="F1" s="3374"/>
      <c r="G1" s="3374"/>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242531.24</v>
      </c>
      <c r="C1" s="2863"/>
      <c r="D1" s="2863"/>
      <c r="E1" s="2863"/>
      <c r="F1" s="2863"/>
      <c r="G1" s="2864"/>
      <c r="H1" s="2865"/>
      <c r="I1" s="2865"/>
      <c r="J1" s="2865"/>
      <c r="K1" s="2865"/>
    </row>
    <row r="2" spans="1:11" ht="16.5">
      <c r="A2" s="2686" t="s">
        <v>1078</v>
      </c>
      <c r="B2" s="2686">
        <f>SUM(C14:C23)</f>
        <v>118122.57</v>
      </c>
      <c r="C2" s="2863"/>
      <c r="D2" s="2863"/>
      <c r="E2" s="2863"/>
      <c r="F2" s="2863"/>
      <c r="G2" s="2864"/>
      <c r="H2" s="2865"/>
      <c r="I2" s="2865"/>
      <c r="J2" s="2865"/>
      <c r="K2" s="2865"/>
    </row>
    <row r="3" spans="1:11" ht="16.5">
      <c r="A3" s="2686" t="s">
        <v>1087</v>
      </c>
      <c r="B3" s="2688">
        <f>项目基本情况!D3</f>
        <v>44769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164078</v>
      </c>
      <c r="C5" s="2686">
        <f ca="1">ROUND(B5*10000/$B$1,0)</f>
        <v>6765</v>
      </c>
      <c r="D5" s="2686">
        <f ca="1">ROUND(B5*10000/$B$2,0)</f>
        <v>13890</v>
      </c>
      <c r="E5" s="2863"/>
      <c r="F5" s="2864"/>
      <c r="G5" s="2864"/>
      <c r="H5" s="2865"/>
      <c r="I5" s="2865"/>
      <c r="J5" s="2865"/>
      <c r="K5" s="2865"/>
    </row>
    <row r="6" spans="1:11" ht="16.5">
      <c r="A6" s="2686" t="s">
        <v>1081</v>
      </c>
      <c r="B6" s="2686">
        <f ca="1">SUM(G14:G23)</f>
        <v>164078</v>
      </c>
      <c r="C6" s="2686">
        <f ca="1">ROUND(B6*10000/$B$1,0)</f>
        <v>6765</v>
      </c>
      <c r="D6" s="2686">
        <f ca="1">ROUND(B6*10000/$B$2,0)</f>
        <v>13890</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242531.24</v>
      </c>
      <c r="C14" s="2692">
        <f>结果表!C118</f>
        <v>118122.57</v>
      </c>
      <c r="D14" s="2692">
        <f ca="1">结果表!H118</f>
        <v>164078</v>
      </c>
      <c r="E14" s="2692">
        <f ca="1">ROUND(D14*10000/B14,0)</f>
        <v>6765</v>
      </c>
      <c r="F14" s="2692">
        <f ca="1">ROUND(D14*10000/C14,0)</f>
        <v>13890</v>
      </c>
      <c r="G14" s="2692">
        <f ca="1">结果表!D122</f>
        <v>164078</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85" zoomScaleNormal="100" zoomScaleSheetLayoutView="85" zoomScalePageLayoutView="80" workbookViewId="0">
      <selection activeCell="K25" sqref="K25"/>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1705</v>
      </c>
      <c r="B1" s="1882"/>
      <c r="C1" s="1883"/>
      <c r="D1" s="1882"/>
      <c r="E1" s="1882"/>
      <c r="F1" s="1884" t="s">
        <v>1706</v>
      </c>
      <c r="G1" s="1696" t="s">
        <v>3242</v>
      </c>
      <c r="H1" s="1885" t="str">
        <f>IF(G1="现房","——","估价对象范围")</f>
        <v>——</v>
      </c>
      <c r="I1" s="1886"/>
    </row>
    <row r="2" spans="1:12" ht="21.75" customHeight="1" thickBot="1">
      <c r="A2" s="3445" t="str">
        <f>项目基本情况!S2</f>
        <v>北京市房地产</v>
      </c>
      <c r="B2" s="3446"/>
      <c r="C2" s="3446"/>
      <c r="D2" s="3446"/>
      <c r="E2" s="3446"/>
      <c r="F2" s="3446"/>
      <c r="G2" s="3446"/>
      <c r="H2" s="3446"/>
      <c r="I2" s="3447"/>
    </row>
    <row r="3" spans="1:12" ht="12.75">
      <c r="A3" s="3449" t="s">
        <v>1707</v>
      </c>
      <c r="B3" s="3450"/>
      <c r="C3" s="3450"/>
      <c r="D3" s="3450"/>
      <c r="E3" s="3450"/>
      <c r="F3" s="3450"/>
      <c r="G3" s="3450"/>
      <c r="H3" s="3450"/>
      <c r="I3" s="3450"/>
    </row>
    <row r="4" spans="1:12" ht="14.25">
      <c r="A4" s="1889" t="s">
        <v>1708</v>
      </c>
      <c r="B4" s="1890" t="s">
        <v>1709</v>
      </c>
      <c r="C4" s="1891" t="s">
        <v>3257</v>
      </c>
      <c r="D4" s="1891" t="s">
        <v>3258</v>
      </c>
      <c r="E4" s="3454" t="s">
        <v>1710</v>
      </c>
      <c r="F4" s="3455"/>
      <c r="G4" s="3455"/>
      <c r="H4" s="3455"/>
      <c r="I4" s="345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0" t="s">
        <v>1711</v>
      </c>
      <c r="B5" s="3448">
        <v>25</v>
      </c>
      <c r="C5" s="3451"/>
      <c r="D5" s="3439"/>
      <c r="E5" s="136" t="s">
        <v>1712</v>
      </c>
      <c r="F5" s="1892"/>
      <c r="G5" s="1892"/>
      <c r="H5" s="1892"/>
      <c r="I5" s="1507"/>
    </row>
    <row r="6" spans="1:12" ht="12.75">
      <c r="A6" s="3390"/>
      <c r="B6" s="3448"/>
      <c r="C6" s="3453"/>
      <c r="D6" s="3439"/>
      <c r="E6" s="136" t="s">
        <v>1713</v>
      </c>
      <c r="F6" s="1892"/>
      <c r="G6" s="1892"/>
      <c r="H6" s="1892"/>
      <c r="I6" s="1507"/>
    </row>
    <row r="7" spans="1:12" ht="12.75">
      <c r="A7" s="3390"/>
      <c r="B7" s="3448"/>
      <c r="C7" s="3452"/>
      <c r="D7" s="3439"/>
      <c r="E7" s="136" t="s">
        <v>1714</v>
      </c>
      <c r="F7" s="1892"/>
      <c r="G7" s="1892"/>
      <c r="H7" s="1892"/>
      <c r="I7" s="1507"/>
    </row>
    <row r="8" spans="1:12" ht="12.75">
      <c r="A8" s="3390" t="s">
        <v>1715</v>
      </c>
      <c r="B8" s="3448">
        <v>15</v>
      </c>
      <c r="C8" s="3451"/>
      <c r="D8" s="3439"/>
      <c r="E8" s="136" t="s">
        <v>1716</v>
      </c>
      <c r="F8" s="1892"/>
      <c r="G8" s="1892"/>
      <c r="H8" s="1892"/>
      <c r="I8" s="1507"/>
    </row>
    <row r="9" spans="1:12" ht="12.75">
      <c r="A9" s="3390"/>
      <c r="B9" s="3448"/>
      <c r="C9" s="3452"/>
      <c r="D9" s="3439"/>
      <c r="E9" s="136" t="s">
        <v>1717</v>
      </c>
      <c r="F9" s="1892"/>
      <c r="G9" s="1892"/>
      <c r="H9" s="1892"/>
      <c r="I9" s="1507"/>
    </row>
    <row r="10" spans="1:12" ht="12.75">
      <c r="A10" s="3390" t="s">
        <v>1718</v>
      </c>
      <c r="B10" s="3448">
        <v>15</v>
      </c>
      <c r="C10" s="3451"/>
      <c r="D10" s="3439"/>
      <c r="E10" s="136" t="s">
        <v>1719</v>
      </c>
      <c r="F10" s="1892"/>
      <c r="G10" s="1892"/>
      <c r="H10" s="1892"/>
      <c r="I10" s="1507"/>
    </row>
    <row r="11" spans="1:12" ht="12.75">
      <c r="A11" s="3390"/>
      <c r="B11" s="3448"/>
      <c r="C11" s="3452"/>
      <c r="D11" s="3439"/>
      <c r="E11" s="136" t="s">
        <v>1720</v>
      </c>
      <c r="F11" s="1892"/>
      <c r="G11" s="1892"/>
      <c r="H11" s="1892"/>
      <c r="I11" s="1507"/>
    </row>
    <row r="12" spans="1:12" ht="12.75">
      <c r="A12" s="3390" t="s">
        <v>1721</v>
      </c>
      <c r="B12" s="3448">
        <v>15</v>
      </c>
      <c r="C12" s="3451"/>
      <c r="D12" s="3439"/>
      <c r="E12" s="136" t="s">
        <v>1722</v>
      </c>
      <c r="F12" s="1892"/>
      <c r="G12" s="1892"/>
      <c r="H12" s="1892"/>
      <c r="I12" s="1507"/>
    </row>
    <row r="13" spans="1:12" ht="12.75">
      <c r="A13" s="3390"/>
      <c r="B13" s="3448"/>
      <c r="C13" s="3452"/>
      <c r="D13" s="3439"/>
      <c r="E13" s="136" t="s">
        <v>1723</v>
      </c>
      <c r="F13" s="1892"/>
      <c r="G13" s="1892"/>
      <c r="H13" s="1892"/>
      <c r="I13" s="1507"/>
    </row>
    <row r="14" spans="1:12" ht="12.75">
      <c r="A14" s="3390" t="s">
        <v>1724</v>
      </c>
      <c r="B14" s="3448">
        <v>30</v>
      </c>
      <c r="C14" s="3451">
        <v>5</v>
      </c>
      <c r="D14" s="3439">
        <v>5</v>
      </c>
      <c r="E14" s="136" t="s">
        <v>1725</v>
      </c>
      <c r="F14" s="1892"/>
      <c r="G14" s="1892"/>
      <c r="H14" s="1892"/>
      <c r="I14" s="1507"/>
    </row>
    <row r="15" spans="1:12" ht="12.75">
      <c r="A15" s="3390"/>
      <c r="B15" s="3448"/>
      <c r="C15" s="3453"/>
      <c r="D15" s="3439"/>
      <c r="E15" s="136" t="s">
        <v>1726</v>
      </c>
      <c r="F15" s="1892"/>
      <c r="G15" s="1892"/>
      <c r="H15" s="1892"/>
      <c r="I15" s="1507"/>
    </row>
    <row r="16" spans="1:12" ht="12.75">
      <c r="A16" s="3390"/>
      <c r="B16" s="3448"/>
      <c r="C16" s="3452"/>
      <c r="D16" s="3439"/>
      <c r="E16" s="136" t="s">
        <v>1727</v>
      </c>
      <c r="F16" s="1892"/>
      <c r="G16" s="1892"/>
      <c r="H16" s="1892"/>
      <c r="I16" s="1507"/>
    </row>
    <row r="17" spans="1:36" ht="15">
      <c r="A17" s="1893" t="s">
        <v>1728</v>
      </c>
      <c r="B17" s="60"/>
      <c r="C17" s="137">
        <f>SUM(C5:C16)</f>
        <v>5</v>
      </c>
      <c r="D17" s="137">
        <f>SUM(D5:D16)</f>
        <v>5</v>
      </c>
      <c r="E17" s="134"/>
      <c r="F17" s="134"/>
      <c r="G17" s="134"/>
      <c r="H17" s="134"/>
      <c r="I17" s="134"/>
      <c r="K17" s="308"/>
      <c r="L17" s="308" t="s">
        <v>1729</v>
      </c>
      <c r="M17" s="308" t="s">
        <v>1730</v>
      </c>
    </row>
    <row r="18" spans="1:36" ht="31.9" customHeight="1" thickBot="1">
      <c r="A18" s="1894" t="s">
        <v>1731</v>
      </c>
      <c r="B18" s="1895"/>
      <c r="C18" s="138">
        <f>ROUND(C17/SUM(C17:D17),2)</f>
        <v>0.5</v>
      </c>
      <c r="D18" s="138">
        <f>1-C18</f>
        <v>0.5</v>
      </c>
      <c r="E18" s="3470" t="s">
        <v>2629</v>
      </c>
      <c r="F18" s="3471"/>
      <c r="G18" s="3471"/>
      <c r="H18" s="3471"/>
      <c r="I18" s="3471"/>
      <c r="K18" s="308" t="s">
        <v>1732</v>
      </c>
      <c r="L18" s="308">
        <f>IF(C1="",'数据-汇总表'!E3,SUMIF(项目类型,C1,'数据-汇总表'!E17:E26)+SUMIF(项目类型,C1,'数据-汇总表'!I17:I26))</f>
        <v>242531.24</v>
      </c>
      <c r="M18" s="308">
        <f>IF(C1="",'数据-汇总表'!E3,SUMIF(项目类型,C1,'数据-汇总表'!E17:E26))</f>
        <v>242531.24</v>
      </c>
    </row>
    <row r="19" spans="1:36" ht="15">
      <c r="A19" s="1896" t="s">
        <v>1733</v>
      </c>
      <c r="B19" s="1897" t="s">
        <v>1734</v>
      </c>
      <c r="C19" s="139">
        <f ca="1">SUMIF(INDIRECT("'"&amp;C4&amp;"'"&amp;"!A:A"),结果表!B19,INDIRECT("'"&amp;C4&amp;"'"&amp;"!B:B"))</f>
        <v>166071</v>
      </c>
      <c r="D19" s="140">
        <f ca="1">SUMIF(INDIRECT("'"&amp;D4&amp;"'"&amp;"!A:A"),结果表!B19,INDIRECT("'"&amp;D4&amp;"'"&amp;"!B:B"))</f>
        <v>162085</v>
      </c>
      <c r="E19" s="1896" t="s">
        <v>1735</v>
      </c>
      <c r="F19" s="1897" t="s">
        <v>1734</v>
      </c>
      <c r="G19" s="141">
        <f ca="1">ROUND(C19*$C$18+D19*$D$18,0)</f>
        <v>164078</v>
      </c>
      <c r="H19" s="1898" t="s">
        <v>1736</v>
      </c>
      <c r="I19" s="134"/>
      <c r="K19" s="308" t="s">
        <v>1737</v>
      </c>
      <c r="L19" s="308">
        <f>IF(C1="",'数据-汇总表'!D3,SUMIF(项目类型,C1,'数据-汇总表'!D17:D26)+SUMIF(项目类型,C1,'数据-汇总表'!H17:H27))</f>
        <v>118122.57</v>
      </c>
      <c r="M19" s="308">
        <f>IF(C1="",'数据-汇总表'!D3,SUMIF(项目类型,C1,'数据-汇总表'!D17:D26))</f>
        <v>118122.57</v>
      </c>
    </row>
    <row r="20" spans="1:36" ht="15">
      <c r="A20" s="1899"/>
      <c r="B20" s="1138" t="s">
        <v>1738</v>
      </c>
      <c r="C20" s="142">
        <f ca="1">SUMIF(INDIRECT("'"&amp;C4&amp;"'"&amp;"!A:A"),结果表!B20,INDIRECT("'"&amp;C4&amp;"'"&amp;"!B:B"))</f>
        <v>6847</v>
      </c>
      <c r="D20" s="143">
        <f ca="1">SUMIF(INDIRECT("'"&amp;D4&amp;"'"&amp;"!A:A"),结果表!B20,INDIRECT("'"&amp;D4&amp;"'"&amp;"!B:B"))</f>
        <v>6683</v>
      </c>
      <c r="E20" s="1899"/>
      <c r="F20" s="1138" t="s">
        <v>1738</v>
      </c>
      <c r="G20" s="144">
        <f ca="1">ROUND(C20*$C$18+D20*$D$18,0)</f>
        <v>6765</v>
      </c>
      <c r="H20" s="898" t="s">
        <v>1739</v>
      </c>
      <c r="I20" s="134"/>
    </row>
    <row r="21" spans="1:36" ht="15" customHeight="1" thickBot="1">
      <c r="A21" s="918"/>
      <c r="B21" s="1900" t="s">
        <v>1740</v>
      </c>
      <c r="C21" s="728">
        <f ca="1">ROUND(C19*10000/L19,0)</f>
        <v>14059</v>
      </c>
      <c r="D21" s="729">
        <f ca="1">ROUND(D19*10000/L19,0)</f>
        <v>13722</v>
      </c>
      <c r="E21" s="918"/>
      <c r="F21" s="1900" t="s">
        <v>1740</v>
      </c>
      <c r="G21" s="145">
        <f ca="1">ROUND(G19*10000/L19,0)</f>
        <v>13890</v>
      </c>
      <c r="H21" s="1901" t="s">
        <v>1739</v>
      </c>
      <c r="I21" s="134"/>
    </row>
    <row r="22" spans="1:36" ht="15" thickBot="1">
      <c r="A22" s="1823" t="s">
        <v>1741</v>
      </c>
      <c r="B22" s="1902"/>
      <c r="C22" s="1903"/>
      <c r="D22" s="730">
        <f ca="1">IF(C19&lt;D19,D19/C19-1,C19/D19-1)</f>
        <v>2.4592035043341509E-2</v>
      </c>
      <c r="E22" s="134"/>
      <c r="F22" s="134"/>
      <c r="G22" s="134"/>
      <c r="H22" s="134"/>
      <c r="I22" s="134"/>
    </row>
    <row r="23" spans="1:36" ht="13.5" thickBot="1">
      <c r="A23" s="1882"/>
      <c r="B23" s="1882"/>
      <c r="C23" s="1882"/>
      <c r="D23" s="1882"/>
      <c r="E23" s="134"/>
      <c r="F23" s="134"/>
      <c r="G23" s="134"/>
      <c r="H23" s="134"/>
      <c r="I23" s="134"/>
    </row>
    <row r="24" spans="1:36" ht="14.25">
      <c r="A24" s="3463" t="s">
        <v>1742</v>
      </c>
      <c r="B24" s="1897" t="s">
        <v>1734</v>
      </c>
      <c r="C24" s="141">
        <f>IF(B30=0,0,D30)</f>
        <v>0</v>
      </c>
      <c r="D24" s="1904"/>
      <c r="E24" s="134"/>
      <c r="F24" s="134"/>
      <c r="G24" s="134"/>
      <c r="H24" s="134"/>
      <c r="I24" s="134"/>
    </row>
    <row r="25" spans="1:36" ht="14.25">
      <c r="A25" s="3464"/>
      <c r="B25" s="1138" t="s">
        <v>1738</v>
      </c>
      <c r="C25" s="146">
        <f>IF(B30=0,0,C30)</f>
        <v>0</v>
      </c>
      <c r="D25" s="1905"/>
      <c r="E25" s="134"/>
      <c r="F25" s="134"/>
      <c r="G25" s="134"/>
      <c r="H25" s="134"/>
      <c r="I25" s="134"/>
    </row>
    <row r="26" spans="1:36" ht="13.5" customHeight="1">
      <c r="A26" s="1906" t="s">
        <v>1743</v>
      </c>
      <c r="B26" s="147" t="s">
        <v>1744</v>
      </c>
      <c r="C26" s="147" t="s">
        <v>1745</v>
      </c>
      <c r="D26" s="148" t="s">
        <v>1746</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1748</v>
      </c>
      <c r="B32" s="1909"/>
      <c r="C32" s="149">
        <f ca="1">IF(D32="总价",G19-C24,G20-C25)</f>
        <v>164078</v>
      </c>
      <c r="D32" s="1910" t="s">
        <v>3259</v>
      </c>
      <c r="E32" s="134"/>
      <c r="F32" s="134"/>
      <c r="G32" s="134"/>
      <c r="H32" s="134"/>
      <c r="I32" s="134"/>
    </row>
    <row r="33" spans="1:15" ht="15">
      <c r="A33" s="875" t="s">
        <v>1749</v>
      </c>
      <c r="B33" s="1911"/>
      <c r="C33" s="1912" t="s">
        <v>3666</v>
      </c>
      <c r="D33" s="1913" t="s">
        <v>3257</v>
      </c>
      <c r="E33" s="1914" t="s">
        <v>1750</v>
      </c>
      <c r="F33" s="1915" t="str">
        <f>IF(D32="楼面单价","取值（单价）","取值（总价）")</f>
        <v>取值（总价）</v>
      </c>
      <c r="G33" s="134"/>
      <c r="H33" s="134"/>
      <c r="I33" s="134"/>
    </row>
    <row r="34" spans="1:15" ht="15">
      <c r="A34" s="1916"/>
      <c r="B34" s="1917" t="s">
        <v>1751</v>
      </c>
      <c r="C34" s="153">
        <f ca="1">IF(C33="自定义",F34,C32-C35)</f>
        <v>51849</v>
      </c>
      <c r="D34" s="951">
        <f ca="1">IF(C33="自定义",ROUND(C34/C32,3),IF(C33="收益比率",SUMIF(INDIRECT("'"&amp;D33&amp;"'"&amp;"!b:b"),"土地收益比率",INDIRECT("'"&amp;D33&amp;"'"&amp;"!c:c")),SUMIF(INDIRECT("'"&amp;D33&amp;"'"&amp;"!b:b"),"土地成本比率",INDIRECT("'"&amp;D33&amp;"'"&amp;"!c:c"))))</f>
        <v>0.31599999999999995</v>
      </c>
      <c r="E34" s="1918" t="s">
        <v>1752</v>
      </c>
      <c r="F34" s="1450">
        <f ca="1">G19-F35</f>
        <v>50444</v>
      </c>
      <c r="G34" s="134"/>
      <c r="H34" s="134"/>
      <c r="I34" s="134"/>
    </row>
    <row r="35" spans="1:15" ht="15.75" thickBot="1">
      <c r="A35" s="1919"/>
      <c r="B35" s="1920" t="s">
        <v>1753</v>
      </c>
      <c r="C35" s="1285">
        <f ca="1">IF(C33="自定义",F35,ROUND(C32*D35,0))</f>
        <v>112229</v>
      </c>
      <c r="D35" s="1286">
        <f ca="1">IF(C33="自定义",ROUND(C35/C32,3),IF(C33="收益比率",SUMIF(INDIRECT("'"&amp;D33&amp;"'"&amp;"!b:b"),"建筑物收益比率",INDIRECT("'"&amp;D33&amp;"'"&amp;"!c:c")),SUMIF(INDIRECT("'"&amp;D33&amp;"'"&amp;"!b:b"),"建筑物成本比率",INDIRECT("'"&amp;D33&amp;"'"&amp;"!c:c"))))</f>
        <v>0.68400000000000005</v>
      </c>
      <c r="E35" s="1921" t="s">
        <v>1754</v>
      </c>
      <c r="F35" s="159">
        <f ca="1">成本法!C51</f>
        <v>113634</v>
      </c>
      <c r="G35" s="134"/>
      <c r="H35" s="134"/>
      <c r="I35" s="134"/>
    </row>
    <row r="36" spans="1:15" ht="15.75" thickBot="1">
      <c r="A36" s="3440" t="s">
        <v>1755</v>
      </c>
      <c r="B36" s="1922" t="s">
        <v>1756</v>
      </c>
      <c r="C36" s="150"/>
      <c r="D36" s="1923"/>
      <c r="E36" s="1924"/>
      <c r="F36" s="1925"/>
      <c r="G36" s="134"/>
      <c r="H36" s="134"/>
      <c r="I36" s="134"/>
    </row>
    <row r="37" spans="1:15" ht="15.75" thickBot="1">
      <c r="A37" s="3441"/>
      <c r="B37" s="1809" t="s">
        <v>1757</v>
      </c>
      <c r="C37" s="152"/>
      <c r="D37" s="1254"/>
      <c r="E37" s="1254"/>
      <c r="F37" s="1925"/>
      <c r="G37" s="134"/>
      <c r="H37" s="134"/>
      <c r="I37" s="134"/>
    </row>
    <row r="38" spans="1:15" ht="15.75" thickBot="1">
      <c r="A38" s="3442"/>
      <c r="B38" s="1926" t="s">
        <v>1758</v>
      </c>
      <c r="C38" s="683"/>
      <c r="D38" s="1927" t="s">
        <v>1759</v>
      </c>
      <c r="E38" s="1254"/>
      <c r="F38" s="1925"/>
      <c r="G38" s="134"/>
      <c r="H38" s="134"/>
      <c r="I38" s="134"/>
    </row>
    <row r="39" spans="1:15" ht="15">
      <c r="A39" s="1899" t="s">
        <v>1760</v>
      </c>
      <c r="B39" s="1928" t="s">
        <v>1761</v>
      </c>
      <c r="C39" s="1929" t="s">
        <v>1762</v>
      </c>
      <c r="D39" s="1929" t="s">
        <v>1763</v>
      </c>
      <c r="E39" s="1930" t="s">
        <v>1764</v>
      </c>
      <c r="F39" s="1925"/>
      <c r="G39" s="134"/>
      <c r="H39" s="134"/>
      <c r="I39" s="134"/>
    </row>
    <row r="40" spans="1:15" ht="14.25">
      <c r="A40" s="1931" t="s">
        <v>1765</v>
      </c>
      <c r="B40" s="154"/>
      <c r="C40" s="155"/>
      <c r="D40" s="155"/>
      <c r="E40" s="156"/>
      <c r="F40" s="1925"/>
      <c r="G40" s="134"/>
      <c r="H40" s="134"/>
      <c r="I40" s="134"/>
    </row>
    <row r="41" spans="1:15" ht="14.25">
      <c r="A41" s="1931" t="s">
        <v>1766</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1767</v>
      </c>
      <c r="B44" s="1936"/>
      <c r="C44" s="1936"/>
      <c r="D44" s="1937"/>
      <c r="E44" s="1937"/>
      <c r="F44" s="1938"/>
      <c r="G44" s="1938"/>
      <c r="H44" s="1938"/>
      <c r="I44" s="1938"/>
      <c r="J44" s="1939" t="s">
        <v>1768</v>
      </c>
      <c r="K44" s="1940"/>
      <c r="L44" s="1940"/>
      <c r="M44" s="1940"/>
      <c r="N44" s="1940"/>
      <c r="O44" s="1940"/>
    </row>
    <row r="45" spans="1:15" ht="14.25" customHeight="1" thickBot="1">
      <c r="A45" s="3460" t="s">
        <v>1769</v>
      </c>
      <c r="B45" s="3461"/>
      <c r="C45" s="3462"/>
      <c r="D45" s="160">
        <f ca="1">ROUND(H101*F45,0)</f>
        <v>164078</v>
      </c>
      <c r="E45" s="161" t="s">
        <v>1770</v>
      </c>
      <c r="F45" s="162">
        <v>1</v>
      </c>
      <c r="G45" s="163" t="s">
        <v>1771</v>
      </c>
      <c r="H45" s="134"/>
      <c r="I45" s="134"/>
      <c r="J45" s="3377" t="s">
        <v>1772</v>
      </c>
      <c r="K45" s="3377"/>
      <c r="L45" s="3377"/>
      <c r="M45" s="3377"/>
      <c r="N45" s="3377"/>
      <c r="O45" s="3377"/>
    </row>
    <row r="46" spans="1:15" ht="14.25" customHeight="1">
      <c r="A46" s="3457" t="s">
        <v>1773</v>
      </c>
      <c r="B46" s="3458"/>
      <c r="C46" s="3458"/>
      <c r="D46" s="3458"/>
      <c r="E46" s="3458"/>
      <c r="F46" s="3458"/>
      <c r="G46" s="3459"/>
      <c r="H46" s="1941"/>
      <c r="I46" s="164"/>
      <c r="J46" s="2697">
        <v>1</v>
      </c>
      <c r="K46" s="3378" t="s">
        <v>1774</v>
      </c>
      <c r="L46" s="3378"/>
      <c r="M46" s="3379"/>
      <c r="N46" s="3379"/>
      <c r="O46" s="3379"/>
    </row>
    <row r="47" spans="1:15" ht="12" customHeight="1">
      <c r="A47" s="165" t="s">
        <v>1775</v>
      </c>
      <c r="B47" s="166"/>
      <c r="C47" s="167"/>
      <c r="D47" s="1200" t="s">
        <v>1776</v>
      </c>
      <c r="E47" s="308" t="s">
        <v>1777</v>
      </c>
      <c r="F47" s="168" t="s">
        <v>1778</v>
      </c>
      <c r="G47" s="2720" t="s">
        <v>1779</v>
      </c>
      <c r="H47" s="2721"/>
      <c r="I47" s="164"/>
      <c r="J47" s="2697">
        <v>2</v>
      </c>
      <c r="K47" s="3378" t="s">
        <v>1780</v>
      </c>
      <c r="L47" s="3378"/>
      <c r="M47" s="3380">
        <f>'数据-取费表'!B2</f>
        <v>44769</v>
      </c>
      <c r="N47" s="3380"/>
      <c r="O47" s="3380"/>
    </row>
    <row r="48" spans="1:15" ht="25.5">
      <c r="A48" s="3443" t="s">
        <v>1781</v>
      </c>
      <c r="B48" s="3444"/>
      <c r="C48" s="3444"/>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1782</v>
      </c>
      <c r="H48" s="2724"/>
      <c r="I48" s="1941"/>
      <c r="J48" s="2697">
        <v>3</v>
      </c>
      <c r="K48" s="3378" t="s">
        <v>1783</v>
      </c>
      <c r="L48" s="3378"/>
      <c r="M48" s="3381">
        <f ca="1">H101</f>
        <v>164078</v>
      </c>
      <c r="N48" s="3381"/>
      <c r="O48" s="3381"/>
    </row>
    <row r="49" spans="1:35" ht="25.5" customHeight="1">
      <c r="A49" s="2505" t="s">
        <v>1784</v>
      </c>
      <c r="B49" s="3426" t="s">
        <v>1785</v>
      </c>
      <c r="C49" s="3426"/>
      <c r="D49" s="1725">
        <v>0</v>
      </c>
      <c r="E49" s="330" t="s">
        <v>1786</v>
      </c>
      <c r="F49" s="2598" t="s">
        <v>34</v>
      </c>
      <c r="G49" s="3409"/>
      <c r="H49" s="2477" t="s">
        <v>2632</v>
      </c>
      <c r="I49" s="2478"/>
      <c r="J49" s="2697">
        <v>4</v>
      </c>
      <c r="K49" s="3378" t="str">
        <f>IF(项目基本情况!E8="房地产抵押价值","房地产抵押价值","抵押担保权已注销时的房地产抵押价值")</f>
        <v>房地产抵押价值</v>
      </c>
      <c r="L49" s="3378"/>
      <c r="M49" s="3381">
        <f ca="1">IF(项目基本情况!E8="房地产抵押价值",H107,H109)</f>
        <v>164078</v>
      </c>
      <c r="N49" s="3381"/>
      <c r="O49" s="3381"/>
    </row>
    <row r="50" spans="1:35" ht="25.5" customHeight="1">
      <c r="A50" s="2725"/>
      <c r="B50" s="3426" t="s">
        <v>1787</v>
      </c>
      <c r="C50" s="3426"/>
      <c r="D50" s="2726"/>
      <c r="E50" s="338"/>
      <c r="F50" s="2598"/>
      <c r="G50" s="3410"/>
      <c r="H50" s="2479" t="s">
        <v>2633</v>
      </c>
      <c r="I50" s="2478"/>
      <c r="J50" s="3377" t="s">
        <v>1788</v>
      </c>
      <c r="K50" s="3377"/>
      <c r="L50" s="3377"/>
      <c r="M50" s="3377"/>
      <c r="N50" s="3377"/>
      <c r="O50" s="3377"/>
    </row>
    <row r="51" spans="1:35" ht="20.45" customHeight="1">
      <c r="A51" s="2727"/>
      <c r="B51" s="3426" t="s">
        <v>1789</v>
      </c>
      <c r="C51" s="3426"/>
      <c r="D51" s="1200"/>
      <c r="E51" s="333"/>
      <c r="F51" s="2598"/>
      <c r="G51" s="3411"/>
      <c r="H51" s="2479" t="s">
        <v>2634</v>
      </c>
      <c r="I51" s="2478"/>
      <c r="J51" s="2698" t="s">
        <v>1790</v>
      </c>
      <c r="K51" s="3378" t="s">
        <v>1791</v>
      </c>
      <c r="L51" s="3378"/>
      <c r="M51" s="2698" t="s">
        <v>1792</v>
      </c>
      <c r="N51" s="2698" t="s">
        <v>1793</v>
      </c>
      <c r="O51" s="2698" t="s">
        <v>1794</v>
      </c>
    </row>
    <row r="52" spans="1:35" ht="24" customHeight="1">
      <c r="A52" s="2507" t="s">
        <v>1795</v>
      </c>
      <c r="B52" s="3426" t="s">
        <v>1796</v>
      </c>
      <c r="C52" s="3426"/>
      <c r="D52" s="1200">
        <f ca="1">ROUND(D45*'数据-取费表'!B41/(1+'数据-取费表'!C42),0)</f>
        <v>8595</v>
      </c>
      <c r="E52" s="2506" t="s">
        <v>1797</v>
      </c>
      <c r="F52" s="2728">
        <f>'数据-取费表'!B41</f>
        <v>5.5000000000000007E-2</v>
      </c>
      <c r="G52" s="2729"/>
      <c r="H52" s="2718"/>
      <c r="I52" s="1942"/>
      <c r="J52" s="2697">
        <v>1</v>
      </c>
      <c r="K52" s="3403" t="s">
        <v>1798</v>
      </c>
      <c r="L52" s="3403"/>
      <c r="M52" s="2699" t="b">
        <f>D48</f>
        <v>0</v>
      </c>
      <c r="N52" s="2697" t="str">
        <f>E48</f>
        <v>销售额×税（费）率</v>
      </c>
      <c r="O52" s="2700">
        <f>F48</f>
        <v>5.5000000000000007E-2</v>
      </c>
    </row>
    <row r="53" spans="1:35" ht="12" customHeight="1">
      <c r="A53" s="2507" t="s">
        <v>1799</v>
      </c>
      <c r="B53" s="3427" t="s">
        <v>2789</v>
      </c>
      <c r="C53" s="3428"/>
      <c r="D53" s="1200">
        <f ca="1">ROUND(D45*'数据-取费表'!B41/(1+'数据-取费表'!C42),0)</f>
        <v>8595</v>
      </c>
      <c r="E53" s="2506" t="s">
        <v>1797</v>
      </c>
      <c r="F53" s="2728">
        <f>'数据-取费表'!B41</f>
        <v>5.5000000000000007E-2</v>
      </c>
      <c r="G53" s="2729"/>
      <c r="H53" s="2718"/>
      <c r="I53" s="1942"/>
      <c r="J53" s="2697">
        <v>2</v>
      </c>
      <c r="K53" s="3403" t="s">
        <v>1800</v>
      </c>
      <c r="L53" s="3403"/>
      <c r="M53" s="2699">
        <f t="shared" ref="M53:O54" ca="1" si="0">D55</f>
        <v>82</v>
      </c>
      <c r="N53" s="2697" t="str">
        <f t="shared" si="0"/>
        <v>销售额×税（费）率</v>
      </c>
      <c r="O53" s="2700" t="str">
        <f t="shared" si="0"/>
        <v>免征</v>
      </c>
    </row>
    <row r="54" spans="1:35" ht="12" customHeight="1">
      <c r="A54" s="2507" t="s">
        <v>1801</v>
      </c>
      <c r="B54" s="3427" t="s">
        <v>2790</v>
      </c>
      <c r="C54" s="3428"/>
      <c r="D54" s="1200">
        <f ca="1">C68</f>
        <v>8595</v>
      </c>
      <c r="E54" s="333" t="s">
        <v>1802</v>
      </c>
      <c r="F54" s="2728">
        <f>'数据-取费表'!B41</f>
        <v>5.5000000000000007E-2</v>
      </c>
      <c r="G54" s="2729"/>
      <c r="H54" s="2730"/>
      <c r="I54" s="1942"/>
      <c r="J54" s="2697">
        <v>3</v>
      </c>
      <c r="K54" s="3403" t="s">
        <v>1803</v>
      </c>
      <c r="L54" s="3403"/>
      <c r="M54" s="2699">
        <f t="shared" ca="1" si="0"/>
        <v>93017</v>
      </c>
      <c r="N54" s="2697" t="str">
        <f t="shared" si="0"/>
        <v>增值额×税（费）率</v>
      </c>
      <c r="O54" s="2701" t="str">
        <f t="shared" si="0"/>
        <v>免征</v>
      </c>
    </row>
    <row r="55" spans="1:35" ht="24" customHeight="1">
      <c r="A55" s="3466" t="s">
        <v>1804</v>
      </c>
      <c r="B55" s="3444"/>
      <c r="C55" s="3444"/>
      <c r="D55" s="2496">
        <f ca="1">IF(H55="个人住宅",0,ROUND(D45*I55,0))</f>
        <v>82</v>
      </c>
      <c r="E55" s="2506" t="s">
        <v>1805</v>
      </c>
      <c r="F55" s="2728" t="str">
        <f>IF(H55="正常",I55,"免征")</f>
        <v>免征</v>
      </c>
      <c r="G55" s="2729"/>
      <c r="H55" s="2724"/>
      <c r="I55" s="170">
        <f>'数据-取费表'!B49</f>
        <v>5.0000000000000001E-4</v>
      </c>
      <c r="J55" s="2697">
        <f>IF(H59="非个人房产","",4)</f>
        <v>4</v>
      </c>
      <c r="K55" s="3403" t="str">
        <f>IF(H59="非个人房产","——","个人所得税")</f>
        <v>个人所得税</v>
      </c>
      <c r="L55" s="3403"/>
      <c r="M55" s="2702">
        <f ca="1">D59</f>
        <v>1563</v>
      </c>
      <c r="N55" s="2177" t="str">
        <f>E59</f>
        <v>差额计税</v>
      </c>
      <c r="O55" s="2703">
        <f>F59</f>
        <v>0.01</v>
      </c>
    </row>
    <row r="56" spans="1:35" ht="24.75">
      <c r="A56" s="3466" t="s">
        <v>1806</v>
      </c>
      <c r="B56" s="3444"/>
      <c r="C56" s="3444"/>
      <c r="D56" s="2496">
        <f ca="1">IF(H56="个人住宅",D57,D58)</f>
        <v>93017</v>
      </c>
      <c r="E56" s="2506" t="s">
        <v>1807</v>
      </c>
      <c r="F56" s="2728" t="str">
        <f>IF(H56="正常",F58,"免征")</f>
        <v>免征</v>
      </c>
      <c r="G56" s="2731" t="s">
        <v>1808</v>
      </c>
      <c r="H56" s="2732"/>
      <c r="I56" s="1943"/>
      <c r="J56" s="2697" t="str">
        <f>IF(项目基本情况!K6="上海银行",IF(J55="",4,J55+1),"")</f>
        <v/>
      </c>
      <c r="K56" s="3384" t="str">
        <f>IF(项目基本情况!K6="上海银行","其他处置费用","")</f>
        <v/>
      </c>
      <c r="L56" s="3385"/>
      <c r="M56" s="2699" t="str">
        <f>IF(项目基本情况!K6="上海银行",M69,"")</f>
        <v/>
      </c>
      <c r="N56" s="3384" t="str">
        <f>IF(项目基本情况!K6="上海银行","包含处置中涉及的律师、诉讼、拍卖、评估等费用","")</f>
        <v/>
      </c>
      <c r="O56" s="3387"/>
    </row>
    <row r="57" spans="1:35" ht="12.75">
      <c r="A57" s="2507" t="s">
        <v>1784</v>
      </c>
      <c r="B57" s="3427" t="s">
        <v>1809</v>
      </c>
      <c r="C57" s="3428"/>
      <c r="D57" s="1725">
        <v>0</v>
      </c>
      <c r="E57" s="330" t="s">
        <v>1786</v>
      </c>
      <c r="F57" s="308"/>
      <c r="G57" s="2729"/>
      <c r="H57" s="2733"/>
      <c r="I57" s="1943"/>
      <c r="J57" s="3403">
        <f>IF(AND(J55="",J56=""),4,IF(项目基本情况!K6="上海银行",结果表!J56+1,结果表!J55+1))</f>
        <v>5</v>
      </c>
      <c r="K57" s="3403" t="s">
        <v>1810</v>
      </c>
      <c r="L57" s="2704" t="s">
        <v>1811</v>
      </c>
      <c r="M57" s="2705"/>
      <c r="N57" s="2706">
        <f ca="1">SUMIF(M52:M56,"&lt;9e307")</f>
        <v>94662</v>
      </c>
      <c r="O57" s="2707"/>
      <c r="P57" s="2867">
        <f ca="1">N57/M49</f>
        <v>0.57693292214678382</v>
      </c>
    </row>
    <row r="58" spans="1:35" ht="24.75">
      <c r="A58" s="2507" t="s">
        <v>1795</v>
      </c>
      <c r="B58" s="3427" t="s">
        <v>1812</v>
      </c>
      <c r="C58" s="3426"/>
      <c r="D58" s="2496">
        <f ca="1">IF(H58="转让取得",C81,C97)</f>
        <v>93017</v>
      </c>
      <c r="E58" s="2506" t="s">
        <v>1807</v>
      </c>
      <c r="F58" s="308" t="s">
        <v>34</v>
      </c>
      <c r="G58" s="2729"/>
      <c r="H58" s="2732"/>
      <c r="I58" s="1943"/>
      <c r="J58" s="3403"/>
      <c r="K58" s="3403"/>
      <c r="L58" s="2704" t="s">
        <v>1813</v>
      </c>
      <c r="M58" s="2708"/>
      <c r="N58" s="2709" t="str">
        <f ca="1">NUMBERSTRING(INT(N57*10000),2)&amp;"元整"</f>
        <v>玖亿肆仟陆佰陆拾贰万元整</v>
      </c>
      <c r="O58" s="2710"/>
    </row>
    <row r="59" spans="1:35" ht="24.75" thickBot="1">
      <c r="A59" s="3407" t="s">
        <v>1814</v>
      </c>
      <c r="B59" s="3408"/>
      <c r="C59" s="3408"/>
      <c r="D59" s="2734">
        <f ca="1">IF(H59="非个人房产","——",IF(H59="个人住宅（满五唯一有凭证）",0,IF(H59="个人其他（无凭证）",ROUND(D45*F59,0),ROUND(C67*F59,0))))</f>
        <v>1563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1808</v>
      </c>
      <c r="H59" s="2481"/>
      <c r="I59" s="2480" t="s">
        <v>2635</v>
      </c>
      <c r="J59" s="3405">
        <f>J57+1</f>
        <v>6</v>
      </c>
      <c r="K59" s="3403" t="s">
        <v>1815</v>
      </c>
      <c r="L59" s="2697" t="s">
        <v>1811</v>
      </c>
      <c r="M59" s="2711"/>
      <c r="N59" s="2712">
        <f ca="1">M49-N57</f>
        <v>69416</v>
      </c>
      <c r="O59" s="2713"/>
    </row>
    <row r="60" spans="1:35" ht="12" customHeight="1">
      <c r="A60" s="1944"/>
      <c r="B60" s="1882"/>
      <c r="C60" s="1882"/>
      <c r="D60" s="1882"/>
      <c r="E60" s="1713"/>
      <c r="F60" s="1943"/>
      <c r="G60" s="1943"/>
      <c r="H60" s="1945"/>
      <c r="I60" s="134"/>
      <c r="J60" s="3406"/>
      <c r="K60" s="3403"/>
      <c r="L60" s="2704" t="s">
        <v>1813</v>
      </c>
      <c r="M60" s="2708"/>
      <c r="N60" s="2709" t="str">
        <f ca="1">NUMBERSTRING(INT(N59*10000),2)&amp;"元整"</f>
        <v>陆亿玖仟肆佰壹拾陆万元整</v>
      </c>
      <c r="O60" s="2710"/>
    </row>
    <row r="61" spans="1:35" ht="13.5" thickBot="1">
      <c r="A61" s="3465" t="s">
        <v>1816</v>
      </c>
      <c r="B61" s="3465"/>
      <c r="C61" s="3465"/>
      <c r="D61" s="3465"/>
      <c r="E61" s="3465"/>
      <c r="F61" s="1943"/>
      <c r="G61" s="1943"/>
      <c r="H61" s="1945"/>
      <c r="I61" s="134"/>
      <c r="J61" s="2697">
        <f>J59+1</f>
        <v>7</v>
      </c>
      <c r="K61" s="3403" t="s">
        <v>1817</v>
      </c>
      <c r="L61" s="3403"/>
      <c r="M61" s="2714"/>
      <c r="N61" s="2715">
        <f ca="1">ROUND(N59*10000/'数据-汇总表'!E3,0)</f>
        <v>2862</v>
      </c>
      <c r="O61" s="2716"/>
    </row>
    <row r="62" spans="1:35" ht="12.75">
      <c r="A62" s="3422" t="s">
        <v>1818</v>
      </c>
      <c r="B62" s="3423"/>
      <c r="C62" s="2158"/>
      <c r="D62" s="2158" t="s">
        <v>1819</v>
      </c>
      <c r="E62" s="171" t="s">
        <v>1820</v>
      </c>
      <c r="F62" s="1943"/>
      <c r="G62" s="1943"/>
      <c r="H62" s="1945"/>
      <c r="I62" s="134"/>
    </row>
    <row r="63" spans="1:35" ht="12.75">
      <c r="A63" s="178" t="s">
        <v>594</v>
      </c>
      <c r="B63" s="172" t="s">
        <v>1821</v>
      </c>
      <c r="C63" s="2738">
        <f ca="1">ROUND((C64+C65)/(1+'数据-取费表'!C42),0)</f>
        <v>156265</v>
      </c>
      <c r="D63" s="172"/>
      <c r="E63" s="173"/>
      <c r="F63" s="1943"/>
      <c r="G63" s="1943"/>
      <c r="H63" s="1945"/>
      <c r="I63" s="134"/>
      <c r="J63" s="3386" t="s">
        <v>1822</v>
      </c>
      <c r="K63" s="1452" t="s">
        <v>1823</v>
      </c>
      <c r="L63" s="1452">
        <f ca="1">IF(M49&gt;10000,M49*0.5%,IF(AND(M49&gt;1000,M49&lt;=10000),M49*1%,IF(AND(M49&gt;100,M49&lt;=1000),M49*3%,IF(AND(M49&gt;10,M49&lt;=100),M49*5%,M49*8%))))</f>
        <v>820.39</v>
      </c>
      <c r="M63" s="308">
        <f ca="1">ROUND(L63,1)</f>
        <v>820.4</v>
      </c>
      <c r="N63" s="2717"/>
      <c r="Z63" s="1887"/>
      <c r="AI63" s="1888"/>
    </row>
    <row r="64" spans="1:35" ht="14.25" customHeight="1">
      <c r="A64" s="174" t="s">
        <v>589</v>
      </c>
      <c r="B64" s="175" t="s">
        <v>1824</v>
      </c>
      <c r="C64" s="2739">
        <f ca="1">D45</f>
        <v>164078</v>
      </c>
      <c r="D64" s="175" t="s">
        <v>32</v>
      </c>
      <c r="E64" s="177"/>
      <c r="F64" s="1943"/>
      <c r="G64" s="1943"/>
      <c r="H64" s="1945"/>
      <c r="I64" s="134"/>
      <c r="J64" s="3386"/>
      <c r="K64" s="1452" t="s">
        <v>1825</v>
      </c>
      <c r="L64" s="1452">
        <f ca="1">IF(M49&gt;2000,M49*0.5%,IF(AND(M49&gt;1000,M49&lt;=2000),M49*0.6%,IF(AND(M49&gt;500,M49&lt;=1000),M49*0.7%,IF(AND(M49&gt;200,M49&lt;=500),M49*0.8%,IF(AND(M49&gt;100,M49&lt;=200),M49*0.9%,IF(AND(M49&gt;50,M49&lt;=100),M49*1%,IF(AND(M49&gt;20,M49&lt;=50),M49*1.5%,IF(AND(M49&gt;10,M49&lt;=20),M49*2%,IF(AND(M49&gt;1,M49&lt;=10),M49*2.5%)))))))))</f>
        <v>820.39</v>
      </c>
      <c r="M64" s="308">
        <f t="shared" ref="M64:M65" ca="1" si="1">ROUND(L64,1)</f>
        <v>820.4</v>
      </c>
      <c r="N64" s="2718" t="s">
        <v>1826</v>
      </c>
      <c r="Z64" s="1887"/>
      <c r="AI64" s="1888"/>
    </row>
    <row r="65" spans="1:35" ht="14.25" customHeight="1">
      <c r="A65" s="174" t="s">
        <v>590</v>
      </c>
      <c r="B65" s="175" t="s">
        <v>1827</v>
      </c>
      <c r="C65" s="2740"/>
      <c r="D65" s="175"/>
      <c r="E65" s="177"/>
      <c r="F65" s="1943"/>
      <c r="G65" s="1943"/>
      <c r="H65" s="1945"/>
      <c r="I65" s="134"/>
      <c r="J65" s="3386"/>
      <c r="K65" s="1452" t="s">
        <v>1828</v>
      </c>
      <c r="L65" s="1452">
        <f ca="1">IF(M49&gt;1000,M49*0.1%,IF(AND(M49&gt;500,M49&lt;=1000),M49*0.5%,IF(AND(M49&gt;50,M49&lt;=500),M49*1%,IF(AND(M49&gt;1,M49&lt;=50),M49*1.5%))))</f>
        <v>164.078</v>
      </c>
      <c r="M65" s="308">
        <f t="shared" ca="1" si="1"/>
        <v>164.1</v>
      </c>
      <c r="N65" s="2718" t="s">
        <v>1826</v>
      </c>
      <c r="Z65" s="1887"/>
      <c r="AI65" s="1888"/>
    </row>
    <row r="66" spans="1:35" ht="14.25" customHeight="1">
      <c r="A66" s="178" t="s">
        <v>591</v>
      </c>
      <c r="B66" s="179" t="s">
        <v>1829</v>
      </c>
      <c r="C66" s="2741"/>
      <c r="D66" s="179" t="s">
        <v>32</v>
      </c>
      <c r="E66" s="1459" t="s">
        <v>1096</v>
      </c>
      <c r="F66" s="1943"/>
      <c r="G66" s="1943"/>
      <c r="H66" s="1945"/>
      <c r="I66" s="134"/>
      <c r="J66" s="3386"/>
      <c r="K66" s="1452" t="s">
        <v>1830</v>
      </c>
      <c r="L66" s="1452">
        <f ca="1">M49*0.5%</f>
        <v>820.39</v>
      </c>
      <c r="M66" s="308">
        <f ca="1">IF(L66&gt;0.5,0.5,ROUND(L66,0))</f>
        <v>0.5</v>
      </c>
      <c r="N66" s="2718" t="s">
        <v>1831</v>
      </c>
      <c r="Z66" s="1887"/>
      <c r="AI66" s="1888"/>
    </row>
    <row r="67" spans="1:35" ht="14.25" customHeight="1">
      <c r="A67" s="178" t="s">
        <v>592</v>
      </c>
      <c r="B67" s="179" t="s">
        <v>1832</v>
      </c>
      <c r="C67" s="2742">
        <f ca="1">C63-C66</f>
        <v>156265</v>
      </c>
      <c r="D67" s="175" t="s">
        <v>32</v>
      </c>
      <c r="E67" s="177"/>
      <c r="F67" s="1943"/>
      <c r="G67" s="1943"/>
      <c r="H67" s="1945"/>
      <c r="I67" s="134"/>
      <c r="J67" s="3386"/>
      <c r="K67" s="1452" t="s">
        <v>1833</v>
      </c>
      <c r="L67" s="1452">
        <f ca="1">IF(M49&gt;=10000,(8.25+(M49-10000)*0.01%),IF(AND(M49&gt;=8000,M49&lt;10000),(7.85+(M49-8000)*0.02%),IF(AND(M49&gt;=5000,M49&lt;8000),(6.65+(M49-5000)*0.04%),IF(AND(M49&gt;=2000,M49&lt;5000),(4.25+(PM49-2000)*0.08%),IF(AND(M49&gt;=1000,M49&lt;2000),(2.75+(M49-1000)*0.15%),IF(AND(M49&gt;=100,M49&lt;1000),(0.5+(M49-100)*0.25%),IF(AND(M49&gt;0,M49&lt;100),M49*0.5%)))))))</f>
        <v>23.657800000000002</v>
      </c>
      <c r="M67" s="308">
        <f ca="1">ROUND(L67*0.9,1)</f>
        <v>21.3</v>
      </c>
      <c r="N67" s="2717"/>
      <c r="Z67" s="1887"/>
      <c r="AI67" s="1888"/>
    </row>
    <row r="68" spans="1:35" ht="14.25" customHeight="1" thickBot="1">
      <c r="A68" s="181" t="s">
        <v>593</v>
      </c>
      <c r="B68" s="182" t="s">
        <v>1834</v>
      </c>
      <c r="C68" s="2743">
        <f ca="1">IF(C67&lt;=0,0,ROUND(C67*D68,0))</f>
        <v>8595</v>
      </c>
      <c r="D68" s="2744">
        <f>'数据-取费表'!B41</f>
        <v>5.5000000000000007E-2</v>
      </c>
      <c r="E68" s="184"/>
      <c r="F68" s="1943"/>
      <c r="G68" s="1943"/>
      <c r="H68" s="1945"/>
      <c r="I68" s="134"/>
      <c r="J68" s="3386"/>
      <c r="K68" s="1452" t="s">
        <v>1835</v>
      </c>
      <c r="L68" s="1452">
        <f ca="1">IF(M49&gt;10000,M49*0.5%,IF(AND(M49&gt;5000,M49&lt;=10000),M49*1%,IF(AND(M49&gt;1000,M49&lt;=5000),M49*2%,IF(AND(M49&gt;200,M49&lt;=1000),M49*3%,M49*5%))))</f>
        <v>820.39</v>
      </c>
      <c r="M68" s="308">
        <f ca="1">ROUND(L68,1)</f>
        <v>820.4</v>
      </c>
      <c r="N68" s="2717"/>
      <c r="Z68" s="1887"/>
      <c r="AI68" s="1888"/>
    </row>
    <row r="69" spans="1:35" s="1907" customFormat="1" ht="16.5" customHeight="1">
      <c r="A69" s="1946"/>
      <c r="B69" s="1947"/>
      <c r="C69" s="1948"/>
      <c r="D69" s="1949"/>
      <c r="E69" s="1950"/>
      <c r="F69" s="1713"/>
      <c r="G69" s="1713"/>
      <c r="H69" s="1712"/>
      <c r="I69" s="1882"/>
      <c r="J69" s="3386"/>
      <c r="K69" s="1452" t="s">
        <v>1836</v>
      </c>
      <c r="L69" s="1452"/>
      <c r="M69" s="308">
        <f ca="1">ROUND(SUM(M63:M68),0)</f>
        <v>2647</v>
      </c>
      <c r="N69" s="2719">
        <f ca="1">M69/M49</f>
        <v>1.613257109423567E-2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30" t="s">
        <v>1837</v>
      </c>
      <c r="B70" s="3431"/>
      <c r="C70" s="3431"/>
      <c r="D70" s="3431"/>
      <c r="E70" s="3431"/>
      <c r="F70" s="3431"/>
      <c r="G70" s="3431"/>
      <c r="H70" s="3431"/>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22" t="s">
        <v>1818</v>
      </c>
      <c r="B71" s="3423"/>
      <c r="C71" s="2158"/>
      <c r="D71" s="2158" t="s">
        <v>1819</v>
      </c>
      <c r="E71" s="185" t="s">
        <v>1820</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1838</v>
      </c>
      <c r="C72" s="2742">
        <f ca="1">ROUND(D45/(1+'数据-取费表'!C42),0)</f>
        <v>156265</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1839</v>
      </c>
      <c r="C73" s="2742">
        <f ca="1">C74+C78</f>
        <v>781</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1840</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1841</v>
      </c>
      <c r="C75" s="2745"/>
      <c r="D75" s="175" t="s">
        <v>32</v>
      </c>
      <c r="E75" s="190" t="s">
        <v>1842</v>
      </c>
      <c r="F75" s="2746"/>
      <c r="G75" s="190" t="s">
        <v>1843</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1844</v>
      </c>
      <c r="C76" s="175">
        <f>IF(F75="购房发票",ROUND(C75*H75*D76,0),0)</f>
        <v>0</v>
      </c>
      <c r="D76" s="2748">
        <v>0.05</v>
      </c>
      <c r="E76" s="3427" t="s">
        <v>1845</v>
      </c>
      <c r="F76" s="3426"/>
      <c r="G76" s="3426"/>
      <c r="H76" s="3429"/>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1846</v>
      </c>
      <c r="C77" s="175">
        <f>ROUND(IF(G77="个人住宅",0,IF(G77="2016年5月1日前购买",C75*D77,C75*D77/(1+'数据-取费表'!C42))),0)</f>
        <v>0</v>
      </c>
      <c r="D77" s="2749">
        <f>'数据-取费表'!B48+'数据-取费表'!B49</f>
        <v>3.0499999999999999E-2</v>
      </c>
      <c r="E77" s="2496" t="s">
        <v>1847</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1848</v>
      </c>
      <c r="C78" s="2750">
        <f ca="1">ROUND(D45*D78/(1+'数据-取费表'!C42),0)</f>
        <v>781</v>
      </c>
      <c r="D78" s="2751">
        <f>'数据-取费表'!B43</f>
        <v>5.000000000000001E-3</v>
      </c>
      <c r="E78" s="3419" t="s">
        <v>1849</v>
      </c>
      <c r="F78" s="3420"/>
      <c r="G78" s="3420"/>
      <c r="H78" s="3421"/>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1850</v>
      </c>
      <c r="C79" s="2742">
        <f ca="1">C72-C73</f>
        <v>155484</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1851</v>
      </c>
      <c r="C80" s="2752">
        <f ca="1">IF(C79&lt;=0,0,C79/C73)</f>
        <v>199.08322663252241</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1852</v>
      </c>
      <c r="C81" s="2753">
        <f ca="1">ROUND(IF(C79&lt;=0,0,IF(C80&gt;=200%,C79*60%-C73*35%,IF(C80&gt;=100%,C79*50%-C73*15%,IF(C80&gt;=50%,C79*40%-C73*5%,IF(C80&lt;50%,C79*30%,0))))),0)</f>
        <v>93017</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30" t="s">
        <v>1853</v>
      </c>
      <c r="B83" s="3431"/>
      <c r="C83" s="3431"/>
      <c r="D83" s="3431"/>
      <c r="E83" s="3431"/>
      <c r="F83" s="3431"/>
      <c r="G83" s="3431"/>
      <c r="H83" s="3431"/>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22" t="s">
        <v>1818</v>
      </c>
      <c r="B84" s="3423"/>
      <c r="C84" s="2158"/>
      <c r="D84" s="2158" t="s">
        <v>1819</v>
      </c>
      <c r="E84" s="185" t="s">
        <v>1820</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1838</v>
      </c>
      <c r="C85" s="2742">
        <f ca="1">ROUND(D45/(1+'数据-取费表'!C42),0)</f>
        <v>156265</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1839</v>
      </c>
      <c r="C86" s="2742">
        <f ca="1">IF(H88="仅含出让金",C87+C90+C91+C92+C93+C94,C87+C91+C92+C93+C94)</f>
        <v>781</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1854</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1855</v>
      </c>
      <c r="C88" s="2756"/>
      <c r="D88" s="2751"/>
      <c r="E88" s="199" t="s">
        <v>1856</v>
      </c>
      <c r="F88" s="2499"/>
      <c r="G88" s="200" t="s">
        <v>1857</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1846</v>
      </c>
      <c r="C89" s="2750">
        <f>ROUND(C88*D89,0)</f>
        <v>0</v>
      </c>
      <c r="D89" s="2751">
        <f>'数据-取费表'!B48+'数据-取费表'!B49</f>
        <v>3.0499999999999999E-2</v>
      </c>
      <c r="E89" s="199" t="s">
        <v>1858</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1859</v>
      </c>
      <c r="C90" s="2756"/>
      <c r="D90" s="2751"/>
      <c r="E90" s="199" t="str">
        <f>IF(H88="-","土地取得成本中已包含该笔费用"," ")</f>
        <v xml:space="preserve"> </v>
      </c>
      <c r="F90" s="2499"/>
      <c r="G90" s="3388" t="s">
        <v>2627</v>
      </c>
      <c r="H90" s="3389"/>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1860</v>
      </c>
      <c r="B91" s="175" t="s">
        <v>1861</v>
      </c>
      <c r="C91" s="2750">
        <f>IF(H91="——",成本法!C33,I91)</f>
        <v>0</v>
      </c>
      <c r="D91" s="2751"/>
      <c r="E91" s="3419" t="s">
        <v>1862</v>
      </c>
      <c r="F91" s="3420"/>
      <c r="G91" s="342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1863</v>
      </c>
      <c r="B92" s="175" t="s">
        <v>1864</v>
      </c>
      <c r="C92" s="2750">
        <f>ROUND((C87+C90+C91)*D92,0)</f>
        <v>0</v>
      </c>
      <c r="D92" s="2757"/>
      <c r="E92" s="3419" t="s">
        <v>1865</v>
      </c>
      <c r="F92" s="3420"/>
      <c r="G92" s="3420"/>
      <c r="H92" s="3421"/>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1866</v>
      </c>
      <c r="B93" s="175" t="s">
        <v>1848</v>
      </c>
      <c r="C93" s="2750">
        <f ca="1">ROUND(D45*D93/(1+'数据-取费表'!C42),0)</f>
        <v>781</v>
      </c>
      <c r="D93" s="2751">
        <f>'数据-取费表'!B43</f>
        <v>5.000000000000001E-3</v>
      </c>
      <c r="E93" s="3419" t="s">
        <v>1849</v>
      </c>
      <c r="F93" s="3420"/>
      <c r="G93" s="3420"/>
      <c r="H93" s="3421"/>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1867</v>
      </c>
      <c r="B94" s="175" t="s">
        <v>1868</v>
      </c>
      <c r="C94" s="2756">
        <f>ROUND((C87+C90+C91)*D94,0)</f>
        <v>0</v>
      </c>
      <c r="D94" s="2751">
        <v>0.2</v>
      </c>
      <c r="E94" s="3467" t="s">
        <v>1869</v>
      </c>
      <c r="F94" s="3468"/>
      <c r="G94" s="3468"/>
      <c r="H94" s="346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1850</v>
      </c>
      <c r="C95" s="2742">
        <f ca="1">ROUND(C85-C86,0)</f>
        <v>155484</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1851</v>
      </c>
      <c r="C96" s="2752">
        <f ca="1">IF(C95&lt;=0,0,C95/C86)</f>
        <v>199.08322663252241</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1852</v>
      </c>
      <c r="C97" s="2753">
        <f ca="1">ROUND(IF(C95&lt;=0,0,IF(C96&gt;=200%,C95*60%-C86*35%,IF(C96&gt;=100%,C95*50%-C86*15%,IF(C96&gt;=50%,C95*40%-C86*5%,IF(C96&lt;50%,C95*30%,0))))),0)</f>
        <v>93017</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1870</v>
      </c>
      <c r="B99" s="1882"/>
      <c r="C99" s="1882"/>
      <c r="D99" s="1882"/>
      <c r="E99" s="1713"/>
      <c r="F99" s="1713"/>
      <c r="G99" s="1713"/>
      <c r="H99" s="1712"/>
      <c r="I99" s="134"/>
    </row>
    <row r="100" spans="1:35" ht="18.75" customHeight="1">
      <c r="A100" s="3362" t="s">
        <v>1871</v>
      </c>
      <c r="B100" s="3363"/>
      <c r="C100" s="3363"/>
      <c r="D100" s="3404"/>
      <c r="E100" s="3363" t="s">
        <v>1872</v>
      </c>
      <c r="F100" s="3363"/>
      <c r="G100" s="3363"/>
      <c r="H100" s="3404"/>
      <c r="I100" s="134"/>
    </row>
    <row r="101" spans="1:35" ht="18.75" customHeight="1">
      <c r="A101" s="3412" t="s">
        <v>1873</v>
      </c>
      <c r="B101" s="3413"/>
      <c r="C101" s="2759" t="str">
        <f>C4</f>
        <v>成本法</v>
      </c>
      <c r="D101" s="2760" t="str">
        <f>D4</f>
        <v>收益法（汇总）</v>
      </c>
      <c r="E101" s="3382" t="s">
        <v>1874</v>
      </c>
      <c r="F101" s="3383"/>
      <c r="G101" s="1962" t="s">
        <v>1875</v>
      </c>
      <c r="H101" s="2769">
        <f ca="1">H118</f>
        <v>164078</v>
      </c>
      <c r="I101" s="134"/>
    </row>
    <row r="102" spans="1:35" ht="18.75" customHeight="1">
      <c r="A102" s="3414" t="s">
        <v>1876</v>
      </c>
      <c r="B102" s="2758" t="s">
        <v>1875</v>
      </c>
      <c r="C102" s="2759">
        <f ca="1">C19</f>
        <v>166071</v>
      </c>
      <c r="D102" s="2760">
        <f ca="1">D19</f>
        <v>162085</v>
      </c>
      <c r="E102" s="3382"/>
      <c r="F102" s="3383"/>
      <c r="G102" s="1962" t="s">
        <v>1877</v>
      </c>
      <c r="H102" s="2729">
        <f ca="1">I118</f>
        <v>6765</v>
      </c>
      <c r="I102" s="134"/>
    </row>
    <row r="103" spans="1:35" ht="42.75" customHeight="1">
      <c r="A103" s="3414"/>
      <c r="B103" s="2758" t="s">
        <v>1877</v>
      </c>
      <c r="C103" s="2761">
        <f ca="1">C20</f>
        <v>6847</v>
      </c>
      <c r="D103" s="2762">
        <f ca="1">D20</f>
        <v>6683</v>
      </c>
      <c r="E103" s="3375" t="s">
        <v>1878</v>
      </c>
      <c r="F103" s="3376"/>
      <c r="G103" s="1963" t="s">
        <v>1879</v>
      </c>
      <c r="H103" s="2769">
        <f>IF(D36="正常操作",H104+H105+H106,H105+H106)</f>
        <v>0</v>
      </c>
      <c r="I103" s="134"/>
    </row>
    <row r="104" spans="1:35" ht="18.75" customHeight="1">
      <c r="A104" s="3414" t="s">
        <v>1880</v>
      </c>
      <c r="B104" s="2763" t="s">
        <v>1875</v>
      </c>
      <c r="C104" s="2764">
        <f ca="1">H118</f>
        <v>164078</v>
      </c>
      <c r="D104" s="2765"/>
      <c r="E104" s="1809" t="s">
        <v>1881</v>
      </c>
      <c r="F104" s="1801"/>
      <c r="G104" s="1963" t="s">
        <v>1879</v>
      </c>
      <c r="H104" s="2770">
        <f>IF(D36="同一抵押权人同一抵押物续贷",C36&amp;"（续贷，未扣减，详见特别提示）",C36)</f>
        <v>0</v>
      </c>
      <c r="I104" s="134"/>
    </row>
    <row r="105" spans="1:35" ht="18.75" customHeight="1" thickBot="1">
      <c r="A105" s="3424"/>
      <c r="B105" s="2766" t="s">
        <v>1877</v>
      </c>
      <c r="C105" s="2767">
        <f ca="1">I118</f>
        <v>6765</v>
      </c>
      <c r="D105" s="2768"/>
      <c r="E105" s="1809" t="s">
        <v>1882</v>
      </c>
      <c r="F105" s="1801"/>
      <c r="G105" s="1963" t="s">
        <v>1879</v>
      </c>
      <c r="H105" s="2771">
        <f>C37</f>
        <v>0</v>
      </c>
      <c r="I105" s="134"/>
    </row>
    <row r="106" spans="1:35" ht="18.75" customHeight="1">
      <c r="A106" s="1882" t="s">
        <v>1883</v>
      </c>
      <c r="B106" s="1882"/>
      <c r="C106" s="1882"/>
      <c r="D106" s="1882"/>
      <c r="E106" s="1964" t="s">
        <v>1884</v>
      </c>
      <c r="F106" s="1801"/>
      <c r="G106" s="1963" t="s">
        <v>1879</v>
      </c>
      <c r="H106" s="2771">
        <f>C38</f>
        <v>0</v>
      </c>
      <c r="I106" s="134"/>
    </row>
    <row r="107" spans="1:35" ht="18.75" customHeight="1">
      <c r="A107" s="134"/>
      <c r="B107" s="134"/>
      <c r="C107" s="134"/>
      <c r="D107" s="134"/>
      <c r="E107" s="3415" t="str">
        <f>IF(项目基本情况!E8="已注销","——","3.房地产抵押价值")</f>
        <v>3.房地产抵押价值</v>
      </c>
      <c r="F107" s="3383"/>
      <c r="G107" s="1962" t="s">
        <v>1875</v>
      </c>
      <c r="H107" s="2769">
        <f ca="1">IF(E107="——","——",H101-H103)</f>
        <v>164078</v>
      </c>
      <c r="I107" s="134"/>
    </row>
    <row r="108" spans="1:35" ht="18.75" customHeight="1">
      <c r="A108" s="134"/>
      <c r="B108" s="134"/>
      <c r="C108" s="134"/>
      <c r="D108" s="134"/>
      <c r="E108" s="3415"/>
      <c r="F108" s="3383"/>
      <c r="G108" s="1962" t="s">
        <v>1877</v>
      </c>
      <c r="H108" s="2729">
        <f ca="1">ROUND(H107*10000/'数据-汇总表'!E3,0)</f>
        <v>6765</v>
      </c>
      <c r="I108" s="134"/>
    </row>
    <row r="109" spans="1:35" ht="18.75" customHeight="1">
      <c r="A109" s="134"/>
      <c r="B109" s="134"/>
      <c r="C109" s="134"/>
      <c r="D109" s="134"/>
      <c r="E109" s="3415" t="str">
        <f>IF(项目基本情况!E8="已注销及未注销","4.抵押担保权已注销时的房地产抵押价值",IF(项目基本情况!E8="已注销","3.抵押担保权已注销时的房地产抵押价值","——"))</f>
        <v>——</v>
      </c>
      <c r="F109" s="3383"/>
      <c r="G109" s="1962" t="s">
        <v>1875</v>
      </c>
      <c r="H109" s="2772" t="str">
        <f>IF(E109="——","——",H101-H105-H106)</f>
        <v>——</v>
      </c>
      <c r="I109" s="134"/>
    </row>
    <row r="110" spans="1:35" ht="18.75" customHeight="1">
      <c r="A110" s="134"/>
      <c r="B110" s="134"/>
      <c r="C110" s="134"/>
      <c r="D110" s="134"/>
      <c r="E110" s="3415"/>
      <c r="F110" s="3383"/>
      <c r="G110" s="1962" t="s">
        <v>1877</v>
      </c>
      <c r="H110" s="2729" t="str">
        <f>IF(H109="——","——",ROUND(H109*10000/'数据-汇总表'!E3,0))</f>
        <v>——</v>
      </c>
      <c r="I110" s="134"/>
    </row>
    <row r="111" spans="1:35" ht="18.75" customHeight="1">
      <c r="A111" s="134"/>
      <c r="B111" s="134"/>
      <c r="C111" s="134"/>
      <c r="D111" s="134"/>
      <c r="E111" s="3416" t="str">
        <f>IF(项目基本情况!E9="抵押净值",IF(OR(项目基本情况!E8="已注销",项目基本情况!E8="房地产抵押价值"),"4.抵押净值","5.抵押净值"),"——")</f>
        <v>——</v>
      </c>
      <c r="F111" s="3402"/>
      <c r="G111" s="1962" t="s">
        <v>1875</v>
      </c>
      <c r="H111" s="2769" t="str">
        <f>IF(E111="——","——",N59)</f>
        <v>——</v>
      </c>
      <c r="I111" s="134"/>
    </row>
    <row r="112" spans="1:35" ht="18.75" customHeight="1" thickBot="1">
      <c r="A112" s="134"/>
      <c r="B112" s="134"/>
      <c r="C112" s="134"/>
      <c r="D112" s="134"/>
      <c r="E112" s="3417"/>
      <c r="F112" s="3418"/>
      <c r="G112" s="1965" t="s">
        <v>1877</v>
      </c>
      <c r="H112" s="2773" t="str">
        <f>IF(E111="——","——",N61)</f>
        <v>——</v>
      </c>
      <c r="I112" s="134"/>
    </row>
    <row r="113" spans="1:27" ht="18.75" customHeight="1">
      <c r="A113" s="134"/>
      <c r="B113" s="134"/>
      <c r="C113" s="134"/>
      <c r="D113" s="134"/>
      <c r="E113" s="3425" t="s">
        <v>1883</v>
      </c>
      <c r="F113" s="3425"/>
      <c r="G113" s="3425"/>
      <c r="H113" s="3425"/>
      <c r="I113" s="134"/>
    </row>
    <row r="114" spans="1:27" ht="3.75" customHeight="1">
      <c r="A114" s="1882"/>
      <c r="B114" s="1882"/>
      <c r="C114" s="1882"/>
      <c r="D114" s="1882"/>
      <c r="E114" s="1944"/>
      <c r="F114" s="1944"/>
      <c r="G114" s="1944"/>
      <c r="H114" s="1944"/>
      <c r="I114" s="1882"/>
    </row>
    <row r="115" spans="1:27" ht="18.75" customHeight="1">
      <c r="A115" s="3436" t="s">
        <v>1885</v>
      </c>
      <c r="B115" s="3437"/>
      <c r="C115" s="3437"/>
      <c r="D115" s="3437"/>
      <c r="E115" s="3437"/>
      <c r="F115" s="3437"/>
      <c r="G115" s="3437"/>
      <c r="H115" s="3437"/>
      <c r="I115" s="3438"/>
    </row>
    <row r="116" spans="1:27" ht="27" customHeight="1">
      <c r="A116" s="3390" t="s">
        <v>1886</v>
      </c>
      <c r="B116" s="3394" t="s">
        <v>1887</v>
      </c>
      <c r="C116" s="3394" t="s">
        <v>1888</v>
      </c>
      <c r="D116" s="3400" t="s">
        <v>1889</v>
      </c>
      <c r="E116" s="3401"/>
      <c r="F116" s="3432" t="s">
        <v>1890</v>
      </c>
      <c r="G116" s="3432"/>
      <c r="H116" s="3390" t="s">
        <v>1891</v>
      </c>
      <c r="I116" s="3390"/>
    </row>
    <row r="117" spans="1:27" ht="18.75" customHeight="1">
      <c r="A117" s="3390"/>
      <c r="B117" s="3395"/>
      <c r="C117" s="3395"/>
      <c r="D117" s="2501" t="s">
        <v>1892</v>
      </c>
      <c r="E117" s="2501" t="s">
        <v>1893</v>
      </c>
      <c r="F117" s="2501" t="s">
        <v>1892</v>
      </c>
      <c r="G117" s="2501" t="s">
        <v>1894</v>
      </c>
      <c r="H117" s="2501" t="s">
        <v>1892</v>
      </c>
      <c r="I117" s="2501" t="s">
        <v>1894</v>
      </c>
    </row>
    <row r="118" spans="1:27" ht="24.75" customHeight="1">
      <c r="A118" s="2774" t="str">
        <f>项目基本情况!S2</f>
        <v>北京市房地产</v>
      </c>
      <c r="B118" s="2501">
        <f>M18</f>
        <v>242531.24</v>
      </c>
      <c r="C118" s="2501">
        <f>M19</f>
        <v>118122.57</v>
      </c>
      <c r="D118" s="2501">
        <f ca="1">ROUND(IF(D32="总价",C34,E118*B118/10000),0)</f>
        <v>51849</v>
      </c>
      <c r="E118" s="2501">
        <f ca="1">ROUND(IF(C33="自定义",IF(D32="楼面单价",C34,D118*10000/B118),I118-G118),0)</f>
        <v>2138</v>
      </c>
      <c r="F118" s="2501">
        <f ca="1">ROUND(IF(D32="总价",C35,G118*B118/10000),0)</f>
        <v>112229</v>
      </c>
      <c r="G118" s="2501">
        <f ca="1">ROUND(IF(D32="楼面单价",C35,F118*10000/B118),0)</f>
        <v>4627</v>
      </c>
      <c r="H118" s="2501">
        <f ca="1">ROUND(IF(D32="总价",C32,I118*B118/10000),0)</f>
        <v>164078</v>
      </c>
      <c r="I118" s="2501">
        <f ca="1">ROUND(IF(D32="楼面单价",C32,H118*10000/B118),0)</f>
        <v>6765</v>
      </c>
    </row>
    <row r="119" spans="1:27" ht="18.75" customHeight="1">
      <c r="A119" s="3390" t="s">
        <v>1895</v>
      </c>
      <c r="B119" s="3390"/>
      <c r="C119" s="3390"/>
      <c r="D119" s="3396" t="str">
        <f ca="1">NUMBERSTRING(INT(D118*10000),2)&amp;"元整"</f>
        <v>伍亿壹仟捌佰肆拾玖万元整</v>
      </c>
      <c r="E119" s="3397"/>
      <c r="F119" s="3396" t="str">
        <f ca="1">NUMBERSTRING(INT(F118*10000),2)&amp;"元整"</f>
        <v>壹拾壹亿贰仟贰佰贰拾玖万元整</v>
      </c>
      <c r="G119" s="3397"/>
      <c r="H119" s="3396" t="str">
        <f ca="1">NUMBERSTRING(INT(H118*10000),2)&amp;"元整"</f>
        <v>壹拾陆亿肆仟零柒拾捌万元整</v>
      </c>
      <c r="I119" s="3397"/>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33" t="s">
        <v>1895</v>
      </c>
      <c r="B121" s="3434"/>
      <c r="C121" s="3435"/>
      <c r="D121" s="3396" t="str">
        <f>IF(D120=0,"零元整",NUMBERSTRING(INT(D120*10000),2)&amp;"元整")</f>
        <v>零元整</v>
      </c>
      <c r="E121" s="3398"/>
      <c r="F121" s="3398"/>
      <c r="G121" s="3398"/>
      <c r="H121" s="3398"/>
      <c r="I121" s="3397"/>
      <c r="AA121" s="734"/>
    </row>
    <row r="122" spans="1:27" ht="18.75" customHeight="1">
      <c r="A122" s="3402" t="str">
        <f>IF(项目基本情况!B9="房地产市场价值","",MID(E107,3,LEN(E107)-2))</f>
        <v>房地产抵押价值</v>
      </c>
      <c r="B122" s="3402"/>
      <c r="C122" s="3402"/>
      <c r="D122" s="3391">
        <f ca="1">H107</f>
        <v>164078</v>
      </c>
      <c r="E122" s="3392"/>
      <c r="F122" s="3392"/>
      <c r="G122" s="3392"/>
      <c r="H122" s="3392"/>
      <c r="I122" s="3393"/>
      <c r="AA122" s="734"/>
    </row>
    <row r="123" spans="1:27" ht="18.75" customHeight="1">
      <c r="A123" s="3390" t="s">
        <v>1895</v>
      </c>
      <c r="B123" s="3390"/>
      <c r="C123" s="3390"/>
      <c r="D123" s="3396" t="str">
        <f ca="1">NUMBERSTRING(INT(D122*10000),2)&amp;"元整"</f>
        <v>壹拾陆亿肆仟零柒拾捌万元整</v>
      </c>
      <c r="E123" s="3398"/>
      <c r="F123" s="3398"/>
      <c r="G123" s="3398"/>
      <c r="H123" s="3398"/>
      <c r="I123" s="3397"/>
      <c r="AA123" s="734"/>
    </row>
    <row r="124" spans="1:27" ht="18.75" customHeight="1">
      <c r="A124" s="3402" t="str">
        <f>IF(项目基本情况!B9="房地产市场价值","",MID(E109,3,LEN(E109)-2))</f>
        <v/>
      </c>
      <c r="B124" s="3402"/>
      <c r="C124" s="3402"/>
      <c r="D124" s="3391" t="str">
        <f>H109</f>
        <v>——</v>
      </c>
      <c r="E124" s="3392"/>
      <c r="F124" s="3392"/>
      <c r="G124" s="3392"/>
      <c r="H124" s="3392"/>
      <c r="I124" s="3393"/>
      <c r="AA124" s="734"/>
    </row>
    <row r="125" spans="1:27" ht="18.75" customHeight="1">
      <c r="A125" s="3390" t="s">
        <v>1895</v>
      </c>
      <c r="B125" s="3390"/>
      <c r="C125" s="3390"/>
      <c r="D125" s="3396" t="e">
        <f>NUMBERSTRING(INT(D124*10000),2)&amp;"元整"</f>
        <v>#VALUE!</v>
      </c>
      <c r="E125" s="3398"/>
      <c r="F125" s="3398"/>
      <c r="G125" s="3398"/>
      <c r="H125" s="3398"/>
      <c r="I125" s="3397"/>
      <c r="AA125" s="734"/>
    </row>
    <row r="126" spans="1:27" ht="18.75" customHeight="1">
      <c r="A126" s="3402" t="str">
        <f>IF(项目基本情况!B9="房地产市场价值","",MID(E111,3,LEN(E111)-2))</f>
        <v/>
      </c>
      <c r="B126" s="3402"/>
      <c r="C126" s="3402"/>
      <c r="D126" s="3391" t="str">
        <f>H111</f>
        <v>——</v>
      </c>
      <c r="E126" s="3392"/>
      <c r="F126" s="3392"/>
      <c r="G126" s="3392"/>
      <c r="H126" s="3392"/>
      <c r="I126" s="3393"/>
      <c r="AA126" s="734"/>
    </row>
    <row r="127" spans="1:27" ht="18.75" customHeight="1">
      <c r="A127" s="3390" t="s">
        <v>1895</v>
      </c>
      <c r="B127" s="3390"/>
      <c r="C127" s="3390"/>
      <c r="D127" s="3396" t="e">
        <f>NUMBERSTRING(INT(D126*10000),2)&amp;"元整"</f>
        <v>#VALUE!</v>
      </c>
      <c r="E127" s="3398"/>
      <c r="F127" s="3398"/>
      <c r="G127" s="3398"/>
      <c r="H127" s="3398"/>
      <c r="I127" s="3397"/>
      <c r="AA127" s="734"/>
    </row>
    <row r="128" spans="1:27" ht="21.75" customHeight="1">
      <c r="A128" s="3399" t="s">
        <v>1896</v>
      </c>
      <c r="B128" s="3399"/>
      <c r="C128" s="3399"/>
      <c r="D128" s="3399"/>
      <c r="E128" s="3399"/>
      <c r="F128" s="3399"/>
      <c r="G128" s="3399"/>
      <c r="H128" s="3399"/>
      <c r="I128" s="3399"/>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6" t="str">
        <f>项目基本情况!B1</f>
        <v>北京市房地产抵押价值预评估</v>
      </c>
      <c r="C37" s="3276"/>
      <c r="D37" s="3276"/>
      <c r="E37" s="3276"/>
      <c r="F37" s="3276"/>
      <c r="G37" s="3276"/>
      <c r="H37" s="3276"/>
      <c r="I37" s="3276"/>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2" sqref="L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1">
        <f>MATCH(B1,'数据-取费表'!A6:A16,0)+5</f>
        <v>9</v>
      </c>
    </row>
    <row r="2" spans="1:9" s="206" customFormat="1" ht="18" customHeight="1">
      <c r="A2" s="207" t="s">
        <v>1905</v>
      </c>
      <c r="B2" s="208">
        <f ca="1">IF(D2="——",C52,C52-E2)</f>
        <v>166071</v>
      </c>
      <c r="C2" s="205" t="s">
        <v>1906</v>
      </c>
      <c r="D2" s="1988" t="s">
        <v>70</v>
      </c>
      <c r="E2" s="1284"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6847</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37686</v>
      </c>
      <c r="D5" s="217" t="s">
        <v>1912</v>
      </c>
      <c r="E5" s="218" t="s">
        <v>1913</v>
      </c>
      <c r="F5" s="218" t="s">
        <v>1914</v>
      </c>
      <c r="G5" s="219"/>
    </row>
    <row r="6" spans="1:9" s="220" customFormat="1" ht="13.5" customHeight="1">
      <c r="A6" s="867" t="s">
        <v>1915</v>
      </c>
      <c r="B6" s="221" t="s">
        <v>1916</v>
      </c>
      <c r="C6" s="222">
        <f>'土地比较法-工业'!B2</f>
        <v>32099</v>
      </c>
      <c r="D6" s="223"/>
      <c r="E6" s="224"/>
      <c r="F6" s="224"/>
      <c r="G6" s="225"/>
    </row>
    <row r="7" spans="1:9" s="220" customFormat="1" ht="13.5" customHeight="1">
      <c r="A7" s="867" t="s">
        <v>1917</v>
      </c>
      <c r="B7" s="221" t="s">
        <v>1918</v>
      </c>
      <c r="C7" s="226">
        <f>ROUND(C6*F7,0)</f>
        <v>979</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4608</v>
      </c>
      <c r="D8" s="228"/>
      <c r="E8" s="226"/>
      <c r="F8" s="227"/>
      <c r="G8" s="1991" t="s">
        <v>3497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2" t="s">
        <v>3498</v>
      </c>
      <c r="H9" s="1252"/>
      <c r="I9" s="1993" t="s">
        <v>1922</v>
      </c>
    </row>
    <row r="10" spans="1:9" s="220" customFormat="1" ht="13.5" customHeight="1">
      <c r="A10" s="868" t="s">
        <v>620</v>
      </c>
      <c r="B10" s="230" t="s">
        <v>1923</v>
      </c>
      <c r="C10" s="231">
        <f ca="1">ROUND(D10*E10/10000,0)</f>
        <v>4608</v>
      </c>
      <c r="D10" s="935">
        <f ca="1">IF(B1="",'数据-汇总表'!E6,IF(INDIRECT("'数据-取费表'!c"&amp;$G$1)="住宅",INDIRECT("'数据-取费表'!s"&amp;$G$1),INDIRECT("'数据-取费表'!k"&amp;$G$1)+INDIRECT("'数据-取费表'!s"&amp;$G$1)))</f>
        <v>242531.24</v>
      </c>
      <c r="E10" s="231">
        <f>'数据-取费表'!B28</f>
        <v>190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242531.24</v>
      </c>
      <c r="E19" s="217">
        <f>'数据-取费表'!B31</f>
        <v>150</v>
      </c>
      <c r="F19" s="237"/>
      <c r="G19" s="1991" t="s">
        <v>3499</v>
      </c>
    </row>
    <row r="20" spans="1:7" s="220" customFormat="1" ht="13.5" customHeight="1">
      <c r="A20" s="261" t="s">
        <v>1936</v>
      </c>
      <c r="B20" s="216" t="s">
        <v>1937</v>
      </c>
      <c r="C20" s="238">
        <f ca="1">ROUND((C5+C19)*F20,0)</f>
        <v>754</v>
      </c>
      <c r="D20" s="238"/>
      <c r="E20" s="238"/>
      <c r="F20" s="239">
        <f>'数据-取费表'!B37</f>
        <v>0.02</v>
      </c>
      <c r="G20" s="240" t="s">
        <v>1938</v>
      </c>
    </row>
    <row r="21" spans="1:7" s="220" customFormat="1" ht="13.5" customHeight="1">
      <c r="A21" s="261" t="s">
        <v>1939</v>
      </c>
      <c r="B21" s="216" t="s">
        <v>1940</v>
      </c>
      <c r="C21" s="241">
        <f>F21</f>
        <v>0.02</v>
      </c>
      <c r="D21" s="242" t="s">
        <v>1941</v>
      </c>
      <c r="E21" s="238"/>
      <c r="F21" s="239">
        <f>'数据-取费表'!B38</f>
        <v>0.02</v>
      </c>
      <c r="G21" s="240" t="s">
        <v>1942</v>
      </c>
    </row>
    <row r="22" spans="1:7" s="220" customFormat="1" ht="13.5" customHeight="1">
      <c r="A22" s="261" t="s">
        <v>1943</v>
      </c>
      <c r="B22" s="216" t="s">
        <v>1944</v>
      </c>
      <c r="C22" s="1217">
        <f ca="1">ROUND(SUM(C23:C25),0)</f>
        <v>4999</v>
      </c>
      <c r="D22" s="241">
        <f ca="1">C26</f>
        <v>1.2999999999999999E-3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4951</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48</v>
      </c>
      <c r="D25" s="244"/>
      <c r="E25" s="247"/>
      <c r="F25" s="245"/>
      <c r="G25" s="248" t="s">
        <v>1953</v>
      </c>
    </row>
    <row r="26" spans="1:7" s="220" customFormat="1">
      <c r="A26" s="869" t="s">
        <v>614</v>
      </c>
      <c r="B26" s="221" t="s">
        <v>1954</v>
      </c>
      <c r="C26" s="244">
        <f ca="1">ROUND(IF('数据-取费表'!B22&lt;=1,F21*F22*'数据-取费表'!B23/2,F21*(POWER((1+F22),'数据-取费表'!B23/2)-1)),4)</f>
        <v>1.2999999999999999E-3</v>
      </c>
      <c r="D26" s="244"/>
      <c r="E26" s="247"/>
      <c r="F26" s="245"/>
      <c r="G26" s="249"/>
    </row>
    <row r="27" spans="1:7" s="220" customFormat="1" ht="24.75">
      <c r="A27" s="261" t="s">
        <v>1955</v>
      </c>
      <c r="B27" s="250" t="s">
        <v>1956</v>
      </c>
      <c r="C27" s="251">
        <f ca="1">C28</f>
        <v>4997</v>
      </c>
      <c r="D27" s="241">
        <f ca="1">C29</f>
        <v>2.5999999999999999E-3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ROUND((C5+C19+C20)*F27*'数据-取费表'!B21/'数据-取费表'!B20,0)</f>
        <v>4997</v>
      </c>
      <c r="D28" s="241"/>
      <c r="E28" s="242"/>
      <c r="F28" s="252"/>
      <c r="G28" s="253"/>
    </row>
    <row r="29" spans="1:7" s="220" customFormat="1" ht="13.5" customHeight="1">
      <c r="A29" s="869" t="s">
        <v>611</v>
      </c>
      <c r="B29" s="254" t="s">
        <v>1960</v>
      </c>
      <c r="C29" s="244">
        <f ca="1">ROUND(C21*F27*'数据-取费表'!B21/'数据-取费表'!B20,4)</f>
        <v>2.5999999999999999E-3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52437</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88876</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80035</v>
      </c>
      <c r="D34" s="223"/>
      <c r="E34" s="226"/>
      <c r="F34" s="263">
        <f ca="1">IF('数据-取费表'!B24=0,1,IF(B1="",'数据-取费表'!N16,INDIRECT("'数据-取费表'!n"&amp;$G$1)))</f>
        <v>1</v>
      </c>
      <c r="G34" s="225" t="s">
        <v>1969</v>
      </c>
    </row>
    <row r="35" spans="1:7" ht="13.5" customHeight="1">
      <c r="A35" s="869" t="s">
        <v>615</v>
      </c>
      <c r="B35" s="221" t="s">
        <v>1970</v>
      </c>
      <c r="C35" s="226">
        <f ca="1">ROUND(C34*F35,0)</f>
        <v>4002</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3638</v>
      </c>
      <c r="D37" s="223">
        <f ca="1">D19</f>
        <v>242531.24</v>
      </c>
      <c r="E37" s="255">
        <f>'数据-取费表'!B35</f>
        <v>150</v>
      </c>
      <c r="F37" s="265"/>
      <c r="G37" s="267" t="s">
        <v>1975</v>
      </c>
    </row>
    <row r="38" spans="1:7" ht="13.5" customHeight="1">
      <c r="A38" s="869" t="s">
        <v>618</v>
      </c>
      <c r="B38" s="221" t="s">
        <v>1976</v>
      </c>
      <c r="C38" s="226">
        <f ca="1">ROUND(C34*F38,0)</f>
        <v>1201</v>
      </c>
      <c r="D38" s="226"/>
      <c r="E38" s="226"/>
      <c r="F38" s="265">
        <f>'数据-取费表'!B36</f>
        <v>1.4999999999999999E-2</v>
      </c>
      <c r="G38" s="225" t="s">
        <v>1971</v>
      </c>
    </row>
    <row r="39" spans="1:7" s="220" customFormat="1" ht="13.5" customHeight="1">
      <c r="A39" s="261" t="s">
        <v>1977</v>
      </c>
      <c r="B39" s="216" t="s">
        <v>1978</v>
      </c>
      <c r="C39" s="238">
        <f ca="1">ROUND(C33*F20,0)</f>
        <v>1778</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5771</v>
      </c>
      <c r="D41" s="241">
        <f ca="1">C44</f>
        <v>1.2999999999999999E-3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5658</v>
      </c>
      <c r="D42" s="244"/>
      <c r="E42" s="244"/>
      <c r="F42" s="245"/>
      <c r="G42" s="3472" t="s">
        <v>1987</v>
      </c>
    </row>
    <row r="43" spans="1:7" ht="13.5" customHeight="1">
      <c r="A43" s="869" t="s">
        <v>611</v>
      </c>
      <c r="B43" s="221" t="s">
        <v>1988</v>
      </c>
      <c r="C43" s="244">
        <f ca="1">ROUND(IF('数据-取费表'!B22&lt;=1,C39*F22*'数据-取费表'!B21/2,C39*(POWER((1+F22),'数据-取费表'!B21/2)-1)),0)</f>
        <v>113</v>
      </c>
      <c r="D43" s="244"/>
      <c r="E43" s="244"/>
      <c r="F43" s="245"/>
      <c r="G43" s="3473"/>
    </row>
    <row r="44" spans="1:7" ht="13.5" customHeight="1">
      <c r="A44" s="869" t="s">
        <v>612</v>
      </c>
      <c r="B44" s="221" t="s">
        <v>1989</v>
      </c>
      <c r="C44" s="244">
        <f ca="1">ROUND(IF('数据-取费表'!B22&lt;=1,C40*F22*'数据-取费表'!B21/2,C40*(POWER((1+F22),'数据-取费表'!B21/2)-1)),4)</f>
        <v>1.2999999999999999E-3</v>
      </c>
      <c r="D44" s="244"/>
      <c r="E44" s="244"/>
      <c r="F44" s="245"/>
      <c r="G44" s="3474"/>
    </row>
    <row r="45" spans="1:7" s="220" customFormat="1" ht="13.5" customHeight="1">
      <c r="A45" s="261" t="s">
        <v>1990</v>
      </c>
      <c r="B45" s="250" t="s">
        <v>1956</v>
      </c>
      <c r="C45" s="251">
        <f ca="1">C46</f>
        <v>11785</v>
      </c>
      <c r="D45" s="241">
        <f ca="1">C47</f>
        <v>2.5999999999999999E-3</v>
      </c>
      <c r="E45" s="242" t="s">
        <v>1982</v>
      </c>
      <c r="F45" s="2486">
        <f ca="1">F27</f>
        <v>0.13</v>
      </c>
      <c r="G45" s="253" t="s">
        <v>1991</v>
      </c>
    </row>
    <row r="46" spans="1:7" s="220" customFormat="1" ht="13.5" customHeight="1">
      <c r="A46" s="869" t="s">
        <v>610</v>
      </c>
      <c r="B46" s="254" t="s">
        <v>1992</v>
      </c>
      <c r="C46" s="255">
        <f ca="1">ROUND((C33+C39)*F27,0)</f>
        <v>11785</v>
      </c>
      <c r="D46" s="269"/>
      <c r="E46" s="242"/>
      <c r="F46" s="252"/>
      <c r="G46" s="253"/>
    </row>
    <row r="47" spans="1:7" s="220" customFormat="1" ht="13.5" customHeight="1">
      <c r="A47" s="869" t="s">
        <v>611</v>
      </c>
      <c r="B47" s="254" t="s">
        <v>1993</v>
      </c>
      <c r="C47" s="244">
        <f ca="1">ROUND(C40*F27,4)</f>
        <v>2.5999999999999999E-3</v>
      </c>
      <c r="D47" s="269"/>
      <c r="E47" s="242"/>
      <c r="F47" s="252"/>
      <c r="G47" s="253"/>
    </row>
    <row r="48" spans="1:7" s="220" customFormat="1" ht="13.5" customHeight="1">
      <c r="A48" s="261" t="s">
        <v>1955</v>
      </c>
      <c r="B48" s="216" t="s">
        <v>1994</v>
      </c>
      <c r="C48" s="1447">
        <f>ROUND(F30/(1+'数据-取费表'!C42),4)</f>
        <v>5.2400000000000002E-2</v>
      </c>
      <c r="D48" s="242" t="s">
        <v>1982</v>
      </c>
      <c r="E48" s="238"/>
      <c r="F48" s="2485">
        <f>F30</f>
        <v>5.5000000000000007E-2</v>
      </c>
      <c r="G48" s="240" t="s">
        <v>1995</v>
      </c>
    </row>
    <row r="49" spans="1:7" ht="16.5" customHeight="1">
      <c r="A49" s="261" t="s">
        <v>1961</v>
      </c>
      <c r="B49" s="216" t="s">
        <v>1996</v>
      </c>
      <c r="C49" s="238">
        <f ca="1">ROUND((C33+C39+C41+C45)/(1-C40-D41-D45-C48),0)</f>
        <v>117148</v>
      </c>
      <c r="D49" s="238"/>
      <c r="E49" s="238"/>
      <c r="F49" s="270"/>
      <c r="G49" s="240" t="s">
        <v>1997</v>
      </c>
    </row>
    <row r="50" spans="1:7" s="264" customFormat="1" ht="24">
      <c r="A50" s="261" t="s">
        <v>1998</v>
      </c>
      <c r="B50" s="216" t="s">
        <v>1999</v>
      </c>
      <c r="C50" s="238"/>
      <c r="D50" s="238"/>
      <c r="E50" s="238"/>
      <c r="F50" s="270">
        <f>IF('数据-取费表'!B24=0,'数据-取费表'!N16,1)</f>
        <v>0.97</v>
      </c>
      <c r="G50" s="253" t="s">
        <v>2000</v>
      </c>
    </row>
    <row r="51" spans="1:7" ht="16.5" customHeight="1">
      <c r="A51" s="261" t="s">
        <v>2001</v>
      </c>
      <c r="B51" s="216" t="s">
        <v>2002</v>
      </c>
      <c r="C51" s="238">
        <f ca="1">ROUND(C49*F50,0)</f>
        <v>113634</v>
      </c>
      <c r="D51" s="238"/>
      <c r="E51" s="238"/>
      <c r="F51" s="270"/>
      <c r="G51" s="240" t="s">
        <v>2003</v>
      </c>
    </row>
    <row r="52" spans="1:7" s="214" customFormat="1" ht="16.5" thickBot="1">
      <c r="A52" s="271" t="s">
        <v>2004</v>
      </c>
      <c r="B52" s="272"/>
      <c r="C52" s="273">
        <f ca="1">C31+C51</f>
        <v>166071</v>
      </c>
      <c r="D52" s="272"/>
      <c r="E52" s="272"/>
      <c r="F52" s="272"/>
      <c r="G52" s="274"/>
    </row>
    <row r="55" spans="1:7" ht="15">
      <c r="B55" s="276" t="s">
        <v>2005</v>
      </c>
      <c r="C55" s="277"/>
    </row>
    <row r="56" spans="1:7">
      <c r="B56" s="279" t="s">
        <v>1237</v>
      </c>
      <c r="C56" s="281">
        <f ca="1">1-C57</f>
        <v>0.31599999999999995</v>
      </c>
    </row>
    <row r="57" spans="1:7">
      <c r="B57" s="279" t="s">
        <v>1238</v>
      </c>
      <c r="C57" s="280">
        <f ca="1">ROUND(C51/C52,3)</f>
        <v>0.68400000000000005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1">
        <f>MATCH(B1,'数据-取费表'!A6:A16,0)+5</f>
        <v>9</v>
      </c>
      <c r="H1" s="1173" t="str">
        <f>IF(ISERROR(FIND("住宅",B1)),"非住宅","住宅")</f>
        <v>非住宅</v>
      </c>
    </row>
    <row r="2" spans="1:8" s="206" customFormat="1" ht="18" customHeight="1">
      <c r="A2" s="207" t="s">
        <v>1905</v>
      </c>
      <c r="B2" s="208">
        <f ca="1">ROUND(IF(D2="——",C52/10000,C52/10000-E2),0)</f>
        <v>125106</v>
      </c>
      <c r="C2" s="205" t="s">
        <v>1906</v>
      </c>
      <c r="D2" s="1988" t="s">
        <v>70</v>
      </c>
      <c r="E2" s="1284"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5158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46080936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46080936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46080936</v>
      </c>
      <c r="D10" s="935">
        <f ca="1">IF(B1="",'数据-汇总表'!E6,IF(INDIRECT("'数据-取费表'!c"&amp;$G$1)="住宅",INDIRECT("'数据-取费表'!s"&amp;$G$1),INDIRECT("'数据-取费表'!k"&amp;$G$1)+INDIRECT("'数据-取费表'!s"&amp;$G$1)))</f>
        <v>242531.24</v>
      </c>
      <c r="E10" s="231">
        <f>'数据-取费表'!B28</f>
        <v>190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36379686</v>
      </c>
      <c r="D19" s="939">
        <f ca="1">D9+D10</f>
        <v>242531.24</v>
      </c>
      <c r="E19" s="217">
        <f>'数据-取费表'!B31</f>
        <v>150</v>
      </c>
      <c r="F19" s="237"/>
      <c r="G19" s="1991"/>
    </row>
    <row r="20" spans="1:7" s="220" customFormat="1" ht="13.5" customHeight="1">
      <c r="A20" s="261" t="s">
        <v>2017</v>
      </c>
      <c r="B20" s="216" t="s">
        <v>2018</v>
      </c>
      <c r="C20" s="238">
        <f ca="1">ROUND((C5+C19)*F20,0)</f>
        <v>1649212</v>
      </c>
      <c r="D20" s="238"/>
      <c r="E20" s="238"/>
      <c r="F20" s="239">
        <f>'数据-取费表'!B37</f>
        <v>0.02</v>
      </c>
      <c r="G20" s="240" t="s">
        <v>2019</v>
      </c>
    </row>
    <row r="21" spans="1:7" s="220" customFormat="1" ht="13.5" customHeight="1">
      <c r="A21" s="261" t="s">
        <v>2020</v>
      </c>
      <c r="B21" s="216" t="s">
        <v>2021</v>
      </c>
      <c r="C21" s="241">
        <f>F21</f>
        <v>0.02</v>
      </c>
      <c r="D21" s="242" t="s">
        <v>2022</v>
      </c>
      <c r="E21" s="238"/>
      <c r="F21" s="239">
        <f>'数据-取费表'!B38</f>
        <v>0.02</v>
      </c>
      <c r="G21" s="240" t="s">
        <v>2023</v>
      </c>
    </row>
    <row r="22" spans="1:7" s="220" customFormat="1" ht="13.5" customHeight="1">
      <c r="A22" s="261" t="s">
        <v>2024</v>
      </c>
      <c r="B22" s="216" t="s">
        <v>2025</v>
      </c>
      <c r="C22" s="1242">
        <f ca="1">ROUND(SUM(C23:C25),0)</f>
        <v>10937513</v>
      </c>
      <c r="D22" s="241">
        <f ca="1">C26</f>
        <v>1.2999999999999999E-3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6053472</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4779057</v>
      </c>
      <c r="D24" s="244"/>
      <c r="E24" s="244"/>
      <c r="F24" s="245"/>
      <c r="G24" s="246" t="s">
        <v>2029</v>
      </c>
    </row>
    <row r="25" spans="1:7" s="220" customFormat="1" ht="24">
      <c r="A25" s="869" t="s">
        <v>1919</v>
      </c>
      <c r="B25" s="221" t="s">
        <v>2030</v>
      </c>
      <c r="C25" s="1243">
        <f ca="1">ROUND(IF('数据-取费表'!B22&lt;=1,C20*F22*'数据-取费表'!B22/2,C20*(POWER((1+F22),'数据-取费表'!B22/2)-1)),0)</f>
        <v>104984</v>
      </c>
      <c r="D25" s="244"/>
      <c r="E25" s="247"/>
      <c r="F25" s="245"/>
      <c r="G25" s="248" t="s">
        <v>2031</v>
      </c>
    </row>
    <row r="26" spans="1:7" s="220" customFormat="1">
      <c r="A26" s="869" t="s">
        <v>614</v>
      </c>
      <c r="B26" s="221" t="s">
        <v>1954</v>
      </c>
      <c r="C26" s="244">
        <f ca="1">ROUND(IF('数据-取费表'!B22&lt;=1,F21*F22*'数据-取费表'!B22/2,F21*(POWER((1+F22),'数据-取费表'!B22/2)-1)),4)</f>
        <v>1.2999999999999999E-3</v>
      </c>
      <c r="D26" s="244"/>
      <c r="E26" s="247"/>
      <c r="F26" s="245"/>
      <c r="G26" s="249"/>
    </row>
    <row r="27" spans="1:7" s="220" customFormat="1" ht="24.75">
      <c r="A27" s="261" t="s">
        <v>1955</v>
      </c>
      <c r="B27" s="250" t="s">
        <v>1956</v>
      </c>
      <c r="C27" s="251">
        <f ca="1">C28</f>
        <v>10934278</v>
      </c>
      <c r="D27" s="241">
        <f ca="1">C29</f>
        <v>2.5999999999999999E-3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ROUND((C5+C19+C20)*F27,0)</f>
        <v>10934278</v>
      </c>
      <c r="D28" s="241"/>
      <c r="E28" s="242"/>
      <c r="F28" s="252"/>
      <c r="G28" s="253"/>
    </row>
    <row r="29" spans="1:7" s="220" customFormat="1" ht="13.5" customHeight="1">
      <c r="A29" s="869" t="s">
        <v>611</v>
      </c>
      <c r="B29" s="254" t="s">
        <v>1960</v>
      </c>
      <c r="C29" s="244">
        <f ca="1">ROUND(C21*F27,4)</f>
        <v>2.5999999999999999E-3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114735980</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888755729</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800353092</v>
      </c>
      <c r="D34" s="223"/>
      <c r="E34" s="226"/>
      <c r="F34" s="263"/>
      <c r="G34" s="225"/>
    </row>
    <row r="35" spans="1:7" ht="13.5" customHeight="1">
      <c r="A35" s="869" t="s">
        <v>615</v>
      </c>
      <c r="B35" s="221" t="s">
        <v>1970</v>
      </c>
      <c r="C35" s="226">
        <f ca="1">ROUND(C34*F35,0)</f>
        <v>40017655</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36379686</v>
      </c>
      <c r="D37" s="223">
        <f ca="1">D19</f>
        <v>242531.24</v>
      </c>
      <c r="E37" s="255">
        <f>'数据-取费表'!B35</f>
        <v>150</v>
      </c>
      <c r="F37" s="265"/>
      <c r="G37" s="267"/>
    </row>
    <row r="38" spans="1:7" ht="13.5" customHeight="1">
      <c r="A38" s="869" t="s">
        <v>618</v>
      </c>
      <c r="B38" s="221" t="s">
        <v>1976</v>
      </c>
      <c r="C38" s="226">
        <f ca="1">ROUND(C34*F38,0)</f>
        <v>12005296</v>
      </c>
      <c r="D38" s="226"/>
      <c r="E38" s="226"/>
      <c r="F38" s="265">
        <f>'数据-取费表'!B36</f>
        <v>1.4999999999999999E-2</v>
      </c>
      <c r="G38" s="225" t="s">
        <v>1971</v>
      </c>
    </row>
    <row r="39" spans="1:7" s="220" customFormat="1" ht="13.5" customHeight="1">
      <c r="A39" s="261" t="s">
        <v>1977</v>
      </c>
      <c r="B39" s="216" t="s">
        <v>1978</v>
      </c>
      <c r="C39" s="238">
        <f ca="1">ROUND(C33*F20,0)</f>
        <v>17775115</v>
      </c>
      <c r="D39" s="238"/>
      <c r="E39" s="238"/>
      <c r="F39" s="2484">
        <f>F20</f>
        <v>0.02</v>
      </c>
      <c r="G39" s="240" t="s">
        <v>1979</v>
      </c>
    </row>
    <row r="40" spans="1:7" s="220" customFormat="1" ht="13.5" customHeight="1">
      <c r="A40" s="261" t="s">
        <v>1980</v>
      </c>
      <c r="B40" s="216" t="s">
        <v>1981</v>
      </c>
      <c r="C40" s="1447">
        <f>F21</f>
        <v>0.02</v>
      </c>
      <c r="D40" s="242" t="s">
        <v>1982</v>
      </c>
      <c r="E40" s="238"/>
      <c r="F40" s="2484">
        <f>F21</f>
        <v>0.02</v>
      </c>
      <c r="G40" s="240" t="s">
        <v>1983</v>
      </c>
    </row>
    <row r="41" spans="1:7" s="220" customFormat="1" ht="13.5" customHeight="1">
      <c r="A41" s="261" t="s">
        <v>1984</v>
      </c>
      <c r="B41" s="216" t="s">
        <v>1985</v>
      </c>
      <c r="C41" s="238">
        <f ca="1">ROUND(SUM(C42:C43),0)</f>
        <v>57706980</v>
      </c>
      <c r="D41" s="241">
        <f ca="1">C44</f>
        <v>1.2999999999999999E-3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56575471</v>
      </c>
      <c r="D42" s="244"/>
      <c r="E42" s="244"/>
      <c r="F42" s="245"/>
      <c r="G42" s="3472" t="s">
        <v>2034</v>
      </c>
    </row>
    <row r="43" spans="1:7" ht="13.5" customHeight="1">
      <c r="A43" s="869" t="s">
        <v>611</v>
      </c>
      <c r="B43" s="221" t="s">
        <v>1988</v>
      </c>
      <c r="C43" s="244">
        <f ca="1">ROUND(IF('数据-取费表'!B22&lt;=1,C39*F22*'数据-取费表'!B20/2,C39*(POWER((1+F22),'数据-取费表'!B20/2)-1)),0)</f>
        <v>1131509</v>
      </c>
      <c r="D43" s="244"/>
      <c r="E43" s="244"/>
      <c r="F43" s="245"/>
      <c r="G43" s="3473"/>
    </row>
    <row r="44" spans="1:7" ht="13.5" customHeight="1">
      <c r="A44" s="869" t="s">
        <v>612</v>
      </c>
      <c r="B44" s="221" t="s">
        <v>1989</v>
      </c>
      <c r="C44" s="244">
        <f ca="1">ROUND(IF('数据-取费表'!B22&lt;=1,C40*F22*'数据-取费表'!B20/2,C40*(POWER((1+F22),'数据-取费表'!B20/2)-1)),4)</f>
        <v>1.2999999999999999E-3</v>
      </c>
      <c r="D44" s="244"/>
      <c r="E44" s="244"/>
      <c r="F44" s="245"/>
      <c r="G44" s="3474"/>
    </row>
    <row r="45" spans="1:7" s="220" customFormat="1" ht="13.5" customHeight="1">
      <c r="A45" s="261" t="s">
        <v>1990</v>
      </c>
      <c r="B45" s="250" t="s">
        <v>1956</v>
      </c>
      <c r="C45" s="251">
        <f ca="1">C46</f>
        <v>117849010</v>
      </c>
      <c r="D45" s="241">
        <f ca="1">C47</f>
        <v>2.5999999999999999E-3</v>
      </c>
      <c r="E45" s="242" t="s">
        <v>1982</v>
      </c>
      <c r="F45" s="2486">
        <f ca="1">F27</f>
        <v>0.13</v>
      </c>
      <c r="G45" s="253" t="s">
        <v>1991</v>
      </c>
    </row>
    <row r="46" spans="1:7" s="220" customFormat="1" ht="13.5" customHeight="1">
      <c r="A46" s="869" t="s">
        <v>610</v>
      </c>
      <c r="B46" s="254" t="s">
        <v>1992</v>
      </c>
      <c r="C46" s="255">
        <f ca="1">ROUND((C33+C39)*F27,0)</f>
        <v>117849010</v>
      </c>
      <c r="D46" s="269"/>
      <c r="E46" s="242"/>
      <c r="F46" s="252"/>
      <c r="G46" s="253"/>
    </row>
    <row r="47" spans="1:7" s="220" customFormat="1" ht="13.5" customHeight="1">
      <c r="A47" s="869" t="s">
        <v>611</v>
      </c>
      <c r="B47" s="254" t="s">
        <v>1993</v>
      </c>
      <c r="C47" s="244">
        <f ca="1">ROUND(C40*F27,4)</f>
        <v>2.5999999999999999E-3</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1171469995</v>
      </c>
      <c r="D49" s="238"/>
      <c r="E49" s="238"/>
      <c r="F49" s="270"/>
      <c r="G49" s="240" t="s">
        <v>1997</v>
      </c>
    </row>
    <row r="50" spans="1:7" s="264" customFormat="1">
      <c r="A50" s="261" t="s">
        <v>1998</v>
      </c>
      <c r="B50" s="216" t="s">
        <v>1999</v>
      </c>
      <c r="C50" s="238"/>
      <c r="D50" s="238"/>
      <c r="E50" s="238"/>
      <c r="F50" s="270">
        <f>IF('数据-取费表'!B24=0,'数据-取费表'!N16,1)</f>
        <v>0.97</v>
      </c>
      <c r="G50" s="253"/>
    </row>
    <row r="51" spans="1:7" ht="16.5" customHeight="1">
      <c r="A51" s="261" t="s">
        <v>2001</v>
      </c>
      <c r="B51" s="216" t="s">
        <v>2036</v>
      </c>
      <c r="C51" s="238">
        <f ca="1">ROUND(C49*F50,0)</f>
        <v>1136325895</v>
      </c>
      <c r="D51" s="238"/>
      <c r="E51" s="238"/>
      <c r="F51" s="270"/>
      <c r="G51" s="240" t="s">
        <v>2003</v>
      </c>
    </row>
    <row r="52" spans="1:7" s="214" customFormat="1" ht="16.5" thickBot="1">
      <c r="A52" s="271" t="s">
        <v>2004</v>
      </c>
      <c r="B52" s="272"/>
      <c r="C52" s="273">
        <f ca="1">C31+C51</f>
        <v>1251061875</v>
      </c>
      <c r="D52" s="272"/>
      <c r="E52" s="272"/>
      <c r="F52" s="272"/>
      <c r="G52" s="274"/>
    </row>
    <row r="55" spans="1:7" ht="15">
      <c r="B55" s="276" t="s">
        <v>2005</v>
      </c>
      <c r="C55" s="277"/>
    </row>
    <row r="56" spans="1:7">
      <c r="B56" s="279" t="s">
        <v>1237</v>
      </c>
      <c r="C56" s="281">
        <f ca="1">1-C57</f>
        <v>9.1999999999999971E-2</v>
      </c>
    </row>
    <row r="57" spans="1:7">
      <c r="B57" s="279" t="s">
        <v>1238</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55" sqref="D55"/>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5"/>
      <c r="F1" s="2985"/>
      <c r="G1" s="2848"/>
      <c r="H1" s="2985"/>
      <c r="I1" s="2985"/>
      <c r="J1" s="2985"/>
      <c r="K1" s="2986">
        <f>MATCH(C1,'数据-取费表'!A6:A16,0)+5</f>
        <v>9</v>
      </c>
    </row>
    <row r="2" spans="1:33" ht="18" customHeight="1">
      <c r="A2" s="207" t="s">
        <v>1905</v>
      </c>
      <c r="B2" s="210">
        <f ca="1">C32</f>
        <v>0</v>
      </c>
      <c r="C2" s="282" t="s">
        <v>2038</v>
      </c>
      <c r="D2" s="282"/>
      <c r="E2" s="2985"/>
      <c r="F2" s="2985"/>
      <c r="G2" s="2985"/>
      <c r="H2" s="2985"/>
      <c r="I2" s="2985"/>
      <c r="J2" s="2985"/>
      <c r="K2" s="2985"/>
    </row>
    <row r="3" spans="1:33" ht="18" customHeight="1" thickBot="1">
      <c r="A3" s="209" t="s">
        <v>1907</v>
      </c>
      <c r="B3" s="210">
        <f ca="1">ROUND(B2*10000/IF(C1="",'数据-汇总表'!E3,INDIRECT("'数据-取费表'!K"&amp;$K$1)),0)</f>
        <v>0</v>
      </c>
      <c r="C3" s="282" t="s">
        <v>2039</v>
      </c>
      <c r="D3" s="282"/>
      <c r="E3" s="2985"/>
      <c r="F3" s="2985"/>
      <c r="G3" s="2985"/>
      <c r="H3" s="2985"/>
      <c r="I3" s="2985"/>
      <c r="J3" s="2985"/>
      <c r="K3" s="2985"/>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30257.699999999997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242531.24</v>
      </c>
      <c r="E14" s="24">
        <f>'数据-取费表'!B35</f>
        <v>150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242531.24</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2073</v>
      </c>
      <c r="C20" s="24">
        <f ca="1">ROUND(D20*E20/10000,0)</f>
        <v>4608</v>
      </c>
      <c r="D20" s="936">
        <f ca="1">IF(C1="",'数据-汇总表'!E6,IF(INDIRECT("'数据-取费表'!c"&amp;$K$1)="住宅",INDIRECT("'数据-取费表'!s"&amp;$K$1),INDIRECT("'数据-取费表'!k"&amp;$K$1)+INDIRECT("'数据-取费表'!s"&amp;$K$1)))</f>
        <v>242531.24</v>
      </c>
      <c r="E20" s="24">
        <f>'数据-取费表'!B28</f>
        <v>190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0.13</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4">
        <f ca="1">J53</f>
        <v>41.52</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3323</v>
      </c>
      <c r="C2" s="1521" t="s">
        <v>1240</v>
      </c>
      <c r="D2" s="1521"/>
      <c r="E2" s="1522"/>
      <c r="F2" s="1523"/>
      <c r="G2" s="2883"/>
      <c r="H2" s="2872"/>
      <c r="I2" s="2872"/>
      <c r="J2" s="2872"/>
      <c r="K2" s="2873"/>
      <c r="L2" s="2872"/>
      <c r="M2" s="2872"/>
    </row>
    <row r="3" spans="1:37" ht="18" customHeight="1" thickBot="1">
      <c r="A3" s="1524" t="s">
        <v>1241</v>
      </c>
      <c r="B3" s="1525">
        <f ca="1">IF(ISERROR(B2*10000/F43),0,ROUND(B2*10000/F43,0))</f>
        <v>1098</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298</v>
      </c>
      <c r="D5" s="1498" t="s">
        <v>1126</v>
      </c>
      <c r="E5" s="1184"/>
      <c r="F5" s="1185"/>
      <c r="G5" s="1518"/>
      <c r="H5" s="305">
        <v>1</v>
      </c>
      <c r="I5" s="306" t="s">
        <v>1125</v>
      </c>
      <c r="J5" s="1183">
        <f ca="1">J6+J10+J12</f>
        <v>0</v>
      </c>
      <c r="K5" s="1498" t="s">
        <v>1126</v>
      </c>
      <c r="L5" s="1184"/>
      <c r="M5" s="1185"/>
    </row>
    <row r="6" spans="1:37" ht="18" customHeight="1">
      <c r="A6" s="1182" t="s">
        <v>822</v>
      </c>
      <c r="B6" s="3475" t="s">
        <v>1127</v>
      </c>
      <c r="C6" s="1187">
        <f ca="1">ROUND(F6*F8*F7*(1-F9)/10000,0)</f>
        <v>298</v>
      </c>
      <c r="D6" s="160" t="s">
        <v>2606</v>
      </c>
      <c r="E6" s="308" t="s">
        <v>1129</v>
      </c>
      <c r="F6" s="309">
        <f ca="1">INDIRECT("'数据-取费表'!u"&amp;$G$1)</f>
        <v>0.3</v>
      </c>
      <c r="G6" s="1518"/>
      <c r="H6" s="1182" t="s">
        <v>822</v>
      </c>
      <c r="I6" s="3475" t="s">
        <v>1127</v>
      </c>
      <c r="J6" s="307">
        <f ca="1">ROUND(M6*M8*M7*(1-M9)/10000,0)</f>
        <v>0</v>
      </c>
      <c r="K6" s="160" t="s">
        <v>2605</v>
      </c>
      <c r="L6" s="308" t="s">
        <v>1129</v>
      </c>
      <c r="M6" s="309">
        <f ca="1">INDIRECT("'数据-取费表'!z"&amp;$G$1)</f>
        <v>0</v>
      </c>
    </row>
    <row r="7" spans="1:37" ht="18" customHeight="1">
      <c r="A7" s="1186"/>
      <c r="B7" s="3476"/>
      <c r="C7" s="1188"/>
      <c r="D7" s="313"/>
      <c r="E7" s="3237" t="s">
        <v>1130</v>
      </c>
      <c r="F7" s="309">
        <f ca="1">IF(INDIRECT("'数据-取费表'!ah"&amp;$G$1)="",INDIRECT("'数据-取费表'!k"&amp;$G$1),INDIRECT("'数据-取费表'!ah"&amp;$G$1))</f>
        <v>30257.699999999997</v>
      </c>
      <c r="G7" s="1518"/>
      <c r="H7" s="310"/>
      <c r="I7" s="3476"/>
      <c r="J7" s="312"/>
      <c r="K7" s="313"/>
      <c r="L7" s="308" t="s">
        <v>1130</v>
      </c>
      <c r="M7" s="309">
        <f ca="1">F7</f>
        <v>30257.699999999997</v>
      </c>
    </row>
    <row r="8" spans="1:37" ht="18" customHeight="1">
      <c r="A8" s="310"/>
      <c r="B8" s="3476"/>
      <c r="C8" s="312"/>
      <c r="D8" s="313"/>
      <c r="E8" s="308" t="s">
        <v>1131</v>
      </c>
      <c r="F8" s="309">
        <f ca="1">INDIRECT("'数据-取费表'!ai"&amp;$G$1)</f>
        <v>365</v>
      </c>
      <c r="G8" s="1518"/>
      <c r="H8" s="310"/>
      <c r="I8" s="3476"/>
      <c r="J8" s="312"/>
      <c r="K8" s="313"/>
      <c r="L8" s="308" t="s">
        <v>1131</v>
      </c>
      <c r="M8" s="309">
        <f ca="1">INDIRECT("'数据-取费表'!ai"&amp;$G$1)</f>
        <v>365</v>
      </c>
    </row>
    <row r="9" spans="1:37" ht="18" customHeight="1">
      <c r="A9" s="310"/>
      <c r="B9" s="3477"/>
      <c r="C9" s="312"/>
      <c r="D9" s="313"/>
      <c r="E9" s="308" t="s">
        <v>1132</v>
      </c>
      <c r="F9" s="318">
        <f ca="1">INDIRECT("'数据-取费表'!w"&amp;$G$1)</f>
        <v>0.1</v>
      </c>
      <c r="G9" s="1518"/>
      <c r="H9" s="310"/>
      <c r="I9" s="3477"/>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3496</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13399</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10322</v>
      </c>
      <c r="D14" s="3233" t="s">
        <v>1142</v>
      </c>
      <c r="E14" s="3231"/>
      <c r="F14" s="325"/>
      <c r="G14" s="1518"/>
      <c r="H14" s="1094" t="s">
        <v>822</v>
      </c>
      <c r="I14" s="308" t="s">
        <v>1143</v>
      </c>
      <c r="J14" s="24">
        <f ca="1">C29</f>
        <v>13813</v>
      </c>
      <c r="K14" s="3236"/>
      <c r="L14" s="897"/>
      <c r="M14" s="898"/>
    </row>
    <row r="15" spans="1:37" s="1531" customFormat="1" ht="18" customHeight="1" thickBot="1">
      <c r="A15" s="1094" t="s">
        <v>823</v>
      </c>
      <c r="B15" s="308" t="s">
        <v>1144</v>
      </c>
      <c r="C15" s="24">
        <f ca="1">ROUND(C14*F15,0)</f>
        <v>516</v>
      </c>
      <c r="D15" s="3230" t="s">
        <v>1145</v>
      </c>
      <c r="E15" s="3230"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187</v>
      </c>
      <c r="K16" s="1200" t="s">
        <v>1149</v>
      </c>
      <c r="L16" s="3234"/>
      <c r="M16" s="1185"/>
    </row>
    <row r="17" spans="1:37" s="1531" customFormat="1" ht="18" customHeight="1">
      <c r="A17" s="1094" t="s">
        <v>1114</v>
      </c>
      <c r="B17" s="308" t="s">
        <v>1150</v>
      </c>
      <c r="C17" s="24">
        <f ca="1">ROUND(F17*(F43+INDIRECT("'数据-取费表'!S"&amp;$G$1))/10000,0)</f>
        <v>469</v>
      </c>
      <c r="D17" s="308" t="s">
        <v>1151</v>
      </c>
      <c r="E17" s="308" t="s">
        <v>1152</v>
      </c>
      <c r="F17" s="26">
        <f>'数据-取费表'!B35</f>
        <v>150</v>
      </c>
      <c r="G17" s="1530"/>
      <c r="H17" s="1094" t="s">
        <v>822</v>
      </c>
      <c r="I17" s="308" t="s">
        <v>1153</v>
      </c>
      <c r="J17" s="2483">
        <f ca="1">ROUND(IF(AND(项目基本情况!B11="自然人",项目基本情况!B10="北京市"),J6*M17/(1+'数据-取费表'!C42),J18+J19+J20),0)</f>
        <v>118</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155</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11462</v>
      </c>
      <c r="D19" s="136" t="s">
        <v>1160</v>
      </c>
      <c r="E19" s="3239"/>
      <c r="F19" s="26"/>
      <c r="G19" s="1518"/>
      <c r="H19" s="1094" t="s">
        <v>823</v>
      </c>
      <c r="I19" s="308" t="s">
        <v>1161</v>
      </c>
      <c r="J19" s="24">
        <f ca="1">IF(K19="按租金收入计税",ROUND(J6*M19/(1+'数据-取费表'!C42),2),ROUND(C29*M19*0.7,2))</f>
        <v>116.03</v>
      </c>
      <c r="K19" s="1504" t="s">
        <v>1162</v>
      </c>
      <c r="L19" s="308" t="s">
        <v>1146</v>
      </c>
      <c r="M19" s="328">
        <f>IF(K19="按租金收入计税",'数据-取费表'!B51,'数据-取费表'!B50)</f>
        <v>1.2E-2</v>
      </c>
    </row>
    <row r="20" spans="1:37" s="1531" customFormat="1" ht="18" customHeight="1">
      <c r="A20" s="1094" t="s">
        <v>826</v>
      </c>
      <c r="B20" s="308" t="s">
        <v>1163</v>
      </c>
      <c r="C20" s="24">
        <f ca="1">ROUND(C19*F20,0)</f>
        <v>229</v>
      </c>
      <c r="D20" s="329" t="s">
        <v>1164</v>
      </c>
      <c r="E20" s="308" t="s">
        <v>1146</v>
      </c>
      <c r="F20" s="328">
        <f>'数据-取费表'!B37</f>
        <v>0.02</v>
      </c>
      <c r="G20" s="1530"/>
      <c r="H20" s="1094" t="s">
        <v>1113</v>
      </c>
      <c r="I20" s="160" t="s">
        <v>1165</v>
      </c>
      <c r="J20" s="25">
        <f ca="1">ROUND(M20*M21/10000,2)</f>
        <v>2.29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15234.58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69.099999999999994</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745</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-187</v>
      </c>
      <c r="K25" s="1208" t="s">
        <v>1188</v>
      </c>
      <c r="L25" s="1209"/>
      <c r="M25" s="1210"/>
    </row>
    <row r="26" spans="1:37">
      <c r="A26" s="1094" t="s">
        <v>821</v>
      </c>
      <c r="B26" s="308" t="s">
        <v>1189</v>
      </c>
      <c r="C26" s="24">
        <f ca="1">ROUND((C19+C20)*F26,0)</f>
        <v>351</v>
      </c>
      <c r="D26" s="329" t="s">
        <v>1190</v>
      </c>
      <c r="E26" s="319" t="s">
        <v>1191</v>
      </c>
      <c r="F26" s="318">
        <f ca="1">INDIRECT("'数据-取费表'!q"&amp;$G$1)</f>
        <v>0.03</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5.9999999999999995E-4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13813</v>
      </c>
      <c r="D29" s="1205"/>
      <c r="E29" s="1203"/>
      <c r="F29" s="1206"/>
      <c r="G29" s="1530"/>
      <c r="H29" s="340" t="s">
        <v>820</v>
      </c>
      <c r="I29" s="341" t="s">
        <v>1203</v>
      </c>
      <c r="J29" s="342">
        <f ca="1">ROUND(J26/(1+F40)^F41,0)</f>
        <v>0</v>
      </c>
      <c r="K29" s="343" t="s">
        <v>1204</v>
      </c>
      <c r="L29" s="344"/>
      <c r="M29" s="345">
        <f ca="1">INDIRECT("'数据-取费表'!k"&amp;$G$1)</f>
        <v>30257.699999999997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144</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52</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15.61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34.06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15234.58</v>
      </c>
      <c r="G35" s="1518"/>
      <c r="H35" s="2874"/>
      <c r="I35" s="1532"/>
      <c r="J35" s="1533"/>
      <c r="K35" s="2878"/>
      <c r="L35" s="2877"/>
      <c r="M35" s="2877"/>
    </row>
    <row r="36" spans="1:18" ht="18" customHeight="1">
      <c r="A36" s="1215" t="s">
        <v>826</v>
      </c>
      <c r="B36" s="308" t="s">
        <v>1173</v>
      </c>
      <c r="C36" s="24">
        <f ca="1">ROUND(C29*F36,1)</f>
        <v>69.099999999999994</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20.100000000000001</v>
      </c>
      <c r="D37" s="3232" t="s">
        <v>1178</v>
      </c>
      <c r="E37" s="308" t="s">
        <v>1146</v>
      </c>
      <c r="F37" s="336">
        <f ca="1">INDIRECT("'数据-取费表'!Al"&amp;$G$1)</f>
        <v>1.5E-3</v>
      </c>
      <c r="G37" s="1518"/>
      <c r="H37" s="2877"/>
      <c r="I37" s="1532"/>
      <c r="J37" s="1533"/>
      <c r="K37" s="2718"/>
      <c r="L37" s="2877"/>
      <c r="M37" s="2877"/>
    </row>
    <row r="38" spans="1:18" ht="18" customHeight="1" thickBot="1">
      <c r="A38" s="1202" t="s">
        <v>1116</v>
      </c>
      <c r="B38" s="1203" t="s">
        <v>1163</v>
      </c>
      <c r="C38" s="1204">
        <f ca="1">ROUND(C5*F38,1)</f>
        <v>3</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154</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3323</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1098</v>
      </c>
      <c r="D43" s="343" t="s">
        <v>1212</v>
      </c>
      <c r="E43" s="344" t="s">
        <v>1213</v>
      </c>
      <c r="F43" s="345">
        <f ca="1">INDIRECT("'数据-取费表'!k"&amp;$G$1)</f>
        <v>30257.699999999997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-25060</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3323</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13813</v>
      </c>
      <c r="R49" s="1554" t="s">
        <v>1253</v>
      </c>
    </row>
    <row r="50" spans="1:18" s="1518" customFormat="1" ht="13.5" thickBot="1">
      <c r="A50" s="1088"/>
      <c r="B50" s="1091"/>
      <c r="C50" s="1231"/>
      <c r="D50" s="1065"/>
      <c r="E50" s="1168" t="s">
        <v>1130</v>
      </c>
      <c r="F50" s="1169">
        <f ca="1">F7</f>
        <v>30257.699999999997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-18810</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8" t="s">
        <v>1272</v>
      </c>
      <c r="L53" s="3479"/>
      <c r="O53" s="1552" t="s">
        <v>833</v>
      </c>
      <c r="P53" s="1553" t="s">
        <v>1273</v>
      </c>
      <c r="Q53" s="1554">
        <f ca="1">Q47+Q48</f>
        <v>3323</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13399</v>
      </c>
      <c r="D56" s="1581"/>
      <c r="E56" s="1582"/>
      <c r="F56" s="1574"/>
      <c r="I56" s="1583" t="s">
        <v>1278</v>
      </c>
      <c r="J56" s="1584" t="s">
        <v>3243</v>
      </c>
      <c r="K56" s="1555" t="s">
        <v>1279</v>
      </c>
      <c r="L56" s="1558" t="str">
        <f ca="1">IF(L48&lt;J51,"——",L48-J53)</f>
        <v>——</v>
      </c>
      <c r="O56" s="1552" t="s">
        <v>827</v>
      </c>
      <c r="P56" s="1553" t="s">
        <v>1252</v>
      </c>
      <c r="Q56" s="1554">
        <f ca="1">C40+J29</f>
        <v>3323</v>
      </c>
      <c r="R56" s="1554" t="s">
        <v>1253</v>
      </c>
    </row>
    <row r="57" spans="1:18" s="1518" customFormat="1" ht="24.75" thickBot="1">
      <c r="A57" s="1585"/>
      <c r="B57" s="1062" t="s">
        <v>1202</v>
      </c>
      <c r="C57" s="244">
        <f ca="1">C29</f>
        <v>13813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1252</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1163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1160.29</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2.29</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3323</v>
      </c>
      <c r="R62" s="1554" t="s">
        <v>834</v>
      </c>
    </row>
    <row r="63" spans="1:18" s="1518" customFormat="1" ht="13.5" thickBot="1">
      <c r="A63" s="332"/>
      <c r="B63" s="1068"/>
      <c r="C63" s="29"/>
      <c r="D63" s="1078"/>
      <c r="E63" s="1062" t="s">
        <v>1171</v>
      </c>
      <c r="F63" s="309">
        <f t="shared" ca="1" si="0"/>
        <v>15234.58</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69.099999999999994</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20.100000000000001</v>
      </c>
      <c r="D65" s="1076" t="s">
        <v>1178</v>
      </c>
      <c r="E65" s="1062" t="s">
        <v>1146</v>
      </c>
      <c r="F65" s="336">
        <f t="shared" ca="1" si="0"/>
        <v>1.5E-3</v>
      </c>
      <c r="I65" s="1596" t="s">
        <v>1303</v>
      </c>
      <c r="J65" s="1597">
        <v>40</v>
      </c>
      <c r="K65" s="1597">
        <v>30</v>
      </c>
      <c r="L65" s="1597">
        <v>50</v>
      </c>
      <c r="M65" s="1599">
        <v>0.02</v>
      </c>
      <c r="O65" s="1552" t="s">
        <v>827</v>
      </c>
      <c r="P65" s="1553" t="s">
        <v>1252</v>
      </c>
      <c r="Q65" s="1554">
        <f ca="1">C40+J29</f>
        <v>3323</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-1252</v>
      </c>
      <c r="D67" s="1075" t="s">
        <v>1188</v>
      </c>
      <c r="E67" s="1080"/>
      <c r="F67" s="1081"/>
      <c r="O67" s="1562" t="s">
        <v>829</v>
      </c>
      <c r="P67" s="1553" t="s">
        <v>1286</v>
      </c>
      <c r="Q67" s="1600">
        <f ca="1">L51</f>
        <v>-18810</v>
      </c>
      <c r="R67" s="1554" t="s">
        <v>1306</v>
      </c>
    </row>
    <row r="68" spans="1:18" s="1518" customFormat="1" ht="16.5" thickBot="1">
      <c r="A68" s="1059" t="s">
        <v>819</v>
      </c>
      <c r="B68" s="1060" t="s">
        <v>1209</v>
      </c>
      <c r="C68" s="307">
        <f ca="1">ROUND(C67*(1-((1+F70)/(1+F68))^F69)/(F68-F70),0)</f>
        <v>-21737</v>
      </c>
      <c r="D68" s="1077" t="s">
        <v>1193</v>
      </c>
      <c r="E68" s="1062" t="s">
        <v>1194</v>
      </c>
      <c r="F68" s="318">
        <f ca="1">F40</f>
        <v>0.05</v>
      </c>
      <c r="O68" s="1562" t="s">
        <v>830</v>
      </c>
      <c r="P68" s="1601" t="s">
        <v>1307</v>
      </c>
      <c r="Q68" s="1554">
        <f ca="1">ROUND(Q69-Q70*Q71,0)</f>
        <v>-918</v>
      </c>
      <c r="R68" s="1554" t="s">
        <v>838</v>
      </c>
    </row>
    <row r="69" spans="1:18" s="1518" customFormat="1" ht="13.5" thickBot="1">
      <c r="A69" s="1063"/>
      <c r="B69" s="1064"/>
      <c r="C69" s="312"/>
      <c r="D69" s="1082" t="s">
        <v>1197</v>
      </c>
      <c r="E69" s="1062" t="s">
        <v>1198</v>
      </c>
      <c r="F69" s="339">
        <f ca="1">F41</f>
        <v>41.52</v>
      </c>
      <c r="O69" s="1562" t="s">
        <v>835</v>
      </c>
      <c r="P69" s="1601" t="s">
        <v>1308</v>
      </c>
      <c r="Q69" s="1554">
        <f ca="1">C39</f>
        <v>154</v>
      </c>
      <c r="R69" s="1554" t="s">
        <v>1253</v>
      </c>
    </row>
    <row r="70" spans="1:18" s="1518" customFormat="1" ht="13.5" thickBot="1">
      <c r="A70" s="1066"/>
      <c r="B70" s="1067"/>
      <c r="C70" s="316"/>
      <c r="D70" s="1078"/>
      <c r="E70" s="1062" t="s">
        <v>1201</v>
      </c>
      <c r="F70" s="1166"/>
      <c r="O70" s="1562" t="s">
        <v>836</v>
      </c>
      <c r="P70" s="1601" t="s">
        <v>1309</v>
      </c>
      <c r="Q70" s="1554">
        <f ca="1">C13</f>
        <v>13399</v>
      </c>
      <c r="R70" s="1554" t="s">
        <v>1253</v>
      </c>
    </row>
    <row r="71" spans="1:18" s="1518" customFormat="1" ht="13.5" thickBot="1">
      <c r="A71" s="1083" t="s">
        <v>820</v>
      </c>
      <c r="B71" s="1084" t="s">
        <v>1211</v>
      </c>
      <c r="C71" s="342">
        <f ca="1">ROUND(C68*10000/F71,0)</f>
        <v>-7184</v>
      </c>
      <c r="D71" s="1085" t="s">
        <v>1212</v>
      </c>
      <c r="E71" s="1086" t="s">
        <v>1213</v>
      </c>
      <c r="F71" s="345">
        <f ca="1">F43</f>
        <v>30257.699999999997</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1072</v>
      </c>
      <c r="D75" s="1518"/>
      <c r="E75" s="1518"/>
      <c r="F75" s="1518"/>
      <c r="K75" s="1536"/>
      <c r="L75" s="1518"/>
      <c r="O75" s="1552" t="s">
        <v>833</v>
      </c>
      <c r="P75" s="1553" t="s">
        <v>1273</v>
      </c>
      <c r="Q75" s="1554">
        <f ca="1">Q65+Q66</f>
        <v>3323</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-5.9610000000000003</v>
      </c>
    </row>
    <row r="80" spans="1:18">
      <c r="B80" s="346" t="s">
        <v>1235</v>
      </c>
      <c r="C80" s="280">
        <f ca="1">ROUND(C75/C39,3)</f>
        <v>6.9610000000000003</v>
      </c>
    </row>
    <row r="81" spans="2:3">
      <c r="B81" s="276" t="s">
        <v>1236</v>
      </c>
      <c r="C81" s="244"/>
    </row>
    <row r="82" spans="2:3">
      <c r="B82" s="279" t="s">
        <v>1237</v>
      </c>
      <c r="C82" s="281">
        <f ca="1">1-C83</f>
        <v>-3.032</v>
      </c>
    </row>
    <row r="83" spans="2:3">
      <c r="B83" s="279" t="s">
        <v>1238</v>
      </c>
      <c r="C83" s="280">
        <f ca="1">ROUND(C13/C40,3)</f>
        <v>4.032</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I80" sqref="I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3179</v>
      </c>
      <c r="D1" s="1496" t="s">
        <v>70</v>
      </c>
      <c r="E1" s="1497" t="s">
        <v>1111</v>
      </c>
      <c r="F1" s="1174">
        <f ca="1">J53</f>
        <v>41.52</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142549</v>
      </c>
      <c r="C2" s="1521" t="s">
        <v>1240</v>
      </c>
      <c r="D2" s="1521"/>
      <c r="E2" s="1522"/>
      <c r="F2" s="1523"/>
      <c r="G2" s="2883"/>
      <c r="H2" s="2872"/>
      <c r="I2" s="2872"/>
      <c r="J2" s="2872"/>
      <c r="K2" s="2873"/>
      <c r="L2" s="2872"/>
      <c r="M2" s="2872"/>
    </row>
    <row r="3" spans="1:37" ht="18" customHeight="1" thickBot="1">
      <c r="A3" s="1524" t="s">
        <v>1241</v>
      </c>
      <c r="B3" s="1525">
        <f ca="1">IF(ISERROR(B2*10000/F43),0,ROUND(B2*10000/F43,0))</f>
        <v>8101</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8103</v>
      </c>
      <c r="D5" s="1498" t="s">
        <v>1126</v>
      </c>
      <c r="E5" s="1184"/>
      <c r="F5" s="1185"/>
      <c r="G5" s="1518"/>
      <c r="H5" s="305">
        <v>1</v>
      </c>
      <c r="I5" s="306" t="s">
        <v>1125</v>
      </c>
      <c r="J5" s="1183">
        <f ca="1">J6+J10+J12</f>
        <v>0</v>
      </c>
      <c r="K5" s="1498" t="s">
        <v>1126</v>
      </c>
      <c r="L5" s="1184"/>
      <c r="M5" s="1185"/>
    </row>
    <row r="6" spans="1:37" ht="18" customHeight="1">
      <c r="A6" s="1182" t="s">
        <v>822</v>
      </c>
      <c r="B6" s="3475" t="s">
        <v>1127</v>
      </c>
      <c r="C6" s="1187">
        <f ca="1">ROUND(F6*F8*F7*(1-F9)/10000,0)</f>
        <v>8093</v>
      </c>
      <c r="D6" s="160" t="s">
        <v>2606</v>
      </c>
      <c r="E6" s="308" t="s">
        <v>1129</v>
      </c>
      <c r="F6" s="309">
        <f ca="1">INDIRECT("'数据-取费表'!u"&amp;$G$1)</f>
        <v>1.4</v>
      </c>
      <c r="G6" s="1518"/>
      <c r="H6" s="1182" t="s">
        <v>822</v>
      </c>
      <c r="I6" s="3475" t="s">
        <v>1127</v>
      </c>
      <c r="J6" s="307">
        <f ca="1">ROUND(M6*M8*M7*(1-M9)/10000,0)</f>
        <v>0</v>
      </c>
      <c r="K6" s="160" t="s">
        <v>2605</v>
      </c>
      <c r="L6" s="308" t="s">
        <v>1129</v>
      </c>
      <c r="M6" s="309">
        <f ca="1">INDIRECT("'数据-取费表'!z"&amp;$G$1)</f>
        <v>0</v>
      </c>
    </row>
    <row r="7" spans="1:37" ht="18" customHeight="1">
      <c r="A7" s="1186"/>
      <c r="B7" s="3476"/>
      <c r="C7" s="1188"/>
      <c r="D7" s="313"/>
      <c r="E7" s="1189" t="s">
        <v>1130</v>
      </c>
      <c r="F7" s="309">
        <f ca="1">IF(INDIRECT("'数据-取费表'!ah"&amp;$G$1)="",INDIRECT("'数据-取费表'!k"&amp;$G$1),INDIRECT("'数据-取费表'!ah"&amp;$G$1))</f>
        <v>175962.71000000002</v>
      </c>
      <c r="G7" s="1518"/>
      <c r="H7" s="310"/>
      <c r="I7" s="3476"/>
      <c r="J7" s="312"/>
      <c r="K7" s="313"/>
      <c r="L7" s="308" t="s">
        <v>1130</v>
      </c>
      <c r="M7" s="309">
        <f ca="1">F7</f>
        <v>175962.71000000002</v>
      </c>
    </row>
    <row r="8" spans="1:37" ht="18" customHeight="1">
      <c r="A8" s="310"/>
      <c r="B8" s="3476"/>
      <c r="C8" s="312"/>
      <c r="D8" s="313"/>
      <c r="E8" s="308" t="s">
        <v>1131</v>
      </c>
      <c r="F8" s="309">
        <f ca="1">INDIRECT("'数据-取费表'!ai"&amp;$G$1)</f>
        <v>365</v>
      </c>
      <c r="G8" s="1518"/>
      <c r="H8" s="310"/>
      <c r="I8" s="3476"/>
      <c r="J8" s="312"/>
      <c r="K8" s="313"/>
      <c r="L8" s="308" t="s">
        <v>1131</v>
      </c>
      <c r="M8" s="309">
        <f ca="1">INDIRECT("'数据-取费表'!ai"&amp;$G$1)</f>
        <v>365</v>
      </c>
    </row>
    <row r="9" spans="1:37" ht="18" customHeight="1">
      <c r="A9" s="310"/>
      <c r="B9" s="3477"/>
      <c r="C9" s="312"/>
      <c r="D9" s="313"/>
      <c r="E9" s="308" t="s">
        <v>1132</v>
      </c>
      <c r="F9" s="318">
        <f ca="1">INDIRECT("'数据-取费表'!w"&amp;$G$1)</f>
        <v>0.1</v>
      </c>
      <c r="G9" s="1518"/>
      <c r="H9" s="310"/>
      <c r="I9" s="3477"/>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2614</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86695</v>
      </c>
      <c r="D13" s="1194" t="s">
        <v>1139</v>
      </c>
      <c r="E13" s="1194"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60030</v>
      </c>
      <c r="D14" s="1479" t="s">
        <v>1142</v>
      </c>
      <c r="E14" s="1476"/>
      <c r="F14" s="325"/>
      <c r="G14" s="1518"/>
      <c r="H14" s="1094" t="s">
        <v>822</v>
      </c>
      <c r="I14" s="308" t="s">
        <v>1143</v>
      </c>
      <c r="J14" s="24">
        <f ca="1">C29</f>
        <v>89376</v>
      </c>
      <c r="K14" s="15"/>
      <c r="L14" s="897"/>
      <c r="M14" s="898"/>
    </row>
    <row r="15" spans="1:37" s="1531" customFormat="1" ht="18" customHeight="1" thickBot="1">
      <c r="A15" s="1094" t="s">
        <v>823</v>
      </c>
      <c r="B15" s="308" t="s">
        <v>1144</v>
      </c>
      <c r="C15" s="24">
        <f ca="1">ROUND(C14*F15,0)</f>
        <v>3002</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1658</v>
      </c>
      <c r="K16" s="1200" t="s">
        <v>1149</v>
      </c>
      <c r="L16" s="1201"/>
      <c r="M16" s="1185"/>
    </row>
    <row r="17" spans="1:37" s="1531" customFormat="1" ht="18" customHeight="1">
      <c r="A17" s="1094" t="s">
        <v>1114</v>
      </c>
      <c r="B17" s="308" t="s">
        <v>1150</v>
      </c>
      <c r="C17" s="24">
        <f ca="1">ROUND(F17*(F43+INDIRECT("'数据-取费表'!S"&amp;$G$1))/10000,0)</f>
        <v>2729</v>
      </c>
      <c r="D17" s="308" t="s">
        <v>1151</v>
      </c>
      <c r="E17" s="308" t="s">
        <v>1152</v>
      </c>
      <c r="F17" s="26">
        <f>'数据-取费表'!B35</f>
        <v>150</v>
      </c>
      <c r="G17" s="1530"/>
      <c r="H17" s="1094" t="s">
        <v>822</v>
      </c>
      <c r="I17" s="308" t="s">
        <v>1153</v>
      </c>
      <c r="J17" s="2483">
        <f ca="1">ROUND(IF(AND(项目基本情况!B11="自然人",项目基本情况!B10="北京市"),J6*M17/(1+'数据-取费表'!C42),J18+J19+J20),0)</f>
        <v>764</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900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66661</v>
      </c>
      <c r="D19" s="136" t="s">
        <v>1160</v>
      </c>
      <c r="E19" s="1494"/>
      <c r="F19" s="26"/>
      <c r="G19" s="1518"/>
      <c r="H19" s="1094" t="s">
        <v>823</v>
      </c>
      <c r="I19" s="308" t="s">
        <v>1161</v>
      </c>
      <c r="J19" s="24">
        <f ca="1">IF(K19="按租金收入计税",ROUND(J6*M19/(1+'数据-取费表'!C42),2),ROUND(C29*M19*0.7,2))</f>
        <v>750.76</v>
      </c>
      <c r="K19" s="1504" t="s">
        <v>1162</v>
      </c>
      <c r="L19" s="308" t="s">
        <v>1146</v>
      </c>
      <c r="M19" s="328">
        <f>IF(K19="按租金收入计税",'数据-取费表'!B51,'数据-取费表'!B50)</f>
        <v>1.2E-2</v>
      </c>
    </row>
    <row r="20" spans="1:37" s="1531" customFormat="1" ht="18" customHeight="1">
      <c r="A20" s="1094" t="s">
        <v>826</v>
      </c>
      <c r="B20" s="308" t="s">
        <v>1163</v>
      </c>
      <c r="C20" s="24">
        <f ca="1">ROUND(C19*F20,0)</f>
        <v>1333</v>
      </c>
      <c r="D20" s="329" t="s">
        <v>1164</v>
      </c>
      <c r="E20" s="308" t="s">
        <v>1146</v>
      </c>
      <c r="F20" s="328">
        <f>'数据-取费表'!B37</f>
        <v>0.02</v>
      </c>
      <c r="G20" s="1530"/>
      <c r="H20" s="1094" t="s">
        <v>1113</v>
      </c>
      <c r="I20" s="160" t="s">
        <v>1165</v>
      </c>
      <c r="J20" s="25">
        <f ca="1">ROUND(M20*M21/10000,2)</f>
        <v>13.29</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88596.200000000012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893.8</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4328</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-1658</v>
      </c>
      <c r="K25" s="1208" t="s">
        <v>1188</v>
      </c>
      <c r="L25" s="1209"/>
      <c r="M25" s="1210"/>
    </row>
    <row r="26" spans="1:37">
      <c r="A26" s="1094" t="s">
        <v>821</v>
      </c>
      <c r="B26" s="308" t="s">
        <v>1189</v>
      </c>
      <c r="C26" s="24">
        <f ca="1">ROUND((C19+C20)*F26,0)</f>
        <v>10199</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89376</v>
      </c>
      <c r="D29" s="1205"/>
      <c r="E29" s="1203"/>
      <c r="F29" s="1206"/>
      <c r="G29" s="1530"/>
      <c r="H29" s="340" t="s">
        <v>820</v>
      </c>
      <c r="I29" s="341" t="s">
        <v>1203</v>
      </c>
      <c r="J29" s="342">
        <f ca="1">ROUND(J26/(1+F40)^F41,0)</f>
        <v>0</v>
      </c>
      <c r="K29" s="343" t="s">
        <v>1204</v>
      </c>
      <c r="L29" s="344"/>
      <c r="M29" s="345">
        <f ca="1">INDIRECT("'数据-取费表'!k"&amp;$G$1)</f>
        <v>175962.71000000002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2467</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1362</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423.92</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924.91</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13.29</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88596.200000000012</v>
      </c>
      <c r="G35" s="1518"/>
      <c r="H35" s="2874"/>
      <c r="I35" s="1532"/>
      <c r="J35" s="1533"/>
      <c r="K35" s="2878"/>
      <c r="L35" s="2877"/>
      <c r="M35" s="2877"/>
    </row>
    <row r="36" spans="1:18" ht="18" customHeight="1">
      <c r="A36" s="1215" t="s">
        <v>826</v>
      </c>
      <c r="B36" s="308" t="s">
        <v>1173</v>
      </c>
      <c r="C36" s="24">
        <f ca="1">ROUND(C29*F36,1)</f>
        <v>893.8</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130</v>
      </c>
      <c r="D37" s="1478" t="s">
        <v>1178</v>
      </c>
      <c r="E37" s="308" t="s">
        <v>1179</v>
      </c>
      <c r="F37" s="336">
        <f ca="1">INDIRECT("'数据-取费表'!Al"&amp;$G$1)</f>
        <v>1.5E-3</v>
      </c>
      <c r="G37" s="1518"/>
      <c r="H37" s="2877"/>
      <c r="I37" s="1532">
        <f ca="1">C6+收益法地下厂房!C6+收益法地下车库!C6</f>
        <v>9277</v>
      </c>
      <c r="J37" s="1533"/>
      <c r="K37" s="2718"/>
      <c r="L37" s="2877"/>
      <c r="M37" s="2877"/>
    </row>
    <row r="38" spans="1:18" ht="18" customHeight="1" thickBot="1">
      <c r="A38" s="1202" t="s">
        <v>1117</v>
      </c>
      <c r="B38" s="1203" t="s">
        <v>1163</v>
      </c>
      <c r="C38" s="1204">
        <f ca="1">ROUND(C5*F38,1)</f>
        <v>81</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5636</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142549</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8101</v>
      </c>
      <c r="D43" s="343" t="s">
        <v>1212</v>
      </c>
      <c r="E43" s="344" t="s">
        <v>1213</v>
      </c>
      <c r="F43" s="345">
        <f ca="1">INDIRECT("'数据-取费表'!k"&amp;$G$1)</f>
        <v>175962.71000000002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-290909</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142549</v>
      </c>
      <c r="R47" s="1554" t="s">
        <v>1253</v>
      </c>
    </row>
    <row r="48" spans="1:18" s="1518" customFormat="1" ht="28.5" thickBot="1">
      <c r="A48" s="1223" t="s">
        <v>863</v>
      </c>
      <c r="B48" s="306" t="s">
        <v>1125</v>
      </c>
      <c r="C48" s="1493">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2020</v>
      </c>
      <c r="K49" s="1557" t="s">
        <v>1259</v>
      </c>
      <c r="L49" s="1561"/>
      <c r="O49" s="1562" t="s">
        <v>829</v>
      </c>
      <c r="P49" s="1553" t="s">
        <v>1260</v>
      </c>
      <c r="Q49" s="1554">
        <f ca="1">C29</f>
        <v>89376</v>
      </c>
      <c r="R49" s="1554" t="s">
        <v>1253</v>
      </c>
    </row>
    <row r="50" spans="1:18" s="1518" customFormat="1" ht="13.5" thickBot="1">
      <c r="A50" s="1088"/>
      <c r="B50" s="1091"/>
      <c r="C50" s="1231"/>
      <c r="D50" s="1065"/>
      <c r="E50" s="1168" t="s">
        <v>1130</v>
      </c>
      <c r="F50" s="1169">
        <f ca="1">F7</f>
        <v>175962.71000000002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-26632</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8" t="s">
        <v>1272</v>
      </c>
      <c r="L53" s="3479"/>
      <c r="O53" s="1552" t="s">
        <v>833</v>
      </c>
      <c r="P53" s="1553" t="s">
        <v>1273</v>
      </c>
      <c r="Q53" s="1554">
        <f ca="1">Q47+Q48</f>
        <v>142549</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86695</v>
      </c>
      <c r="D56" s="1581"/>
      <c r="E56" s="1582"/>
      <c r="F56" s="1574"/>
      <c r="I56" s="1583" t="s">
        <v>1278</v>
      </c>
      <c r="J56" s="1584" t="s">
        <v>3243</v>
      </c>
      <c r="K56" s="1555" t="s">
        <v>1279</v>
      </c>
      <c r="L56" s="1558" t="str">
        <f ca="1">IF(L48&lt;J51,"——",L48-J53)</f>
        <v>——</v>
      </c>
      <c r="O56" s="1552" t="s">
        <v>827</v>
      </c>
      <c r="P56" s="1553" t="s">
        <v>1252</v>
      </c>
      <c r="Q56" s="1554">
        <f ca="1">C40+J29</f>
        <v>142549</v>
      </c>
      <c r="R56" s="1554" t="s">
        <v>1253</v>
      </c>
    </row>
    <row r="57" spans="1:18" s="1518" customFormat="1" ht="24.75" thickBot="1">
      <c r="A57" s="1585"/>
      <c r="B57" s="1062" t="s">
        <v>1202</v>
      </c>
      <c r="C57" s="244">
        <f ca="1">C29</f>
        <v>89376</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8545</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7521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7507.58</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13.29</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142549</v>
      </c>
      <c r="R62" s="1554" t="s">
        <v>834</v>
      </c>
    </row>
    <row r="63" spans="1:18" s="1518" customFormat="1" ht="13.5" thickBot="1">
      <c r="A63" s="332"/>
      <c r="B63" s="1068"/>
      <c r="C63" s="29"/>
      <c r="D63" s="1078"/>
      <c r="E63" s="1062" t="s">
        <v>1223</v>
      </c>
      <c r="F63" s="309">
        <f t="shared" ca="1" si="0"/>
        <v>88596.200000000012</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893.8</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130</v>
      </c>
      <c r="D65" s="1076" t="s">
        <v>1178</v>
      </c>
      <c r="E65" s="1062" t="s">
        <v>1179</v>
      </c>
      <c r="F65" s="336">
        <f t="shared" ca="1" si="0"/>
        <v>1.5E-3</v>
      </c>
      <c r="I65" s="1596" t="s">
        <v>1303</v>
      </c>
      <c r="J65" s="1597">
        <v>40</v>
      </c>
      <c r="K65" s="1597">
        <v>30</v>
      </c>
      <c r="L65" s="1597">
        <v>50</v>
      </c>
      <c r="M65" s="1599">
        <v>0.02</v>
      </c>
      <c r="O65" s="1552" t="s">
        <v>827</v>
      </c>
      <c r="P65" s="1553" t="s">
        <v>1304</v>
      </c>
      <c r="Q65" s="1554">
        <f ca="1">C40+J29</f>
        <v>142549</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-8545</v>
      </c>
      <c r="D67" s="1075" t="s">
        <v>1188</v>
      </c>
      <c r="E67" s="1080"/>
      <c r="F67" s="1081"/>
      <c r="O67" s="1562" t="s">
        <v>829</v>
      </c>
      <c r="P67" s="1553" t="s">
        <v>1286</v>
      </c>
      <c r="Q67" s="1600">
        <f ca="1">L51</f>
        <v>-26632</v>
      </c>
      <c r="R67" s="1554" t="s">
        <v>1306</v>
      </c>
    </row>
    <row r="68" spans="1:18" s="1518" customFormat="1" ht="16.5" thickBot="1">
      <c r="A68" s="1059" t="s">
        <v>819</v>
      </c>
      <c r="B68" s="1060" t="s">
        <v>1209</v>
      </c>
      <c r="C68" s="307">
        <f ca="1">ROUND(C67*(1-((1+F70)/(1+F68))^F69)/(F68-F70),0)</f>
        <v>-148360</v>
      </c>
      <c r="D68" s="1077" t="s">
        <v>1193</v>
      </c>
      <c r="E68" s="1062" t="s">
        <v>1194</v>
      </c>
      <c r="F68" s="318">
        <f ca="1">F40</f>
        <v>0.05</v>
      </c>
      <c r="O68" s="1562" t="s">
        <v>830</v>
      </c>
      <c r="P68" s="1601" t="s">
        <v>1307</v>
      </c>
      <c r="Q68" s="1554">
        <f ca="1">ROUND(Q69-Q70*Q71,0)</f>
        <v>-1300</v>
      </c>
      <c r="R68" s="1554" t="s">
        <v>838</v>
      </c>
    </row>
    <row r="69" spans="1:18" s="1518" customFormat="1" ht="13.5" thickBot="1">
      <c r="A69" s="1063"/>
      <c r="B69" s="1064"/>
      <c r="C69" s="312"/>
      <c r="D69" s="1082" t="s">
        <v>1197</v>
      </c>
      <c r="E69" s="1062" t="s">
        <v>1198</v>
      </c>
      <c r="F69" s="339">
        <f ca="1">F41</f>
        <v>41.52</v>
      </c>
      <c r="O69" s="1562" t="s">
        <v>835</v>
      </c>
      <c r="P69" s="1601" t="s">
        <v>1308</v>
      </c>
      <c r="Q69" s="1554">
        <f ca="1">C39</f>
        <v>5636</v>
      </c>
      <c r="R69" s="1554" t="s">
        <v>1253</v>
      </c>
    </row>
    <row r="70" spans="1:18" s="1518" customFormat="1" ht="13.5" thickBot="1">
      <c r="A70" s="1066"/>
      <c r="B70" s="1067"/>
      <c r="C70" s="316"/>
      <c r="D70" s="1078"/>
      <c r="E70" s="1062" t="s">
        <v>1201</v>
      </c>
      <c r="F70" s="1166"/>
      <c r="O70" s="1562" t="s">
        <v>836</v>
      </c>
      <c r="P70" s="1601" t="s">
        <v>1309</v>
      </c>
      <c r="Q70" s="1554">
        <f ca="1">C13</f>
        <v>86695</v>
      </c>
      <c r="R70" s="1554" t="s">
        <v>1253</v>
      </c>
    </row>
    <row r="71" spans="1:18" s="1518" customFormat="1" ht="13.5" thickBot="1">
      <c r="A71" s="1083" t="s">
        <v>820</v>
      </c>
      <c r="B71" s="1084" t="s">
        <v>1211</v>
      </c>
      <c r="C71" s="342">
        <f ca="1">ROUND(C68*10000/F71,0)</f>
        <v>-8431</v>
      </c>
      <c r="D71" s="1085" t="s">
        <v>1212</v>
      </c>
      <c r="E71" s="1086" t="s">
        <v>1213</v>
      </c>
      <c r="F71" s="345">
        <f ca="1">F43</f>
        <v>175962.71000000002</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6936</v>
      </c>
      <c r="D75" s="1518"/>
      <c r="E75" s="1518"/>
      <c r="F75" s="1518"/>
      <c r="K75" s="1536"/>
      <c r="L75" s="1518"/>
      <c r="O75" s="1552" t="s">
        <v>833</v>
      </c>
      <c r="P75" s="1553" t="s">
        <v>1273</v>
      </c>
      <c r="Q75" s="1554">
        <f ca="1">Q65+Q66</f>
        <v>142549</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-0.23100000000000009</v>
      </c>
    </row>
    <row r="80" spans="1:18">
      <c r="B80" s="346" t="s">
        <v>1235</v>
      </c>
      <c r="C80" s="280">
        <f ca="1">ROUND(C75/C39,3)</f>
        <v>1.2310000000000001</v>
      </c>
    </row>
    <row r="81" spans="2:3">
      <c r="B81" s="276" t="s">
        <v>1236</v>
      </c>
      <c r="C81" s="244"/>
    </row>
    <row r="82" spans="2:3">
      <c r="B82" s="279" t="s">
        <v>1237</v>
      </c>
      <c r="C82" s="281">
        <f ca="1">1-C83</f>
        <v>0.39200000000000002</v>
      </c>
    </row>
    <row r="83" spans="2:3">
      <c r="B83" s="279" t="s">
        <v>1238</v>
      </c>
      <c r="C83" s="280">
        <f ca="1">ROUND(C13/C40,3)</f>
        <v>0.60799999999999998</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3248</v>
      </c>
      <c r="D1" s="1496" t="s">
        <v>70</v>
      </c>
      <c r="E1" s="1497" t="s">
        <v>1111</v>
      </c>
      <c r="F1" s="1174">
        <f ca="1">J53</f>
        <v>41.52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16213</v>
      </c>
      <c r="C2" s="1521" t="s">
        <v>1240</v>
      </c>
      <c r="D2" s="1521"/>
      <c r="E2" s="1522"/>
      <c r="F2" s="1523"/>
      <c r="G2" s="2883"/>
      <c r="H2" s="2872"/>
      <c r="I2" s="2872"/>
      <c r="J2" s="2872"/>
      <c r="K2" s="2873"/>
      <c r="L2" s="2872"/>
      <c r="M2" s="2872"/>
    </row>
    <row r="3" spans="1:37" ht="18" customHeight="1" thickBot="1">
      <c r="A3" s="1524" t="s">
        <v>1241</v>
      </c>
      <c r="B3" s="1525">
        <f ca="1">IF(ISERROR(B2*10000/F43),0,ROUND(B2*10000/F43,0))</f>
        <v>5712</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887</v>
      </c>
      <c r="D5" s="1498" t="s">
        <v>1126</v>
      </c>
      <c r="E5" s="1184"/>
      <c r="F5" s="1185"/>
      <c r="G5" s="1518"/>
      <c r="H5" s="305">
        <v>1</v>
      </c>
      <c r="I5" s="306" t="s">
        <v>1125</v>
      </c>
      <c r="J5" s="1183">
        <f ca="1">J6+J10+J12</f>
        <v>0</v>
      </c>
      <c r="K5" s="1498" t="s">
        <v>1126</v>
      </c>
      <c r="L5" s="1184"/>
      <c r="M5" s="1185"/>
    </row>
    <row r="6" spans="1:37" ht="18" customHeight="1">
      <c r="A6" s="1182" t="s">
        <v>822</v>
      </c>
      <c r="B6" s="3475" t="s">
        <v>1127</v>
      </c>
      <c r="C6" s="1187">
        <f ca="1">ROUND(F6*F8*F7*(1-F9)/10000,0)</f>
        <v>886</v>
      </c>
      <c r="D6" s="160" t="s">
        <v>2606</v>
      </c>
      <c r="E6" s="308" t="s">
        <v>1129</v>
      </c>
      <c r="F6" s="309">
        <f ca="1">INDIRECT("'数据-取费表'!u"&amp;$G$1)</f>
        <v>0.95</v>
      </c>
      <c r="G6" s="1518"/>
      <c r="H6" s="1182" t="s">
        <v>822</v>
      </c>
      <c r="I6" s="3475" t="s">
        <v>1127</v>
      </c>
      <c r="J6" s="307">
        <f ca="1">ROUND(M6*M8*M7*(1-M9)/10000,0)</f>
        <v>0</v>
      </c>
      <c r="K6" s="160" t="s">
        <v>2605</v>
      </c>
      <c r="L6" s="308" t="s">
        <v>1129</v>
      </c>
      <c r="M6" s="309">
        <f ca="1">INDIRECT("'数据-取费表'!z"&amp;$G$1)</f>
        <v>0</v>
      </c>
    </row>
    <row r="7" spans="1:37" ht="18" customHeight="1">
      <c r="A7" s="1186"/>
      <c r="B7" s="3476"/>
      <c r="C7" s="1188"/>
      <c r="D7" s="313"/>
      <c r="E7" s="3237" t="s">
        <v>1130</v>
      </c>
      <c r="F7" s="309">
        <f ca="1">IF(INDIRECT("'数据-取费表'!ah"&amp;$G$1)="",INDIRECT("'数据-取费表'!k"&amp;$G$1),INDIRECT("'数据-取费表'!ah"&amp;$G$1))</f>
        <v>28385.21</v>
      </c>
      <c r="G7" s="1518"/>
      <c r="H7" s="310"/>
      <c r="I7" s="3476"/>
      <c r="J7" s="312"/>
      <c r="K7" s="313"/>
      <c r="L7" s="308" t="s">
        <v>1130</v>
      </c>
      <c r="M7" s="309">
        <f ca="1">F7</f>
        <v>28385.21</v>
      </c>
    </row>
    <row r="8" spans="1:37" ht="18" customHeight="1">
      <c r="A8" s="310"/>
      <c r="B8" s="3476"/>
      <c r="C8" s="312"/>
      <c r="D8" s="313"/>
      <c r="E8" s="308" t="s">
        <v>1131</v>
      </c>
      <c r="F8" s="309">
        <f ca="1">INDIRECT("'数据-取费表'!ai"&amp;$G$1)</f>
        <v>365</v>
      </c>
      <c r="G8" s="1518"/>
      <c r="H8" s="310"/>
      <c r="I8" s="3476"/>
      <c r="J8" s="312"/>
      <c r="K8" s="313"/>
      <c r="L8" s="308" t="s">
        <v>1131</v>
      </c>
      <c r="M8" s="309">
        <f ca="1">INDIRECT("'数据-取费表'!ai"&amp;$G$1)</f>
        <v>365</v>
      </c>
    </row>
    <row r="9" spans="1:37" ht="18" customHeight="1">
      <c r="A9" s="310"/>
      <c r="B9" s="3477"/>
      <c r="C9" s="312"/>
      <c r="D9" s="313"/>
      <c r="E9" s="308" t="s">
        <v>1132</v>
      </c>
      <c r="F9" s="318">
        <f ca="1">INDIRECT("'数据-取费表'!w"&amp;$G$1)</f>
        <v>0.1</v>
      </c>
      <c r="G9" s="1518"/>
      <c r="H9" s="310"/>
      <c r="I9" s="3477"/>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2613</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13156</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9683</v>
      </c>
      <c r="D14" s="3233" t="s">
        <v>1142</v>
      </c>
      <c r="E14" s="3231"/>
      <c r="F14" s="325"/>
      <c r="G14" s="1518"/>
      <c r="H14" s="1094" t="s">
        <v>822</v>
      </c>
      <c r="I14" s="308" t="s">
        <v>1143</v>
      </c>
      <c r="J14" s="24">
        <f ca="1">C29</f>
        <v>13563</v>
      </c>
      <c r="K14" s="3236"/>
      <c r="L14" s="897"/>
      <c r="M14" s="898"/>
    </row>
    <row r="15" spans="1:37" s="1531" customFormat="1" ht="18" customHeight="1" thickBot="1">
      <c r="A15" s="1094" t="s">
        <v>823</v>
      </c>
      <c r="B15" s="308" t="s">
        <v>1144</v>
      </c>
      <c r="C15" s="24">
        <f ca="1">ROUND(C14*F15,0)</f>
        <v>484</v>
      </c>
      <c r="D15" s="3230" t="s">
        <v>1145</v>
      </c>
      <c r="E15" s="3230"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184</v>
      </c>
      <c r="K16" s="1200" t="s">
        <v>1149</v>
      </c>
      <c r="L16" s="3234"/>
      <c r="M16" s="1185"/>
    </row>
    <row r="17" spans="1:37" s="1531" customFormat="1" ht="18" customHeight="1">
      <c r="A17" s="1094" t="s">
        <v>1114</v>
      </c>
      <c r="B17" s="308" t="s">
        <v>1150</v>
      </c>
      <c r="C17" s="24">
        <f ca="1">ROUND(F17*(F43+INDIRECT("'数据-取费表'!S"&amp;$G$1))/10000,0)</f>
        <v>440</v>
      </c>
      <c r="D17" s="308" t="s">
        <v>1151</v>
      </c>
      <c r="E17" s="308" t="s">
        <v>1152</v>
      </c>
      <c r="F17" s="26">
        <f>'数据-取费表'!B35</f>
        <v>150</v>
      </c>
      <c r="G17" s="1530"/>
      <c r="H17" s="1094" t="s">
        <v>822</v>
      </c>
      <c r="I17" s="308" t="s">
        <v>1153</v>
      </c>
      <c r="J17" s="2483">
        <f ca="1">ROUND(IF(AND(项目基本情况!B11="自然人",项目基本情况!B10="北京市"),J6*M17/(1+'数据-取费表'!C42),J18+J19+J20),0)</f>
        <v>116</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145</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10752</v>
      </c>
      <c r="D19" s="136" t="s">
        <v>1160</v>
      </c>
      <c r="E19" s="3239"/>
      <c r="F19" s="26"/>
      <c r="G19" s="1518"/>
      <c r="H19" s="1094" t="s">
        <v>823</v>
      </c>
      <c r="I19" s="308" t="s">
        <v>1161</v>
      </c>
      <c r="J19" s="24">
        <f ca="1">IF(K19="按租金收入计税",ROUND(J6*M19/(1+'数据-取费表'!C42),2),ROUND(C29*M19*0.7,2))</f>
        <v>113.93</v>
      </c>
      <c r="K19" s="1504" t="s">
        <v>1162</v>
      </c>
      <c r="L19" s="308" t="s">
        <v>1146</v>
      </c>
      <c r="M19" s="328">
        <f>IF(K19="按租金收入计税",'数据-取费表'!B51,'数据-取费表'!B50)</f>
        <v>1.2E-2</v>
      </c>
    </row>
    <row r="20" spans="1:37" s="1531" customFormat="1" ht="18" customHeight="1">
      <c r="A20" s="1094" t="s">
        <v>826</v>
      </c>
      <c r="B20" s="308" t="s">
        <v>1163</v>
      </c>
      <c r="C20" s="24">
        <f ca="1">ROUND(C19*F20,0)</f>
        <v>215</v>
      </c>
      <c r="D20" s="329" t="s">
        <v>1164</v>
      </c>
      <c r="E20" s="308" t="s">
        <v>1146</v>
      </c>
      <c r="F20" s="328">
        <f>'数据-取费表'!B37</f>
        <v>0.02</v>
      </c>
      <c r="G20" s="1530"/>
      <c r="H20" s="1094" t="s">
        <v>1113</v>
      </c>
      <c r="I20" s="160" t="s">
        <v>1165</v>
      </c>
      <c r="J20" s="25">
        <f ca="1">ROUND(M20*M21/10000,2)</f>
        <v>2.14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14291.79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67.8</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698</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-184</v>
      </c>
      <c r="K25" s="1208" t="s">
        <v>1188</v>
      </c>
      <c r="L25" s="1209"/>
      <c r="M25" s="1210"/>
    </row>
    <row r="26" spans="1:37">
      <c r="A26" s="1094" t="s">
        <v>821</v>
      </c>
      <c r="B26" s="308" t="s">
        <v>1189</v>
      </c>
      <c r="C26" s="24">
        <f ca="1">ROUND((C19+C20)*F26,0)</f>
        <v>877</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4.9999999999999996E-2</v>
      </c>
    </row>
    <row r="27" spans="1:37" ht="18" customHeight="1">
      <c r="A27" s="1094" t="s">
        <v>823</v>
      </c>
      <c r="B27" s="308" t="s">
        <v>1195</v>
      </c>
      <c r="C27" s="24">
        <f ca="1">ROUND(F21*F26,4)</f>
        <v>1.6000000000000001E-3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13563</v>
      </c>
      <c r="D29" s="1205"/>
      <c r="E29" s="1203"/>
      <c r="F29" s="1206"/>
      <c r="G29" s="1530"/>
      <c r="H29" s="340" t="s">
        <v>820</v>
      </c>
      <c r="I29" s="341" t="s">
        <v>1203</v>
      </c>
      <c r="J29" s="342">
        <f ca="1">ROUND(J26/(1+F40)^F41,0)</f>
        <v>0</v>
      </c>
      <c r="K29" s="343" t="s">
        <v>1204</v>
      </c>
      <c r="L29" s="344"/>
      <c r="M29" s="345">
        <f ca="1">INDIRECT("'数据-取费表'!k"&amp;$G$1)</f>
        <v>28385.21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246</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150</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46.41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101.26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2.14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14291.79</v>
      </c>
      <c r="G35" s="1518"/>
      <c r="H35" s="2874"/>
      <c r="I35" s="1532"/>
      <c r="J35" s="1533"/>
      <c r="K35" s="2878"/>
      <c r="L35" s="2877"/>
      <c r="M35" s="2877"/>
    </row>
    <row r="36" spans="1:18" ht="18" customHeight="1">
      <c r="A36" s="1215" t="s">
        <v>826</v>
      </c>
      <c r="B36" s="308" t="s">
        <v>1173</v>
      </c>
      <c r="C36" s="24">
        <f ca="1">ROUND(C29*F36,1)</f>
        <v>67.8</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19.7</v>
      </c>
      <c r="D37" s="3232" t="s">
        <v>1178</v>
      </c>
      <c r="E37" s="308" t="s">
        <v>1146</v>
      </c>
      <c r="F37" s="336">
        <f ca="1">INDIRECT("'数据-取费表'!Al"&amp;$G$1)</f>
        <v>1.5E-3</v>
      </c>
      <c r="G37" s="1518"/>
      <c r="H37" s="2877"/>
      <c r="I37" s="1532"/>
      <c r="J37" s="1533"/>
      <c r="K37" s="2718"/>
      <c r="L37" s="2877"/>
      <c r="M37" s="2877"/>
    </row>
    <row r="38" spans="1:18" ht="18" customHeight="1" thickBot="1">
      <c r="A38" s="1202" t="s">
        <v>1116</v>
      </c>
      <c r="B38" s="1203" t="s">
        <v>1163</v>
      </c>
      <c r="C38" s="1204">
        <f ca="1">ROUND(C5*F38,1)</f>
        <v>8.9</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641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16213</v>
      </c>
      <c r="D40" s="330" t="s">
        <v>1193</v>
      </c>
      <c r="E40" s="308" t="s">
        <v>1194</v>
      </c>
      <c r="F40" s="318">
        <f ca="1">INDIRECT("'数据-取费表'!I"&amp;$G$1)</f>
        <v>4.9999999999999996E-2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5712</v>
      </c>
      <c r="D43" s="343" t="s">
        <v>1212</v>
      </c>
      <c r="E43" s="344" t="s">
        <v>1213</v>
      </c>
      <c r="F43" s="345">
        <f ca="1">INDIRECT("'数据-取费表'!k"&amp;$G$1)</f>
        <v>28385.21</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-37551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16213</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13563</v>
      </c>
      <c r="R49" s="1554" t="s">
        <v>1253</v>
      </c>
    </row>
    <row r="50" spans="1:18" s="1518" customFormat="1" ht="13.5" thickBot="1">
      <c r="A50" s="1088"/>
      <c r="B50" s="1091"/>
      <c r="C50" s="1231"/>
      <c r="D50" s="1065"/>
      <c r="E50" s="1168" t="s">
        <v>1130</v>
      </c>
      <c r="F50" s="1169">
        <f ca="1">F7</f>
        <v>28385.21</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-8432</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78" t="s">
        <v>1272</v>
      </c>
      <c r="L53" s="3479"/>
      <c r="O53" s="1552" t="s">
        <v>833</v>
      </c>
      <c r="P53" s="1553" t="s">
        <v>1273</v>
      </c>
      <c r="Q53" s="1554">
        <f ca="1">Q47+Q48</f>
        <v>16213</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13156</v>
      </c>
      <c r="D56" s="1581"/>
      <c r="E56" s="1582"/>
      <c r="F56" s="1574"/>
      <c r="I56" s="1583" t="s">
        <v>1278</v>
      </c>
      <c r="J56" s="1584" t="s">
        <v>3243</v>
      </c>
      <c r="K56" s="1555" t="s">
        <v>1279</v>
      </c>
      <c r="L56" s="1558" t="str">
        <f ca="1">IF(L48&lt;J51,"——",L48-J53)</f>
        <v>——</v>
      </c>
      <c r="O56" s="1552" t="s">
        <v>827</v>
      </c>
      <c r="P56" s="1553" t="s">
        <v>1252</v>
      </c>
      <c r="Q56" s="1554">
        <f ca="1">C40+J29</f>
        <v>16213</v>
      </c>
      <c r="R56" s="1554" t="s">
        <v>1253</v>
      </c>
    </row>
    <row r="57" spans="1:18" s="1518" customFormat="1" ht="24.75" thickBot="1">
      <c r="A57" s="1585"/>
      <c r="B57" s="1062" t="s">
        <v>1202</v>
      </c>
      <c r="C57" s="244">
        <f ca="1">C29</f>
        <v>13563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1229</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1141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1139.29</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2.14</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16213</v>
      </c>
      <c r="R62" s="1554" t="s">
        <v>834</v>
      </c>
    </row>
    <row r="63" spans="1:18" s="1518" customFormat="1" ht="13.5" thickBot="1">
      <c r="A63" s="332"/>
      <c r="B63" s="1068"/>
      <c r="C63" s="29"/>
      <c r="D63" s="1078"/>
      <c r="E63" s="1062" t="s">
        <v>1171</v>
      </c>
      <c r="F63" s="309">
        <f t="shared" ca="1" si="0"/>
        <v>14291.79</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67.8</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19.7</v>
      </c>
      <c r="D65" s="1076" t="s">
        <v>1178</v>
      </c>
      <c r="E65" s="1062" t="s">
        <v>1146</v>
      </c>
      <c r="F65" s="336">
        <f t="shared" ca="1" si="0"/>
        <v>1.5E-3</v>
      </c>
      <c r="I65" s="1596" t="s">
        <v>1303</v>
      </c>
      <c r="J65" s="1597">
        <v>40</v>
      </c>
      <c r="K65" s="1597">
        <v>30</v>
      </c>
      <c r="L65" s="1597">
        <v>50</v>
      </c>
      <c r="M65" s="1599">
        <v>0.02</v>
      </c>
      <c r="O65" s="1552" t="s">
        <v>827</v>
      </c>
      <c r="P65" s="1553" t="s">
        <v>1252</v>
      </c>
      <c r="Q65" s="1554">
        <f ca="1">C40+J29</f>
        <v>16213</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-1229</v>
      </c>
      <c r="D67" s="1075" t="s">
        <v>1188</v>
      </c>
      <c r="E67" s="1080"/>
      <c r="F67" s="1081"/>
      <c r="O67" s="1562" t="s">
        <v>829</v>
      </c>
      <c r="P67" s="1553" t="s">
        <v>1286</v>
      </c>
      <c r="Q67" s="1600">
        <f ca="1">L51</f>
        <v>-8432</v>
      </c>
      <c r="R67" s="1554" t="s">
        <v>1306</v>
      </c>
    </row>
    <row r="68" spans="1:18" s="1518" customFormat="1" ht="16.5" thickBot="1">
      <c r="A68" s="1059" t="s">
        <v>819</v>
      </c>
      <c r="B68" s="1060" t="s">
        <v>1209</v>
      </c>
      <c r="C68" s="307">
        <f ca="1">ROUND(C67*(1-((1+F70)/(1+F68))^F69)/(F68-F70),0)</f>
        <v>-21338</v>
      </c>
      <c r="D68" s="1077" t="s">
        <v>1193</v>
      </c>
      <c r="E68" s="1062" t="s">
        <v>1194</v>
      </c>
      <c r="F68" s="318">
        <f ca="1">F40</f>
        <v>4.9999999999999996E-2</v>
      </c>
      <c r="O68" s="1562" t="s">
        <v>830</v>
      </c>
      <c r="P68" s="1601" t="s">
        <v>1307</v>
      </c>
      <c r="Q68" s="1554">
        <f ca="1">ROUND(Q69-Q70*Q71,0)</f>
        <v>-411</v>
      </c>
      <c r="R68" s="1554" t="s">
        <v>838</v>
      </c>
    </row>
    <row r="69" spans="1:18" s="1518" customFormat="1" ht="13.5" thickBot="1">
      <c r="A69" s="1063"/>
      <c r="B69" s="1064"/>
      <c r="C69" s="312"/>
      <c r="D69" s="1082" t="s">
        <v>1197</v>
      </c>
      <c r="E69" s="1062" t="s">
        <v>1198</v>
      </c>
      <c r="F69" s="339">
        <f ca="1">F41</f>
        <v>41.52</v>
      </c>
      <c r="O69" s="1562" t="s">
        <v>835</v>
      </c>
      <c r="P69" s="1601" t="s">
        <v>1308</v>
      </c>
      <c r="Q69" s="1554">
        <f ca="1">C39</f>
        <v>641</v>
      </c>
      <c r="R69" s="1554" t="s">
        <v>1253</v>
      </c>
    </row>
    <row r="70" spans="1:18" s="1518" customFormat="1" ht="13.5" thickBot="1">
      <c r="A70" s="1066"/>
      <c r="B70" s="1067"/>
      <c r="C70" s="316"/>
      <c r="D70" s="1078"/>
      <c r="E70" s="1062" t="s">
        <v>1201</v>
      </c>
      <c r="F70" s="1166"/>
      <c r="O70" s="1562" t="s">
        <v>836</v>
      </c>
      <c r="P70" s="1601" t="s">
        <v>1309</v>
      </c>
      <c r="Q70" s="1554">
        <f ca="1">C13</f>
        <v>13156</v>
      </c>
      <c r="R70" s="1554" t="s">
        <v>1253</v>
      </c>
    </row>
    <row r="71" spans="1:18" s="1518" customFormat="1" ht="13.5" thickBot="1">
      <c r="A71" s="1083" t="s">
        <v>820</v>
      </c>
      <c r="B71" s="1084" t="s">
        <v>1211</v>
      </c>
      <c r="C71" s="342">
        <f ca="1">ROUND(C68*10000/F71,0)</f>
        <v>-7517</v>
      </c>
      <c r="D71" s="1085" t="s">
        <v>1212</v>
      </c>
      <c r="E71" s="1086" t="s">
        <v>1213</v>
      </c>
      <c r="F71" s="345">
        <f ca="1">F43</f>
        <v>28385.21</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1052</v>
      </c>
      <c r="D75" s="1518"/>
      <c r="E75" s="1518"/>
      <c r="F75" s="1518"/>
      <c r="K75" s="1536"/>
      <c r="L75" s="1518"/>
      <c r="O75" s="1552" t="s">
        <v>833</v>
      </c>
      <c r="P75" s="1553" t="s">
        <v>1273</v>
      </c>
      <c r="Q75" s="1554">
        <f ca="1">Q65+Q66</f>
        <v>16213</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-0.64100000000000001</v>
      </c>
    </row>
    <row r="80" spans="1:18">
      <c r="B80" s="346" t="s">
        <v>1235</v>
      </c>
      <c r="C80" s="280">
        <f ca="1">ROUND(C75/C39,3)</f>
        <v>1.641</v>
      </c>
    </row>
    <row r="81" spans="2:3">
      <c r="B81" s="276" t="s">
        <v>1236</v>
      </c>
      <c r="C81" s="244"/>
    </row>
    <row r="82" spans="2:3">
      <c r="B82" s="279" t="s">
        <v>1237</v>
      </c>
      <c r="C82" s="281">
        <f ca="1">1-C83</f>
        <v>0.18899999999999995</v>
      </c>
    </row>
    <row r="83" spans="2:3">
      <c r="B83" s="279" t="s">
        <v>1238</v>
      </c>
      <c r="C83" s="280">
        <f ca="1">ROUND(C13/C40,3)</f>
        <v>0.81100000000000005</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75" t="s">
        <v>1127</v>
      </c>
      <c r="C6" s="1187">
        <f ca="1">ROUND(F6*F8*F7*(1-F9),0)</f>
        <v>0</v>
      </c>
      <c r="D6" s="160" t="s">
        <v>2603</v>
      </c>
      <c r="E6" s="308" t="s">
        <v>1129</v>
      </c>
      <c r="F6" s="309">
        <f ca="1">INDIRECT("'数据-取费表'!u"&amp;$G$1)</f>
        <v>0</v>
      </c>
      <c r="G6" s="1518"/>
      <c r="H6" s="1182" t="s">
        <v>822</v>
      </c>
      <c r="I6" s="3475" t="s">
        <v>1127</v>
      </c>
      <c r="J6" s="307">
        <f ca="1">ROUND(M6*M8*M7*(1-M9),0)</f>
        <v>0</v>
      </c>
      <c r="K6" s="1510" t="s">
        <v>2604</v>
      </c>
      <c r="L6" s="308" t="s">
        <v>1129</v>
      </c>
      <c r="M6" s="309">
        <f ca="1">INDIRECT("'数据-取费表'!z"&amp;$G$1)</f>
        <v>0</v>
      </c>
    </row>
    <row r="7" spans="1:37" ht="18" customHeight="1">
      <c r="A7" s="1186"/>
      <c r="B7" s="3476"/>
      <c r="C7" s="1188"/>
      <c r="D7" s="313"/>
      <c r="E7" s="1189" t="s">
        <v>1130</v>
      </c>
      <c r="F7" s="309">
        <f ca="1">IF(INDIRECT("'数据-取费表'!ah"&amp;$G$1)="",INDIRECT("'数据-取费表'!k"&amp;$G$1),INDIRECT("'数据-取费表'!ah"&amp;$G$1))</f>
        <v>0</v>
      </c>
      <c r="G7" s="1518"/>
      <c r="H7" s="310"/>
      <c r="I7" s="3476"/>
      <c r="J7" s="312"/>
      <c r="K7" s="313"/>
      <c r="L7" s="308" t="s">
        <v>1130</v>
      </c>
      <c r="M7" s="309">
        <f ca="1">F7</f>
        <v>0</v>
      </c>
    </row>
    <row r="8" spans="1:37" ht="18" customHeight="1">
      <c r="A8" s="310"/>
      <c r="B8" s="3476"/>
      <c r="C8" s="312"/>
      <c r="D8" s="313"/>
      <c r="E8" s="308" t="s">
        <v>1131</v>
      </c>
      <c r="F8" s="309">
        <f ca="1">INDIRECT("'数据-取费表'!ai"&amp;$G$1)</f>
        <v>0</v>
      </c>
      <c r="G8" s="1518"/>
      <c r="H8" s="310"/>
      <c r="I8" s="3476"/>
      <c r="J8" s="312"/>
      <c r="K8" s="313"/>
      <c r="L8" s="308" t="s">
        <v>1131</v>
      </c>
      <c r="M8" s="309">
        <f ca="1">INDIRECT("'数据-取费表'!ai"&amp;$G$1)</f>
        <v>0</v>
      </c>
    </row>
    <row r="9" spans="1:37" ht="18" customHeight="1">
      <c r="A9" s="310"/>
      <c r="B9" s="3477"/>
      <c r="C9" s="312"/>
      <c r="D9" s="313"/>
      <c r="E9" s="308" t="s">
        <v>1132</v>
      </c>
      <c r="F9" s="318">
        <f ca="1">INDIRECT("'数据-取费表'!w"&amp;$G$1)</f>
        <v>0</v>
      </c>
      <c r="G9" s="1518"/>
      <c r="H9" s="310"/>
      <c r="I9" s="3477"/>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150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0</v>
      </c>
      <c r="K53" s="3478" t="s">
        <v>1272</v>
      </c>
      <c r="L53" s="3479"/>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480" t="s">
        <v>2819</v>
      </c>
      <c r="K2" s="3481"/>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482" t="s">
        <v>2829</v>
      </c>
      <c r="K3" s="3483"/>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482" t="s">
        <v>2831</v>
      </c>
      <c r="K4" s="3483"/>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484" t="s">
        <v>2835</v>
      </c>
      <c r="B6" s="3485"/>
      <c r="C6" s="3486"/>
      <c r="D6" s="3049"/>
      <c r="E6" s="3050"/>
      <c r="F6" s="3051"/>
      <c r="G6" s="3052"/>
      <c r="H6" s="3027"/>
      <c r="I6" s="3028"/>
      <c r="J6" s="3487">
        <v>1</v>
      </c>
      <c r="K6" s="3488"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487"/>
      <c r="K7" s="3489"/>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491" t="s">
        <v>2849</v>
      </c>
      <c r="C8" s="3492"/>
      <c r="D8" s="3068" t="s">
        <v>2850</v>
      </c>
      <c r="E8" s="3069" t="s">
        <v>2851</v>
      </c>
      <c r="F8" s="3070" t="s">
        <v>2852</v>
      </c>
      <c r="G8" s="3071"/>
      <c r="H8" s="3027"/>
      <c r="I8" s="3028"/>
      <c r="J8" s="3487"/>
      <c r="K8" s="3489"/>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491" t="s">
        <v>2855</v>
      </c>
      <c r="C9" s="3492"/>
      <c r="D9" s="3068">
        <f>ROUND(D6*E9,0)</f>
        <v>0</v>
      </c>
      <c r="E9" s="3072"/>
      <c r="F9" s="3073" t="s">
        <v>2856</v>
      </c>
      <c r="G9" s="3052"/>
      <c r="H9" s="3027"/>
      <c r="I9" s="3028"/>
      <c r="J9" s="3487"/>
      <c r="K9" s="3489"/>
      <c r="L9" s="3062" t="s">
        <v>2857</v>
      </c>
      <c r="M9" s="3063"/>
      <c r="N9" s="3039"/>
      <c r="O9" s="3064"/>
      <c r="P9" s="3064"/>
      <c r="Q9" s="3065">
        <v>365</v>
      </c>
      <c r="R9" s="3066">
        <f t="shared" si="0"/>
        <v>0</v>
      </c>
      <c r="S9" s="3020"/>
      <c r="T9" s="3020"/>
      <c r="U9" s="3020"/>
      <c r="V9" s="3028"/>
    </row>
    <row r="10" spans="1:22" s="3032" customFormat="1" ht="13.15" customHeight="1">
      <c r="A10" s="3067">
        <v>2</v>
      </c>
      <c r="B10" s="3491" t="s">
        <v>2858</v>
      </c>
      <c r="C10" s="3492"/>
      <c r="D10" s="3068">
        <f>ROUND(D6*E10,0)</f>
        <v>0</v>
      </c>
      <c r="E10" s="3072"/>
      <c r="F10" s="3073" t="s">
        <v>2859</v>
      </c>
      <c r="G10" s="3052"/>
      <c r="H10" s="3027"/>
      <c r="I10" s="3028"/>
      <c r="J10" s="3487"/>
      <c r="K10" s="3489"/>
      <c r="L10" s="3062" t="s">
        <v>2860</v>
      </c>
      <c r="M10" s="3063"/>
      <c r="N10" s="3039"/>
      <c r="O10" s="3064"/>
      <c r="P10" s="3064"/>
      <c r="Q10" s="3065">
        <v>365</v>
      </c>
      <c r="R10" s="3066">
        <f t="shared" si="0"/>
        <v>0</v>
      </c>
      <c r="S10" s="3020"/>
      <c r="T10" s="3020"/>
      <c r="U10" s="3020"/>
      <c r="V10" s="3028"/>
    </row>
    <row r="11" spans="1:22" s="3032" customFormat="1" ht="13.15" customHeight="1">
      <c r="A11" s="3067">
        <v>3</v>
      </c>
      <c r="B11" s="3491" t="s">
        <v>2861</v>
      </c>
      <c r="C11" s="3492"/>
      <c r="D11" s="3068">
        <f>D12+D14+D15+D16</f>
        <v>0</v>
      </c>
      <c r="E11" s="3074" t="e">
        <f>D11/D6</f>
        <v>#DIV/0!</v>
      </c>
      <c r="F11" s="3070"/>
      <c r="G11" s="3071"/>
      <c r="H11" s="3027"/>
      <c r="I11" s="3028"/>
      <c r="J11" s="3487"/>
      <c r="K11" s="3489"/>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493" t="s">
        <v>2864</v>
      </c>
      <c r="C12" s="3494"/>
      <c r="D12" s="3076">
        <f>ROUND(D13*1.2%*(1-30%),0)</f>
        <v>0</v>
      </c>
      <c r="E12" s="3077">
        <v>1.2E-2</v>
      </c>
      <c r="F12" s="3070" t="s">
        <v>2865</v>
      </c>
      <c r="G12" s="3071"/>
      <c r="H12" s="3027"/>
      <c r="I12" s="3028"/>
      <c r="J12" s="3487"/>
      <c r="K12" s="3489"/>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487"/>
      <c r="K13" s="3489"/>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493" t="s">
        <v>2870</v>
      </c>
      <c r="C14" s="3494"/>
      <c r="D14" s="3076">
        <f>ROUND(E14*B5/10000,0)</f>
        <v>0</v>
      </c>
      <c r="E14" s="3065"/>
      <c r="F14" s="3070" t="s">
        <v>2871</v>
      </c>
      <c r="G14" s="3071"/>
      <c r="H14" s="3027"/>
      <c r="I14" s="3028"/>
      <c r="J14" s="3487"/>
      <c r="K14" s="3490"/>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493" t="s">
        <v>2874</v>
      </c>
      <c r="C15" s="3494"/>
      <c r="D15" s="3076">
        <f>ROUND(D6*E15,0)</f>
        <v>0</v>
      </c>
      <c r="E15" s="3077">
        <v>5.5E-2</v>
      </c>
      <c r="F15" s="3070" t="s">
        <v>2875</v>
      </c>
      <c r="G15" s="3052"/>
      <c r="H15" s="3027"/>
      <c r="I15" s="3028"/>
      <c r="J15" s="3487">
        <v>2</v>
      </c>
      <c r="K15" s="3488"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493" t="s">
        <v>2883</v>
      </c>
      <c r="C16" s="3494"/>
      <c r="D16" s="3087">
        <f>D6*E16</f>
        <v>0</v>
      </c>
      <c r="E16" s="3088"/>
      <c r="F16" s="3073" t="s">
        <v>2884</v>
      </c>
      <c r="G16" s="3052"/>
      <c r="H16" s="3027"/>
      <c r="I16" s="3028"/>
      <c r="J16" s="3487"/>
      <c r="K16" s="3489"/>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495" t="s">
        <v>2886</v>
      </c>
      <c r="C17" s="3496"/>
      <c r="D17" s="3090">
        <f>ROUND(D6*E17,0)</f>
        <v>0</v>
      </c>
      <c r="E17" s="3091"/>
      <c r="F17" s="3092" t="s">
        <v>2887</v>
      </c>
      <c r="G17" s="3052"/>
      <c r="H17" s="3027"/>
      <c r="I17" s="3028"/>
      <c r="J17" s="3487"/>
      <c r="K17" s="3489"/>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487"/>
      <c r="K18" s="3489"/>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487"/>
      <c r="K19" s="3490"/>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87">
        <v>3</v>
      </c>
      <c r="K20" s="3488"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487"/>
      <c r="K21" s="3489"/>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487"/>
      <c r="K22" s="3489"/>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487"/>
      <c r="K23" s="3489"/>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487"/>
      <c r="K24" s="3490"/>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497">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498"/>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480" t="s">
        <v>2819</v>
      </c>
      <c r="K32" s="3481"/>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482" t="s">
        <v>2829</v>
      </c>
      <c r="K33" s="3483"/>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482" t="s">
        <v>2831</v>
      </c>
      <c r="K34" s="348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487">
        <v>1</v>
      </c>
      <c r="K36" s="3488"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487"/>
      <c r="K37" s="3489"/>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87"/>
      <c r="K38" s="3489"/>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487"/>
      <c r="K39" s="3489"/>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487"/>
      <c r="K40" s="3490"/>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497">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498"/>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4"/>
      <c r="G1" s="1624"/>
      <c r="H1" s="1624"/>
      <c r="I1" s="1624"/>
      <c r="J1" s="1624"/>
      <c r="K1" s="1624"/>
      <c r="L1" s="1624"/>
      <c r="M1" s="1624"/>
      <c r="N1" s="1624"/>
      <c r="O1" s="1624"/>
      <c r="P1" s="1624"/>
      <c r="Q1" s="1624"/>
      <c r="R1" s="1624"/>
      <c r="S1" s="1624"/>
    </row>
    <row r="2" spans="1:22" ht="15.75">
      <c r="A2" s="2005" t="s">
        <v>1905</v>
      </c>
      <c r="B2" s="2006">
        <f ca="1">SUMIF(B6:B13,"&lt;&gt;#ref!",B6:B13)</f>
        <v>162085</v>
      </c>
      <c r="C2" s="2007" t="s">
        <v>2097</v>
      </c>
      <c r="D2" s="2008" t="s">
        <v>2098</v>
      </c>
      <c r="E2" s="2781">
        <f>SUM(E6:E13)</f>
        <v>242531.24000000002</v>
      </c>
      <c r="F2" s="2884"/>
      <c r="G2" s="1624"/>
      <c r="H2" s="1624"/>
      <c r="I2" s="1624"/>
      <c r="J2" s="1624"/>
      <c r="K2" s="1624"/>
      <c r="L2" s="1624"/>
      <c r="M2" s="1624"/>
      <c r="N2" s="1624"/>
      <c r="O2" s="1624"/>
      <c r="P2" s="1624"/>
      <c r="Q2" s="1624"/>
      <c r="R2" s="1624"/>
      <c r="S2" s="1624"/>
    </row>
    <row r="3" spans="1:22" ht="15.75">
      <c r="A3" s="2005" t="s">
        <v>1119</v>
      </c>
      <c r="B3" s="2775">
        <f ca="1">ROUND(B2*10000/E2,0)</f>
        <v>6683</v>
      </c>
      <c r="C3" s="2007"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499" t="s">
        <v>2100</v>
      </c>
      <c r="C5" s="3500"/>
      <c r="D5" s="2885"/>
      <c r="E5" s="2009" t="s">
        <v>2101</v>
      </c>
      <c r="F5" s="2010" t="s">
        <v>2102</v>
      </c>
      <c r="G5" s="1624"/>
      <c r="H5" s="1624"/>
      <c r="I5" s="1624"/>
      <c r="J5" s="1624"/>
      <c r="K5" s="1624"/>
      <c r="L5" s="1624"/>
      <c r="M5" s="1624"/>
      <c r="N5" s="1624"/>
      <c r="O5" s="1624"/>
      <c r="P5" s="1624"/>
      <c r="Q5" s="1624"/>
      <c r="R5" s="1624"/>
      <c r="S5" s="1624"/>
    </row>
    <row r="6" spans="1:22">
      <c r="A6" s="2778" t="str">
        <f>'数据-取费表'!AN6</f>
        <v>收益法</v>
      </c>
      <c r="B6" s="2776">
        <f ca="1">IF(F6="是",'数据-取费表'!AO6,0)</f>
        <v>142549</v>
      </c>
      <c r="C6" s="2007" t="s">
        <v>2097</v>
      </c>
      <c r="D6" s="2886"/>
      <c r="E6" s="2780">
        <f>IF(OR(A6=0,F6="否"),0,'数据-取费表'!K6+'数据-取费表'!S6)</f>
        <v>181907.21000000002</v>
      </c>
      <c r="F6" s="2011" t="s">
        <v>2103</v>
      </c>
      <c r="G6" s="1624"/>
      <c r="H6" s="1624"/>
      <c r="I6" s="1624"/>
      <c r="J6" s="1624"/>
      <c r="K6" s="1624"/>
      <c r="L6" s="1624"/>
      <c r="M6" s="1624"/>
      <c r="N6" s="1624"/>
      <c r="O6" s="1624"/>
      <c r="P6" s="1624"/>
      <c r="Q6" s="1624"/>
      <c r="R6" s="1624"/>
      <c r="S6" s="1624"/>
    </row>
    <row r="7" spans="1:22">
      <c r="A7" s="2778" t="str">
        <f>'数据-取费表'!AN7</f>
        <v>收益法地下厂房</v>
      </c>
      <c r="B7" s="2776">
        <f ca="1">IF(F7="是",'数据-取费表'!AO7,0)</f>
        <v>16213</v>
      </c>
      <c r="C7" s="2007" t="s">
        <v>2097</v>
      </c>
      <c r="D7" s="2886"/>
      <c r="E7" s="2780">
        <f>IF(OR(A7=0,F7="否"),0,'数据-取费表'!K7+'数据-取费表'!S7)</f>
        <v>29344.14</v>
      </c>
      <c r="F7" s="2011" t="s">
        <v>2103</v>
      </c>
      <c r="G7" s="1624"/>
      <c r="H7" s="1624"/>
      <c r="I7" s="1624"/>
      <c r="J7" s="1624"/>
      <c r="K7" s="1624"/>
      <c r="L7" s="1624"/>
      <c r="M7" s="1624"/>
      <c r="N7" s="1624"/>
      <c r="O7" s="1624"/>
      <c r="P7" s="1624"/>
      <c r="Q7" s="1624"/>
      <c r="R7" s="1624"/>
      <c r="S7" s="1624"/>
    </row>
    <row r="8" spans="1:22">
      <c r="A8" s="2778" t="str">
        <f>'数据-取费表'!AN8</f>
        <v>收益法地下车库</v>
      </c>
      <c r="B8" s="2776">
        <f ca="1">IF(F8="是",'数据-取费表'!AO8,0)</f>
        <v>3323</v>
      </c>
      <c r="C8" s="2007" t="s">
        <v>2097</v>
      </c>
      <c r="D8" s="2886"/>
      <c r="E8" s="2780">
        <f>IF(OR(A8=0,F8="否"),0,'数据-取费表'!K8+'数据-取费表'!S8)</f>
        <v>31279.889999999996</v>
      </c>
      <c r="F8" s="2011" t="s">
        <v>2103</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2097</v>
      </c>
      <c r="D9" s="2886"/>
      <c r="E9" s="2780">
        <f>IF(OR(A9=0,F9="否"),0,'数据-取费表'!K9+'数据-取费表'!S9)</f>
        <v>0</v>
      </c>
      <c r="F9" s="2011"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2097</v>
      </c>
      <c r="D10" s="2886"/>
      <c r="E10" s="2780">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2097</v>
      </c>
      <c r="D11" s="2886"/>
      <c r="E11" s="2780">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2097</v>
      </c>
      <c r="D12" s="2886"/>
      <c r="E12" s="2780">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2111</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242531.24</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2113</v>
      </c>
      <c r="B4" s="362"/>
      <c r="C4" s="3519" t="s">
        <v>2114</v>
      </c>
      <c r="D4" s="3520"/>
      <c r="E4" s="3521" t="s">
        <v>2115</v>
      </c>
      <c r="F4" s="3522"/>
      <c r="G4" s="3519" t="s">
        <v>2116</v>
      </c>
      <c r="H4" s="3520"/>
      <c r="I4" s="3519" t="s">
        <v>2117</v>
      </c>
      <c r="J4" s="3520"/>
      <c r="K4" s="2024" t="s">
        <v>2118</v>
      </c>
      <c r="L4" s="2892"/>
      <c r="M4" s="2893"/>
      <c r="N4" s="2893"/>
      <c r="O4" s="2893"/>
      <c r="P4" s="3523" t="s">
        <v>2119</v>
      </c>
      <c r="Q4" s="3524"/>
      <c r="R4" s="3506" t="s">
        <v>2115</v>
      </c>
      <c r="S4" s="3507"/>
      <c r="T4" s="3506" t="s">
        <v>2116</v>
      </c>
      <c r="U4" s="3507"/>
      <c r="V4" s="3531" t="s">
        <v>2117</v>
      </c>
      <c r="W4" s="3531"/>
      <c r="X4" s="1489"/>
      <c r="Y4" s="3506" t="s">
        <v>2119</v>
      </c>
      <c r="Z4" s="3507"/>
      <c r="AA4" s="3501" t="s">
        <v>2115</v>
      </c>
      <c r="AB4" s="3501" t="s">
        <v>2116</v>
      </c>
      <c r="AC4" s="3501" t="s">
        <v>2117</v>
      </c>
    </row>
    <row r="5" spans="1:29" ht="15">
      <c r="A5" s="364"/>
      <c r="B5" s="365"/>
      <c r="C5" s="3512" t="s">
        <v>2120</v>
      </c>
      <c r="D5" s="3513"/>
      <c r="E5" s="3510" t="s">
        <v>2121</v>
      </c>
      <c r="F5" s="3511"/>
      <c r="G5" s="3512" t="s">
        <v>2122</v>
      </c>
      <c r="H5" s="3513"/>
      <c r="I5" s="3512" t="s">
        <v>2123</v>
      </c>
      <c r="J5" s="3513"/>
      <c r="K5" s="2025"/>
      <c r="L5" s="2892"/>
      <c r="M5" s="2893"/>
      <c r="N5" s="2893"/>
      <c r="O5" s="2893"/>
      <c r="P5" s="3525"/>
      <c r="Q5" s="3526"/>
      <c r="R5" s="3508"/>
      <c r="S5" s="3509"/>
      <c r="T5" s="3508"/>
      <c r="U5" s="3509"/>
      <c r="V5" s="3531"/>
      <c r="W5" s="3531"/>
      <c r="X5" s="1489"/>
      <c r="Y5" s="3508"/>
      <c r="Z5" s="3509"/>
      <c r="AA5" s="3502"/>
      <c r="AB5" s="3502"/>
      <c r="AC5" s="3502"/>
    </row>
    <row r="6" spans="1:29" ht="15.75" thickBot="1">
      <c r="A6" s="366"/>
      <c r="B6" s="367"/>
      <c r="C6" s="3514" t="s">
        <v>2124</v>
      </c>
      <c r="D6" s="3515"/>
      <c r="E6" s="3516" t="s">
        <v>2124</v>
      </c>
      <c r="F6" s="3517"/>
      <c r="G6" s="3514" t="s">
        <v>2124</v>
      </c>
      <c r="H6" s="3515"/>
      <c r="I6" s="3514" t="s">
        <v>2124</v>
      </c>
      <c r="J6" s="3515"/>
      <c r="K6" s="2025" t="s">
        <v>2125</v>
      </c>
      <c r="L6" s="2892"/>
      <c r="M6" s="2893"/>
      <c r="N6" s="2893"/>
      <c r="O6" s="2893"/>
      <c r="P6" s="3527"/>
      <c r="Q6" s="3528"/>
      <c r="R6" s="3508"/>
      <c r="S6" s="3509"/>
      <c r="T6" s="3529"/>
      <c r="U6" s="3530"/>
      <c r="V6" s="3531"/>
      <c r="W6" s="3531"/>
      <c r="X6" s="1489"/>
      <c r="Y6" s="3529"/>
      <c r="Z6" s="3530"/>
      <c r="AA6" s="3503"/>
      <c r="AB6" s="3503"/>
      <c r="AC6" s="3503"/>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504" t="s">
        <v>2127</v>
      </c>
      <c r="Q7" s="3532"/>
      <c r="R7" s="710" t="s">
        <v>23</v>
      </c>
      <c r="S7" s="711">
        <f t="shared" ref="S7:S15" si="0">F7</f>
        <v>0</v>
      </c>
      <c r="T7" s="710" t="s">
        <v>23</v>
      </c>
      <c r="U7" s="711">
        <f t="shared" ref="U7:U15" si="1">H7</f>
        <v>0</v>
      </c>
      <c r="V7" s="710" t="s">
        <v>23</v>
      </c>
      <c r="W7" s="711">
        <f t="shared" ref="W7:W15" si="2">J7</f>
        <v>0</v>
      </c>
      <c r="X7" s="712"/>
      <c r="Y7" s="3504" t="s">
        <v>2127</v>
      </c>
      <c r="Z7" s="3505"/>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504" t="s">
        <v>2130</v>
      </c>
      <c r="Q8" s="3505"/>
      <c r="R8" s="710" t="s">
        <v>23</v>
      </c>
      <c r="S8" s="711">
        <f t="shared" si="0"/>
        <v>0</v>
      </c>
      <c r="T8" s="710" t="s">
        <v>23</v>
      </c>
      <c r="U8" s="711">
        <f t="shared" si="1"/>
        <v>0</v>
      </c>
      <c r="V8" s="710" t="s">
        <v>23</v>
      </c>
      <c r="W8" s="711">
        <f t="shared" si="2"/>
        <v>0</v>
      </c>
      <c r="X8" s="712"/>
      <c r="Y8" s="3504" t="s">
        <v>2130</v>
      </c>
      <c r="Z8" s="3505"/>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18"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18"/>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18"/>
      <c r="Q11" s="1477" t="str">
        <f t="shared" si="6"/>
        <v>容积率</v>
      </c>
      <c r="R11" s="710" t="s">
        <v>21</v>
      </c>
      <c r="S11" s="711" t="e">
        <f t="shared" si="0"/>
        <v>#N/A</v>
      </c>
      <c r="T11" s="710" t="s">
        <v>21</v>
      </c>
      <c r="U11" s="711" t="e">
        <f t="shared" si="1"/>
        <v>#N/A</v>
      </c>
      <c r="V11" s="710" t="s">
        <v>21</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18"/>
      <c r="Q12" s="1477">
        <f t="shared" si="6"/>
        <v>111</v>
      </c>
      <c r="R12" s="710" t="s">
        <v>21</v>
      </c>
      <c r="S12" s="711">
        <f t="shared" si="0"/>
        <v>100</v>
      </c>
      <c r="T12" s="710" t="s">
        <v>21</v>
      </c>
      <c r="U12" s="711">
        <f t="shared" si="1"/>
        <v>100</v>
      </c>
      <c r="V12" s="710" t="s">
        <v>21</v>
      </c>
      <c r="W12" s="711">
        <f t="shared" si="2"/>
        <v>100</v>
      </c>
      <c r="X12" s="712"/>
      <c r="Y12" s="344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18"/>
      <c r="Q13" s="1477">
        <f t="shared" si="6"/>
        <v>111</v>
      </c>
      <c r="R13" s="710" t="s">
        <v>21</v>
      </c>
      <c r="S13" s="711">
        <f t="shared" si="0"/>
        <v>100</v>
      </c>
      <c r="T13" s="710" t="s">
        <v>21</v>
      </c>
      <c r="U13" s="711">
        <f t="shared" si="1"/>
        <v>100</v>
      </c>
      <c r="V13" s="710" t="s">
        <v>21</v>
      </c>
      <c r="W13" s="711">
        <f t="shared" si="2"/>
        <v>100</v>
      </c>
      <c r="X13" s="712"/>
      <c r="Y13" s="3448"/>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18"/>
      <c r="Q14" s="1477">
        <f t="shared" si="6"/>
        <v>111</v>
      </c>
      <c r="R14" s="710" t="s">
        <v>21</v>
      </c>
      <c r="S14" s="711">
        <f t="shared" si="0"/>
        <v>100</v>
      </c>
      <c r="T14" s="710" t="s">
        <v>21</v>
      </c>
      <c r="U14" s="711">
        <f t="shared" si="1"/>
        <v>100</v>
      </c>
      <c r="V14" s="710" t="s">
        <v>21</v>
      </c>
      <c r="W14" s="711">
        <f t="shared" si="2"/>
        <v>100</v>
      </c>
      <c r="X14" s="712"/>
      <c r="Y14" s="3448"/>
      <c r="Z14" s="55">
        <f t="shared" si="7"/>
        <v>111</v>
      </c>
      <c r="AA14" s="713">
        <f t="shared" si="3"/>
        <v>1</v>
      </c>
      <c r="AB14" s="713">
        <f t="shared" si="4"/>
        <v>1</v>
      </c>
      <c r="AC14" s="713">
        <f t="shared" si="5"/>
        <v>1</v>
      </c>
    </row>
    <row r="15" spans="1:29" ht="99.75">
      <c r="A15" s="399" t="s">
        <v>2137</v>
      </c>
      <c r="B15" s="65" t="s">
        <v>1700</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45" t="s">
        <v>2138</v>
      </c>
      <c r="Q15" s="1486" t="str">
        <f t="shared" si="6"/>
        <v>居住社区成熟度</v>
      </c>
      <c r="R15" s="714" t="s">
        <v>21</v>
      </c>
      <c r="S15" s="715">
        <f t="shared" si="0"/>
        <v>100</v>
      </c>
      <c r="T15" s="714" t="s">
        <v>21</v>
      </c>
      <c r="U15" s="715">
        <f t="shared" si="1"/>
        <v>100</v>
      </c>
      <c r="V15" s="714" t="s">
        <v>21</v>
      </c>
      <c r="W15" s="715">
        <f t="shared" si="2"/>
        <v>100</v>
      </c>
      <c r="X15" s="1489"/>
      <c r="Y15" s="3538"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46"/>
      <c r="Q16" s="1486"/>
      <c r="R16" s="714"/>
      <c r="S16" s="715"/>
      <c r="T16" s="714"/>
      <c r="U16" s="715"/>
      <c r="V16" s="714"/>
      <c r="W16" s="715"/>
      <c r="X16" s="1489"/>
      <c r="Y16" s="3539"/>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46"/>
      <c r="Q17" s="1486" t="str">
        <f>B17</f>
        <v>交通便捷度</v>
      </c>
      <c r="R17" s="714" t="s">
        <v>21</v>
      </c>
      <c r="S17" s="715">
        <f>F17</f>
        <v>100</v>
      </c>
      <c r="T17" s="714" t="s">
        <v>21</v>
      </c>
      <c r="U17" s="715">
        <f>H17</f>
        <v>100</v>
      </c>
      <c r="V17" s="714" t="s">
        <v>21</v>
      </c>
      <c r="W17" s="715">
        <f>J17</f>
        <v>100</v>
      </c>
      <c r="X17" s="1489"/>
      <c r="Y17" s="3539"/>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46"/>
      <c r="Q18" s="1486"/>
      <c r="R18" s="714"/>
      <c r="S18" s="715"/>
      <c r="T18" s="714"/>
      <c r="U18" s="715"/>
      <c r="V18" s="714"/>
      <c r="W18" s="715"/>
      <c r="X18" s="1489"/>
      <c r="Y18" s="3539"/>
      <c r="Z18" s="1490"/>
      <c r="AA18" s="1487">
        <v>1</v>
      </c>
      <c r="AB18" s="1487">
        <v>1</v>
      </c>
      <c r="AC18" s="1487">
        <v>1</v>
      </c>
    </row>
    <row r="19" spans="1:29" ht="42.75">
      <c r="A19" s="387"/>
      <c r="B19" s="410" t="s">
        <v>1701</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46"/>
      <c r="Q19" s="1486" t="str">
        <f>B19</f>
        <v>公共配套设施</v>
      </c>
      <c r="R19" s="714" t="s">
        <v>21</v>
      </c>
      <c r="S19" s="715">
        <f>F19</f>
        <v>100</v>
      </c>
      <c r="T19" s="714" t="s">
        <v>21</v>
      </c>
      <c r="U19" s="715">
        <f>H19</f>
        <v>100</v>
      </c>
      <c r="V19" s="714" t="s">
        <v>21</v>
      </c>
      <c r="W19" s="715">
        <f>J19</f>
        <v>100</v>
      </c>
      <c r="X19" s="1489"/>
      <c r="Y19" s="3539"/>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46"/>
      <c r="Q20" s="1486"/>
      <c r="R20" s="714"/>
      <c r="S20" s="715"/>
      <c r="T20" s="714"/>
      <c r="U20" s="715"/>
      <c r="V20" s="714"/>
      <c r="W20" s="715"/>
      <c r="X20" s="1489"/>
      <c r="Y20" s="3539"/>
      <c r="Z20" s="1490"/>
      <c r="AA20" s="1487">
        <v>1</v>
      </c>
      <c r="AB20" s="1487">
        <v>1</v>
      </c>
      <c r="AC20" s="1487">
        <v>1</v>
      </c>
    </row>
    <row r="21" spans="1:29" ht="28.5">
      <c r="A21" s="387"/>
      <c r="B21" s="1246" t="s">
        <v>1703</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46"/>
      <c r="Q21" s="1486" t="str">
        <f>B21</f>
        <v>基础设施水平</v>
      </c>
      <c r="R21" s="714" t="s">
        <v>17</v>
      </c>
      <c r="S21" s="715">
        <f>F21</f>
        <v>100</v>
      </c>
      <c r="T21" s="714" t="s">
        <v>17</v>
      </c>
      <c r="U21" s="715">
        <f>H21</f>
        <v>100</v>
      </c>
      <c r="V21" s="714" t="s">
        <v>17</v>
      </c>
      <c r="W21" s="715">
        <f>J21</f>
        <v>100</v>
      </c>
      <c r="X21" s="1489"/>
      <c r="Y21" s="353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46"/>
      <c r="Q22" s="1486"/>
      <c r="R22" s="714"/>
      <c r="S22" s="715"/>
      <c r="T22" s="714"/>
      <c r="U22" s="715"/>
      <c r="V22" s="714"/>
      <c r="W22" s="715"/>
      <c r="X22" s="1489"/>
      <c r="Y22" s="3539"/>
      <c r="Z22" s="1490"/>
      <c r="AA22" s="1487">
        <v>1</v>
      </c>
      <c r="AB22" s="1487">
        <v>1</v>
      </c>
      <c r="AC22" s="1487">
        <v>1</v>
      </c>
    </row>
    <row r="23" spans="1:29" ht="57">
      <c r="A23" s="387"/>
      <c r="B23" s="410" t="s">
        <v>1704</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46"/>
      <c r="Q23" s="1486" t="str">
        <f>B23</f>
        <v>自然及人文环境</v>
      </c>
      <c r="R23" s="714" t="s">
        <v>21</v>
      </c>
      <c r="S23" s="715">
        <f>F23</f>
        <v>100</v>
      </c>
      <c r="T23" s="714" t="s">
        <v>21</v>
      </c>
      <c r="U23" s="715">
        <f>H23</f>
        <v>100</v>
      </c>
      <c r="V23" s="714" t="s">
        <v>21</v>
      </c>
      <c r="W23" s="715">
        <f>J23</f>
        <v>100</v>
      </c>
      <c r="X23" s="1489"/>
      <c r="Y23" s="3539"/>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46"/>
      <c r="Q24" s="1486"/>
      <c r="R24" s="714"/>
      <c r="S24" s="715"/>
      <c r="T24" s="714"/>
      <c r="U24" s="715"/>
      <c r="V24" s="714"/>
      <c r="W24" s="715"/>
      <c r="X24" s="1489"/>
      <c r="Y24" s="3539"/>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46"/>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39"/>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46"/>
      <c r="Q26" s="1486" t="str">
        <f t="shared" si="11"/>
        <v>朝向</v>
      </c>
      <c r="R26" s="714" t="s">
        <v>21</v>
      </c>
      <c r="S26" s="715">
        <f t="shared" si="12"/>
        <v>100</v>
      </c>
      <c r="T26" s="714" t="s">
        <v>21</v>
      </c>
      <c r="U26" s="715">
        <f t="shared" si="13"/>
        <v>100</v>
      </c>
      <c r="V26" s="714" t="s">
        <v>21</v>
      </c>
      <c r="W26" s="715">
        <f t="shared" si="14"/>
        <v>100</v>
      </c>
      <c r="X26" s="1489"/>
      <c r="Y26" s="3539"/>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46"/>
      <c r="Q27" s="1477">
        <f t="shared" si="11"/>
        <v>111</v>
      </c>
      <c r="R27" s="710" t="s">
        <v>21</v>
      </c>
      <c r="S27" s="711">
        <f t="shared" si="12"/>
        <v>100</v>
      </c>
      <c r="T27" s="710" t="s">
        <v>21</v>
      </c>
      <c r="U27" s="711">
        <f t="shared" si="13"/>
        <v>100</v>
      </c>
      <c r="V27" s="710" t="s">
        <v>21</v>
      </c>
      <c r="W27" s="711">
        <f t="shared" si="14"/>
        <v>100</v>
      </c>
      <c r="X27" s="712"/>
      <c r="Y27" s="3539"/>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46"/>
      <c r="Q28" s="1486">
        <f t="shared" si="11"/>
        <v>111</v>
      </c>
      <c r="R28" s="714" t="s">
        <v>21</v>
      </c>
      <c r="S28" s="715">
        <f t="shared" si="12"/>
        <v>100</v>
      </c>
      <c r="T28" s="714" t="s">
        <v>21</v>
      </c>
      <c r="U28" s="715">
        <f t="shared" si="13"/>
        <v>100</v>
      </c>
      <c r="V28" s="714" t="s">
        <v>21</v>
      </c>
      <c r="W28" s="715">
        <f t="shared" si="14"/>
        <v>100</v>
      </c>
      <c r="X28" s="1489"/>
      <c r="Y28" s="3539"/>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46"/>
      <c r="Q29" s="1486">
        <f t="shared" si="11"/>
        <v>111</v>
      </c>
      <c r="R29" s="714" t="s">
        <v>21</v>
      </c>
      <c r="S29" s="715">
        <f t="shared" si="12"/>
        <v>100</v>
      </c>
      <c r="T29" s="714" t="s">
        <v>21</v>
      </c>
      <c r="U29" s="715">
        <f t="shared" si="13"/>
        <v>100</v>
      </c>
      <c r="V29" s="714" t="s">
        <v>21</v>
      </c>
      <c r="W29" s="715">
        <f t="shared" si="14"/>
        <v>100</v>
      </c>
      <c r="X29" s="1489"/>
      <c r="Y29" s="3539"/>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46"/>
      <c r="Q30" s="1486">
        <f t="shared" si="11"/>
        <v>111</v>
      </c>
      <c r="R30" s="714" t="s">
        <v>21</v>
      </c>
      <c r="S30" s="715">
        <f t="shared" si="12"/>
        <v>100</v>
      </c>
      <c r="T30" s="714" t="s">
        <v>21</v>
      </c>
      <c r="U30" s="715">
        <f t="shared" si="13"/>
        <v>100</v>
      </c>
      <c r="V30" s="714" t="s">
        <v>21</v>
      </c>
      <c r="W30" s="715">
        <f t="shared" si="14"/>
        <v>100</v>
      </c>
      <c r="X30" s="1489"/>
      <c r="Y30" s="3539"/>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46"/>
      <c r="Q31" s="1486">
        <f t="shared" si="11"/>
        <v>111</v>
      </c>
      <c r="R31" s="714" t="s">
        <v>21</v>
      </c>
      <c r="S31" s="715">
        <f t="shared" si="12"/>
        <v>100</v>
      </c>
      <c r="T31" s="714" t="s">
        <v>21</v>
      </c>
      <c r="U31" s="715">
        <f t="shared" si="13"/>
        <v>100</v>
      </c>
      <c r="V31" s="714" t="s">
        <v>21</v>
      </c>
      <c r="W31" s="715">
        <f t="shared" si="14"/>
        <v>100</v>
      </c>
      <c r="X31" s="1489"/>
      <c r="Y31" s="3539"/>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40" t="s">
        <v>2143</v>
      </c>
      <c r="Q32" s="1486" t="str">
        <f t="shared" si="11"/>
        <v>建筑类型</v>
      </c>
      <c r="R32" s="714" t="s">
        <v>21</v>
      </c>
      <c r="S32" s="715">
        <f t="shared" si="12"/>
        <v>100</v>
      </c>
      <c r="T32" s="714" t="s">
        <v>21</v>
      </c>
      <c r="U32" s="715">
        <f t="shared" si="13"/>
        <v>100</v>
      </c>
      <c r="V32" s="714" t="s">
        <v>21</v>
      </c>
      <c r="W32" s="715">
        <f t="shared" si="14"/>
        <v>100</v>
      </c>
      <c r="X32" s="1489"/>
      <c r="Y32" s="3543"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41"/>
      <c r="Q33" s="716" t="str">
        <f t="shared" si="11"/>
        <v>项目建筑规模</v>
      </c>
      <c r="R33" s="717" t="s">
        <v>21</v>
      </c>
      <c r="S33" s="718" t="e">
        <f t="shared" si="12"/>
        <v>#N/A</v>
      </c>
      <c r="T33" s="717" t="s">
        <v>21</v>
      </c>
      <c r="U33" s="718" t="e">
        <f t="shared" si="13"/>
        <v>#N/A</v>
      </c>
      <c r="V33" s="717" t="s">
        <v>21</v>
      </c>
      <c r="W33" s="718" t="e">
        <f t="shared" si="14"/>
        <v>#N/A</v>
      </c>
      <c r="X33" s="719"/>
      <c r="Y33" s="3543"/>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41"/>
      <c r="Q34" s="1486" t="str">
        <f t="shared" si="11"/>
        <v>建筑结构</v>
      </c>
      <c r="R34" s="714" t="s">
        <v>21</v>
      </c>
      <c r="S34" s="715">
        <f t="shared" si="12"/>
        <v>100</v>
      </c>
      <c r="T34" s="714" t="s">
        <v>21</v>
      </c>
      <c r="U34" s="715">
        <f t="shared" si="13"/>
        <v>100</v>
      </c>
      <c r="V34" s="714" t="s">
        <v>21</v>
      </c>
      <c r="W34" s="715">
        <f t="shared" si="14"/>
        <v>100</v>
      </c>
      <c r="X34" s="1489"/>
      <c r="Y34" s="3543"/>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41"/>
      <c r="Q35" s="1486" t="str">
        <f t="shared" si="11"/>
        <v>建筑品质</v>
      </c>
      <c r="R35" s="714" t="s">
        <v>21</v>
      </c>
      <c r="S35" s="715">
        <f t="shared" si="12"/>
        <v>100</v>
      </c>
      <c r="T35" s="714" t="s">
        <v>21</v>
      </c>
      <c r="U35" s="715">
        <f t="shared" si="13"/>
        <v>100</v>
      </c>
      <c r="V35" s="714" t="s">
        <v>21</v>
      </c>
      <c r="W35" s="715">
        <f t="shared" si="14"/>
        <v>100</v>
      </c>
      <c r="X35" s="1489"/>
      <c r="Y35" s="3543"/>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41"/>
      <c r="Q36" s="1486" t="str">
        <f t="shared" si="11"/>
        <v>公共部分装修</v>
      </c>
      <c r="R36" s="714" t="s">
        <v>21</v>
      </c>
      <c r="S36" s="715">
        <f t="shared" si="12"/>
        <v>100</v>
      </c>
      <c r="T36" s="714" t="s">
        <v>21</v>
      </c>
      <c r="U36" s="715">
        <f t="shared" si="13"/>
        <v>100</v>
      </c>
      <c r="V36" s="714" t="s">
        <v>21</v>
      </c>
      <c r="W36" s="715">
        <f t="shared" si="14"/>
        <v>100</v>
      </c>
      <c r="X36" s="1489"/>
      <c r="Y36" s="3543"/>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41"/>
      <c r="Q37" s="1477" t="str">
        <f t="shared" si="11"/>
        <v>成新度</v>
      </c>
      <c r="R37" s="710" t="s">
        <v>21</v>
      </c>
      <c r="S37" s="711" t="e">
        <f t="shared" si="12"/>
        <v>#N/A</v>
      </c>
      <c r="T37" s="710" t="s">
        <v>21</v>
      </c>
      <c r="U37" s="711" t="e">
        <f t="shared" si="13"/>
        <v>#N/A</v>
      </c>
      <c r="V37" s="710" t="s">
        <v>21</v>
      </c>
      <c r="W37" s="711" t="e">
        <f t="shared" si="14"/>
        <v>#N/A</v>
      </c>
      <c r="X37" s="712"/>
      <c r="Y37" s="3543"/>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41" t="s">
        <v>2143</v>
      </c>
      <c r="Q38" s="1486" t="str">
        <f t="shared" si="11"/>
        <v>物业管理</v>
      </c>
      <c r="R38" s="714" t="s">
        <v>21</v>
      </c>
      <c r="S38" s="715">
        <f t="shared" si="12"/>
        <v>100</v>
      </c>
      <c r="T38" s="714" t="s">
        <v>21</v>
      </c>
      <c r="U38" s="715">
        <f t="shared" si="13"/>
        <v>100</v>
      </c>
      <c r="V38" s="714" t="s">
        <v>21</v>
      </c>
      <c r="W38" s="715">
        <f t="shared" si="14"/>
        <v>100</v>
      </c>
      <c r="X38" s="1489"/>
      <c r="Y38" s="3543"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41"/>
      <c r="Q39" s="1486" t="str">
        <f t="shared" si="11"/>
        <v>市政基础设施</v>
      </c>
      <c r="R39" s="714" t="s">
        <v>21</v>
      </c>
      <c r="S39" s="715">
        <f t="shared" si="12"/>
        <v>100</v>
      </c>
      <c r="T39" s="714" t="s">
        <v>21</v>
      </c>
      <c r="U39" s="715">
        <f t="shared" si="13"/>
        <v>100</v>
      </c>
      <c r="V39" s="714" t="s">
        <v>21</v>
      </c>
      <c r="W39" s="715">
        <f t="shared" si="14"/>
        <v>100</v>
      </c>
      <c r="X39" s="1489"/>
      <c r="Y39" s="3543"/>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41"/>
      <c r="Q40" s="1486" t="str">
        <f t="shared" si="11"/>
        <v>房型</v>
      </c>
      <c r="R40" s="714" t="s">
        <v>21</v>
      </c>
      <c r="S40" s="715">
        <f t="shared" si="12"/>
        <v>100</v>
      </c>
      <c r="T40" s="714" t="s">
        <v>21</v>
      </c>
      <c r="U40" s="715">
        <f t="shared" si="13"/>
        <v>100</v>
      </c>
      <c r="V40" s="714" t="s">
        <v>21</v>
      </c>
      <c r="W40" s="715">
        <f t="shared" si="14"/>
        <v>100</v>
      </c>
      <c r="X40" s="1489"/>
      <c r="Y40" s="3543"/>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41"/>
      <c r="Q41" s="716" t="str">
        <f t="shared" si="11"/>
        <v>单套/主力户型建筑面积</v>
      </c>
      <c r="R41" s="717" t="s">
        <v>21</v>
      </c>
      <c r="S41" s="718">
        <f t="shared" si="12"/>
        <v>100</v>
      </c>
      <c r="T41" s="717" t="s">
        <v>21</v>
      </c>
      <c r="U41" s="718">
        <f t="shared" si="13"/>
        <v>100</v>
      </c>
      <c r="V41" s="717" t="s">
        <v>21</v>
      </c>
      <c r="W41" s="718">
        <f t="shared" si="14"/>
        <v>100</v>
      </c>
      <c r="X41" s="719"/>
      <c r="Y41" s="3543"/>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41"/>
      <c r="Q42" s="1486" t="str">
        <f t="shared" si="11"/>
        <v>内部装修</v>
      </c>
      <c r="R42" s="714" t="s">
        <v>21</v>
      </c>
      <c r="S42" s="715">
        <f t="shared" si="12"/>
        <v>100</v>
      </c>
      <c r="T42" s="714" t="s">
        <v>21</v>
      </c>
      <c r="U42" s="715">
        <f t="shared" si="13"/>
        <v>100</v>
      </c>
      <c r="V42" s="714" t="s">
        <v>21</v>
      </c>
      <c r="W42" s="715">
        <f t="shared" si="14"/>
        <v>100</v>
      </c>
      <c r="X42" s="1489"/>
      <c r="Y42" s="3543"/>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41"/>
      <c r="Q43" s="1486" t="str">
        <f t="shared" si="11"/>
        <v>内部装修维护情况</v>
      </c>
      <c r="R43" s="714" t="s">
        <v>21</v>
      </c>
      <c r="S43" s="715">
        <f t="shared" si="12"/>
        <v>100</v>
      </c>
      <c r="T43" s="714" t="s">
        <v>21</v>
      </c>
      <c r="U43" s="715">
        <f t="shared" si="13"/>
        <v>100</v>
      </c>
      <c r="V43" s="714" t="s">
        <v>21</v>
      </c>
      <c r="W43" s="715">
        <f t="shared" si="14"/>
        <v>100</v>
      </c>
      <c r="X43" s="1489"/>
      <c r="Y43" s="3543"/>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41"/>
      <c r="Q44" s="1477">
        <f t="shared" si="11"/>
        <v>111</v>
      </c>
      <c r="R44" s="710" t="s">
        <v>21</v>
      </c>
      <c r="S44" s="711">
        <f t="shared" si="12"/>
        <v>100</v>
      </c>
      <c r="T44" s="710" t="s">
        <v>21</v>
      </c>
      <c r="U44" s="711">
        <f t="shared" si="13"/>
        <v>100</v>
      </c>
      <c r="V44" s="710" t="s">
        <v>21</v>
      </c>
      <c r="W44" s="711">
        <f t="shared" si="14"/>
        <v>100</v>
      </c>
      <c r="X44" s="712"/>
      <c r="Y44" s="354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41"/>
      <c r="Q45" s="1486">
        <f t="shared" si="11"/>
        <v>111</v>
      </c>
      <c r="R45" s="714" t="s">
        <v>21</v>
      </c>
      <c r="S45" s="715">
        <f t="shared" si="12"/>
        <v>100</v>
      </c>
      <c r="T45" s="714" t="s">
        <v>21</v>
      </c>
      <c r="U45" s="715">
        <f t="shared" si="13"/>
        <v>100</v>
      </c>
      <c r="V45" s="714" t="s">
        <v>21</v>
      </c>
      <c r="W45" s="715">
        <f t="shared" si="14"/>
        <v>100</v>
      </c>
      <c r="X45" s="1489"/>
      <c r="Y45" s="3543"/>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42"/>
      <c r="Q46" s="1486">
        <f t="shared" si="11"/>
        <v>111</v>
      </c>
      <c r="R46" s="714" t="s">
        <v>20</v>
      </c>
      <c r="S46" s="715">
        <f t="shared" si="12"/>
        <v>100</v>
      </c>
      <c r="T46" s="714" t="s">
        <v>20</v>
      </c>
      <c r="U46" s="715">
        <f t="shared" si="13"/>
        <v>100</v>
      </c>
      <c r="V46" s="714" t="s">
        <v>20</v>
      </c>
      <c r="W46" s="715">
        <f t="shared" si="14"/>
        <v>100</v>
      </c>
      <c r="X46" s="1489"/>
      <c r="Y46" s="3544"/>
      <c r="Z46" s="1490">
        <f t="shared" si="18"/>
        <v>111</v>
      </c>
      <c r="AA46" s="1487">
        <f t="shared" si="15"/>
        <v>1</v>
      </c>
      <c r="AB46" s="1487">
        <f t="shared" si="16"/>
        <v>1</v>
      </c>
      <c r="AC46" s="1487">
        <f t="shared" si="17"/>
        <v>1</v>
      </c>
    </row>
    <row r="47" spans="1:29" ht="15">
      <c r="A47" s="438" t="s">
        <v>2155</v>
      </c>
      <c r="B47" s="439"/>
      <c r="C47" s="1269" t="s">
        <v>19</v>
      </c>
      <c r="D47" s="1270"/>
      <c r="E47" s="1271"/>
      <c r="F47" s="1272"/>
      <c r="G47" s="1273"/>
      <c r="H47" s="1274"/>
      <c r="I47" s="1271"/>
      <c r="J47" s="1274"/>
      <c r="K47" s="2049"/>
      <c r="L47" s="2901"/>
      <c r="M47" s="2902"/>
      <c r="N47" s="2893"/>
      <c r="O47" s="2902"/>
      <c r="P47" s="3536" t="str">
        <f>A47</f>
        <v>成交单价（元/平方米）</v>
      </c>
      <c r="Q47" s="3536"/>
      <c r="R47" s="3537">
        <f>E47</f>
        <v>0</v>
      </c>
      <c r="S47" s="3537"/>
      <c r="T47" s="3537">
        <f>G47</f>
        <v>0</v>
      </c>
      <c r="U47" s="3537"/>
      <c r="V47" s="3537">
        <f>I47</f>
        <v>0</v>
      </c>
      <c r="W47" s="3537"/>
      <c r="X47" s="699"/>
      <c r="Y47" s="721"/>
      <c r="Z47" s="699"/>
      <c r="AA47" s="699"/>
      <c r="AB47" s="699"/>
      <c r="AC47" s="699"/>
    </row>
    <row r="48" spans="1:29" ht="15.75" thickBot="1">
      <c r="A48" s="445" t="s">
        <v>2156</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536" t="str">
        <f>A48</f>
        <v>比较价值（元/平方米）</v>
      </c>
      <c r="Q48" s="3536"/>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0"/>
      <c r="L49" s="2901"/>
      <c r="M49" s="2902"/>
      <c r="N49" s="2902"/>
      <c r="O49" s="2902"/>
      <c r="P49" s="3533" t="str">
        <f>A49</f>
        <v>估价对象XX用房的比较价值（楼面单价，元/平方米）</v>
      </c>
      <c r="Q49" s="3534"/>
      <c r="R49" s="3535" t="e">
        <f>IF(F1="售价",ROUND(IF(D48="简单平均",AVERAGE(R48:V48),R48*F48+T48*H48+V48*J48),0),ROUND(IF(D48="简单平均",AVERAGE(R48:V48),R48*F48+T48*H48+V48*J48),1))</f>
        <v>#DIV/0!</v>
      </c>
      <c r="S49" s="3535"/>
      <c r="T49" s="3535"/>
      <c r="U49" s="3535"/>
      <c r="V49" s="3535"/>
      <c r="W49" s="353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估价对象为北京市房地产，为所有。根据《国有土地使用证》[]，估价对象（分摊）出让国有建设用地使用权面积为118122.57平方米，建筑面积为242531.24平方米。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估价对象为北京市房地产,属开发建设的，该项目尚在开发建设中。根据《国有土地使用证》[]，估价对象（分摊）出让国有建设用地使用权面积为118122.57平方米，规划建筑面积为242531.24平方米。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9" t="e">
        <f ca="1">IF(C2="——",ROUND(C49*D3/10000,0),ROUND(C49*D3/10000,0)-D2)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242531.24</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519" t="s">
        <v>2224</v>
      </c>
      <c r="D4" s="3520"/>
      <c r="E4" s="3521" t="s">
        <v>2225</v>
      </c>
      <c r="F4" s="3522"/>
      <c r="G4" s="3519" t="s">
        <v>2226</v>
      </c>
      <c r="H4" s="3520"/>
      <c r="I4" s="3519" t="s">
        <v>2227</v>
      </c>
      <c r="J4" s="3520"/>
      <c r="K4" s="567" t="s">
        <v>2228</v>
      </c>
      <c r="L4" s="2892"/>
      <c r="M4" s="2893"/>
      <c r="N4" s="2893"/>
      <c r="O4" s="2893"/>
      <c r="P4" s="3523" t="s">
        <v>2229</v>
      </c>
      <c r="Q4" s="3524"/>
      <c r="R4" s="3506" t="s">
        <v>2225</v>
      </c>
      <c r="S4" s="3507"/>
      <c r="T4" s="3506" t="s">
        <v>2226</v>
      </c>
      <c r="U4" s="3507"/>
      <c r="V4" s="3531" t="s">
        <v>2227</v>
      </c>
      <c r="W4" s="3531"/>
      <c r="X4" s="1489"/>
      <c r="Y4" s="3506" t="s">
        <v>2229</v>
      </c>
      <c r="Z4" s="3507"/>
      <c r="AA4" s="3501" t="s">
        <v>2225</v>
      </c>
      <c r="AB4" s="3531" t="s">
        <v>2226</v>
      </c>
      <c r="AC4" s="3501" t="s">
        <v>2227</v>
      </c>
    </row>
    <row r="5" spans="1:29" ht="15">
      <c r="A5" s="364"/>
      <c r="B5" s="365"/>
      <c r="C5" s="3512" t="s">
        <v>2120</v>
      </c>
      <c r="D5" s="3513"/>
      <c r="E5" s="3510" t="s">
        <v>2121</v>
      </c>
      <c r="F5" s="3511"/>
      <c r="G5" s="3512" t="s">
        <v>2122</v>
      </c>
      <c r="H5" s="3513"/>
      <c r="I5" s="3512" t="s">
        <v>2123</v>
      </c>
      <c r="J5" s="3513"/>
      <c r="K5" s="567"/>
      <c r="L5" s="2892"/>
      <c r="M5" s="2893"/>
      <c r="N5" s="2893"/>
      <c r="O5" s="2893"/>
      <c r="P5" s="3525"/>
      <c r="Q5" s="3526"/>
      <c r="R5" s="3508"/>
      <c r="S5" s="3509"/>
      <c r="T5" s="3508"/>
      <c r="U5" s="3509"/>
      <c r="V5" s="3531"/>
      <c r="W5" s="3531"/>
      <c r="X5" s="1489"/>
      <c r="Y5" s="3508"/>
      <c r="Z5" s="3509"/>
      <c r="AA5" s="3502"/>
      <c r="AB5" s="3531"/>
      <c r="AC5" s="3502"/>
    </row>
    <row r="6" spans="1:29" ht="15.75" thickBot="1">
      <c r="A6" s="366"/>
      <c r="B6" s="367"/>
      <c r="C6" s="3514" t="s">
        <v>2124</v>
      </c>
      <c r="D6" s="3515"/>
      <c r="E6" s="3516" t="s">
        <v>2124</v>
      </c>
      <c r="F6" s="3517"/>
      <c r="G6" s="3514" t="s">
        <v>2124</v>
      </c>
      <c r="H6" s="3515"/>
      <c r="I6" s="3514" t="s">
        <v>2124</v>
      </c>
      <c r="J6" s="3515"/>
      <c r="K6" s="567" t="s">
        <v>2125</v>
      </c>
      <c r="L6" s="2892"/>
      <c r="M6" s="2893"/>
      <c r="N6" s="2893"/>
      <c r="O6" s="2893"/>
      <c r="P6" s="3527"/>
      <c r="Q6" s="3528"/>
      <c r="R6" s="3508"/>
      <c r="S6" s="3509"/>
      <c r="T6" s="3529"/>
      <c r="U6" s="3530"/>
      <c r="V6" s="3531"/>
      <c r="W6" s="3531"/>
      <c r="X6" s="1489"/>
      <c r="Y6" s="3529"/>
      <c r="Z6" s="3530"/>
      <c r="AA6" s="3503"/>
      <c r="AB6" s="3531"/>
      <c r="AC6" s="3503"/>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04" t="s">
        <v>2127</v>
      </c>
      <c r="Q7" s="3532"/>
      <c r="R7" s="710" t="s">
        <v>17</v>
      </c>
      <c r="S7" s="711">
        <f t="shared" ref="S7:S15" si="0">F7</f>
        <v>0</v>
      </c>
      <c r="T7" s="710" t="s">
        <v>17</v>
      </c>
      <c r="U7" s="711">
        <f t="shared" ref="U7:U15" si="1">H7</f>
        <v>0</v>
      </c>
      <c r="V7" s="710" t="s">
        <v>17</v>
      </c>
      <c r="W7" s="711">
        <f t="shared" ref="W7:W15" si="2">J7</f>
        <v>0</v>
      </c>
      <c r="X7" s="712"/>
      <c r="Y7" s="3504" t="s">
        <v>2127</v>
      </c>
      <c r="Z7" s="3505"/>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04" t="s">
        <v>2130</v>
      </c>
      <c r="Q8" s="3505"/>
      <c r="R8" s="710" t="s">
        <v>17</v>
      </c>
      <c r="S8" s="711">
        <f t="shared" si="0"/>
        <v>0</v>
      </c>
      <c r="T8" s="710" t="s">
        <v>17</v>
      </c>
      <c r="U8" s="711">
        <f t="shared" si="1"/>
        <v>0</v>
      </c>
      <c r="V8" s="710" t="s">
        <v>17</v>
      </c>
      <c r="W8" s="711">
        <f t="shared" si="2"/>
        <v>0</v>
      </c>
      <c r="X8" s="712"/>
      <c r="Y8" s="3504" t="s">
        <v>2130</v>
      </c>
      <c r="Z8" s="3505"/>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18"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18"/>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18"/>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18"/>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18"/>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18"/>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71.25">
      <c r="A15" s="399" t="s">
        <v>2137</v>
      </c>
      <c r="B15" s="65" t="s">
        <v>2231</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45" t="s">
        <v>2138</v>
      </c>
      <c r="Q15" s="1486" t="str">
        <f t="shared" si="6"/>
        <v>商业繁华度</v>
      </c>
      <c r="R15" s="714" t="s">
        <v>17</v>
      </c>
      <c r="S15" s="715">
        <f t="shared" si="0"/>
        <v>100</v>
      </c>
      <c r="T15" s="714" t="s">
        <v>17</v>
      </c>
      <c r="U15" s="715">
        <f t="shared" si="1"/>
        <v>100</v>
      </c>
      <c r="V15" s="714" t="s">
        <v>17</v>
      </c>
      <c r="W15" s="715">
        <f t="shared" si="2"/>
        <v>100</v>
      </c>
      <c r="X15" s="1489"/>
      <c r="Y15" s="3538"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46"/>
      <c r="Q16" s="1486"/>
      <c r="R16" s="714"/>
      <c r="S16" s="715"/>
      <c r="T16" s="714"/>
      <c r="U16" s="715"/>
      <c r="V16" s="714"/>
      <c r="W16" s="715"/>
      <c r="X16" s="1489"/>
      <c r="Y16" s="3539"/>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46"/>
      <c r="Q17" s="1486" t="str">
        <f>B17</f>
        <v>交通便捷度</v>
      </c>
      <c r="R17" s="714" t="s">
        <v>17</v>
      </c>
      <c r="S17" s="715">
        <f>F17</f>
        <v>100</v>
      </c>
      <c r="T17" s="714" t="s">
        <v>17</v>
      </c>
      <c r="U17" s="715">
        <f>H17</f>
        <v>100</v>
      </c>
      <c r="V17" s="714" t="s">
        <v>17</v>
      </c>
      <c r="W17" s="715">
        <f>J17</f>
        <v>100</v>
      </c>
      <c r="X17" s="1489"/>
      <c r="Y17" s="3539"/>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46"/>
      <c r="Q18" s="1486"/>
      <c r="R18" s="714"/>
      <c r="S18" s="715"/>
      <c r="T18" s="714"/>
      <c r="U18" s="715"/>
      <c r="V18" s="714"/>
      <c r="W18" s="715"/>
      <c r="X18" s="1489"/>
      <c r="Y18" s="3539"/>
      <c r="Z18" s="1490"/>
      <c r="AA18" s="1487">
        <v>1</v>
      </c>
      <c r="AB18" s="1487">
        <v>1</v>
      </c>
      <c r="AC18" s="1487">
        <v>1</v>
      </c>
    </row>
    <row r="19" spans="1:29" ht="42.75">
      <c r="A19" s="387"/>
      <c r="B19" s="410" t="s">
        <v>2232</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46"/>
      <c r="Q19" s="1486" t="str">
        <f>B19</f>
        <v>公共配套设施</v>
      </c>
      <c r="R19" s="714" t="s">
        <v>17</v>
      </c>
      <c r="S19" s="715">
        <f>F19</f>
        <v>100</v>
      </c>
      <c r="T19" s="714" t="s">
        <v>17</v>
      </c>
      <c r="U19" s="715">
        <f>H19</f>
        <v>100</v>
      </c>
      <c r="V19" s="714" t="s">
        <v>17</v>
      </c>
      <c r="W19" s="715">
        <f>J19</f>
        <v>100</v>
      </c>
      <c r="X19" s="1489"/>
      <c r="Y19" s="3539"/>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46"/>
      <c r="Q20" s="1486"/>
      <c r="R20" s="714"/>
      <c r="S20" s="715"/>
      <c r="T20" s="714"/>
      <c r="U20" s="715"/>
      <c r="V20" s="714"/>
      <c r="W20" s="715"/>
      <c r="X20" s="1489"/>
      <c r="Y20" s="3539"/>
      <c r="Z20" s="1490"/>
      <c r="AA20" s="1487">
        <v>1</v>
      </c>
      <c r="AB20" s="1487">
        <v>1</v>
      </c>
      <c r="AC20" s="1487">
        <v>1</v>
      </c>
    </row>
    <row r="21" spans="1:29" ht="28.5">
      <c r="A21" s="387"/>
      <c r="B21" s="1246" t="s">
        <v>2233</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46"/>
      <c r="Q21" s="1486" t="str">
        <f>B21</f>
        <v>基础设施水平</v>
      </c>
      <c r="R21" s="714" t="s">
        <v>17</v>
      </c>
      <c r="S21" s="715">
        <f>F21</f>
        <v>100</v>
      </c>
      <c r="T21" s="714" t="s">
        <v>17</v>
      </c>
      <c r="U21" s="715">
        <f>H21</f>
        <v>100</v>
      </c>
      <c r="V21" s="714" t="s">
        <v>17</v>
      </c>
      <c r="W21" s="715">
        <f>J21</f>
        <v>100</v>
      </c>
      <c r="X21" s="1489"/>
      <c r="Y21" s="353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46"/>
      <c r="Q22" s="1486"/>
      <c r="R22" s="714"/>
      <c r="S22" s="715"/>
      <c r="T22" s="714"/>
      <c r="U22" s="715"/>
      <c r="V22" s="714"/>
      <c r="W22" s="715"/>
      <c r="X22" s="1489"/>
      <c r="Y22" s="3539"/>
      <c r="Z22" s="1490"/>
      <c r="AA22" s="1487">
        <v>1</v>
      </c>
      <c r="AB22" s="1487">
        <v>1</v>
      </c>
      <c r="AC22" s="1487">
        <v>1</v>
      </c>
    </row>
    <row r="23" spans="1:29" ht="57">
      <c r="A23" s="387"/>
      <c r="B23" s="410" t="s">
        <v>1704</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46"/>
      <c r="Q23" s="1486" t="str">
        <f>B23</f>
        <v>自然及人文环境</v>
      </c>
      <c r="R23" s="714" t="s">
        <v>17</v>
      </c>
      <c r="S23" s="715">
        <f>F23</f>
        <v>100</v>
      </c>
      <c r="T23" s="714" t="s">
        <v>17</v>
      </c>
      <c r="U23" s="715">
        <f>H23</f>
        <v>100</v>
      </c>
      <c r="V23" s="714" t="s">
        <v>17</v>
      </c>
      <c r="W23" s="715">
        <f>J23</f>
        <v>100</v>
      </c>
      <c r="X23" s="1489"/>
      <c r="Y23" s="3539"/>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46"/>
      <c r="Q24" s="1486"/>
      <c r="R24" s="714"/>
      <c r="S24" s="715"/>
      <c r="T24" s="714"/>
      <c r="U24" s="715"/>
      <c r="V24" s="714"/>
      <c r="W24" s="715"/>
      <c r="X24" s="1489"/>
      <c r="Y24" s="3539"/>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46"/>
      <c r="Q25" s="1486" t="str">
        <f t="shared" ref="Q25:Q46" si="11">B25</f>
        <v>临街状况</v>
      </c>
      <c r="R25" s="714" t="s">
        <v>17</v>
      </c>
      <c r="S25" s="715">
        <f>F25</f>
        <v>100</v>
      </c>
      <c r="T25" s="714" t="s">
        <v>17</v>
      </c>
      <c r="U25" s="715">
        <f>H25</f>
        <v>100</v>
      </c>
      <c r="V25" s="714" t="s">
        <v>17</v>
      </c>
      <c r="W25" s="715">
        <f>J25</f>
        <v>100</v>
      </c>
      <c r="X25" s="1489"/>
      <c r="Y25" s="3539"/>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46"/>
      <c r="Q26" s="1486" t="str">
        <f t="shared" si="11"/>
        <v>平面位置/可视性</v>
      </c>
      <c r="R26" s="714" t="s">
        <v>17</v>
      </c>
      <c r="S26" s="715">
        <f>F26</f>
        <v>100</v>
      </c>
      <c r="T26" s="714" t="s">
        <v>17</v>
      </c>
      <c r="U26" s="715">
        <f>H26</f>
        <v>100</v>
      </c>
      <c r="V26" s="714" t="s">
        <v>17</v>
      </c>
      <c r="W26" s="715">
        <f>J26</f>
        <v>100</v>
      </c>
      <c r="X26" s="1489"/>
      <c r="Y26" s="3539"/>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46"/>
      <c r="Q27" s="1477" t="str">
        <f t="shared" si="11"/>
        <v>人流量</v>
      </c>
      <c r="R27" s="710" t="s">
        <v>17</v>
      </c>
      <c r="S27" s="711">
        <f>F27</f>
        <v>100</v>
      </c>
      <c r="T27" s="710" t="s">
        <v>17</v>
      </c>
      <c r="U27" s="711">
        <f>H27</f>
        <v>100</v>
      </c>
      <c r="V27" s="710" t="s">
        <v>17</v>
      </c>
      <c r="W27" s="711">
        <f>J27</f>
        <v>100</v>
      </c>
      <c r="X27" s="712"/>
      <c r="Y27" s="3539"/>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46"/>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39"/>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46"/>
      <c r="Q29" s="1486">
        <f t="shared" si="11"/>
        <v>111</v>
      </c>
      <c r="R29" s="714" t="s">
        <v>17</v>
      </c>
      <c r="S29" s="715">
        <f t="shared" si="12"/>
        <v>100</v>
      </c>
      <c r="T29" s="714" t="s">
        <v>17</v>
      </c>
      <c r="U29" s="715">
        <f t="shared" si="13"/>
        <v>100</v>
      </c>
      <c r="V29" s="714" t="s">
        <v>17</v>
      </c>
      <c r="W29" s="715">
        <f t="shared" si="14"/>
        <v>100</v>
      </c>
      <c r="X29" s="1489"/>
      <c r="Y29" s="3539"/>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46"/>
      <c r="Q30" s="1486">
        <f t="shared" si="11"/>
        <v>111</v>
      </c>
      <c r="R30" s="714" t="s">
        <v>17</v>
      </c>
      <c r="S30" s="715">
        <f t="shared" si="12"/>
        <v>100</v>
      </c>
      <c r="T30" s="714" t="s">
        <v>17</v>
      </c>
      <c r="U30" s="715">
        <f t="shared" si="13"/>
        <v>100</v>
      </c>
      <c r="V30" s="714" t="s">
        <v>17</v>
      </c>
      <c r="W30" s="715">
        <f t="shared" si="14"/>
        <v>100</v>
      </c>
      <c r="X30" s="1489"/>
      <c r="Y30" s="3539"/>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46"/>
      <c r="Q31" s="1486">
        <f t="shared" si="11"/>
        <v>111</v>
      </c>
      <c r="R31" s="714" t="s">
        <v>17</v>
      </c>
      <c r="S31" s="715">
        <f t="shared" si="12"/>
        <v>100</v>
      </c>
      <c r="T31" s="714" t="s">
        <v>17</v>
      </c>
      <c r="U31" s="715">
        <f t="shared" si="13"/>
        <v>100</v>
      </c>
      <c r="V31" s="714" t="s">
        <v>17</v>
      </c>
      <c r="W31" s="715">
        <f t="shared" si="14"/>
        <v>100</v>
      </c>
      <c r="X31" s="1489"/>
      <c r="Y31" s="3539"/>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40" t="s">
        <v>2143</v>
      </c>
      <c r="Q32" s="1486" t="str">
        <f t="shared" si="11"/>
        <v>商业类型</v>
      </c>
      <c r="R32" s="714" t="s">
        <v>17</v>
      </c>
      <c r="S32" s="715">
        <f t="shared" si="12"/>
        <v>100</v>
      </c>
      <c r="T32" s="714" t="s">
        <v>17</v>
      </c>
      <c r="U32" s="715">
        <f t="shared" si="13"/>
        <v>100</v>
      </c>
      <c r="V32" s="714" t="s">
        <v>17</v>
      </c>
      <c r="W32" s="715">
        <f t="shared" si="14"/>
        <v>100</v>
      </c>
      <c r="X32" s="1489"/>
      <c r="Y32" s="3543"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41"/>
      <c r="Q33" s="716" t="str">
        <f t="shared" si="11"/>
        <v>项目建筑规模</v>
      </c>
      <c r="R33" s="717" t="s">
        <v>17</v>
      </c>
      <c r="S33" s="718" t="e">
        <f t="shared" si="12"/>
        <v>#N/A</v>
      </c>
      <c r="T33" s="717" t="s">
        <v>17</v>
      </c>
      <c r="U33" s="718" t="e">
        <f t="shared" si="13"/>
        <v>#N/A</v>
      </c>
      <c r="V33" s="717" t="s">
        <v>17</v>
      </c>
      <c r="W33" s="718" t="e">
        <f t="shared" si="14"/>
        <v>#N/A</v>
      </c>
      <c r="X33" s="719"/>
      <c r="Y33" s="3543"/>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41"/>
      <c r="Q34" s="1486" t="str">
        <f t="shared" si="11"/>
        <v>建筑结构</v>
      </c>
      <c r="R34" s="714" t="s">
        <v>17</v>
      </c>
      <c r="S34" s="715">
        <f t="shared" si="12"/>
        <v>100</v>
      </c>
      <c r="T34" s="714" t="s">
        <v>17</v>
      </c>
      <c r="U34" s="715">
        <f t="shared" si="13"/>
        <v>100</v>
      </c>
      <c r="V34" s="714" t="s">
        <v>17</v>
      </c>
      <c r="W34" s="715">
        <f t="shared" si="14"/>
        <v>100</v>
      </c>
      <c r="X34" s="1489"/>
      <c r="Y34" s="3543"/>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41"/>
      <c r="Q35" s="1486" t="str">
        <f t="shared" si="11"/>
        <v>公共部分装修</v>
      </c>
      <c r="R35" s="714" t="s">
        <v>17</v>
      </c>
      <c r="S35" s="715">
        <f t="shared" si="12"/>
        <v>100</v>
      </c>
      <c r="T35" s="714" t="s">
        <v>17</v>
      </c>
      <c r="U35" s="715">
        <f t="shared" si="13"/>
        <v>100</v>
      </c>
      <c r="V35" s="714" t="s">
        <v>17</v>
      </c>
      <c r="W35" s="715">
        <f t="shared" si="14"/>
        <v>100</v>
      </c>
      <c r="X35" s="1489"/>
      <c r="Y35" s="3543"/>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41"/>
      <c r="Q36" s="1486" t="str">
        <f t="shared" si="11"/>
        <v>成新度</v>
      </c>
      <c r="R36" s="714" t="s">
        <v>17</v>
      </c>
      <c r="S36" s="715" t="e">
        <f t="shared" si="12"/>
        <v>#N/A</v>
      </c>
      <c r="T36" s="714" t="s">
        <v>17</v>
      </c>
      <c r="U36" s="715" t="e">
        <f t="shared" si="13"/>
        <v>#N/A</v>
      </c>
      <c r="V36" s="714" t="s">
        <v>17</v>
      </c>
      <c r="W36" s="715" t="e">
        <f t="shared" si="14"/>
        <v>#N/A</v>
      </c>
      <c r="X36" s="1489"/>
      <c r="Y36" s="3543"/>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41"/>
      <c r="Q37" s="1477" t="str">
        <f t="shared" si="11"/>
        <v>市政基础设施</v>
      </c>
      <c r="R37" s="710" t="s">
        <v>17</v>
      </c>
      <c r="S37" s="711">
        <f t="shared" si="12"/>
        <v>100</v>
      </c>
      <c r="T37" s="710" t="s">
        <v>17</v>
      </c>
      <c r="U37" s="711">
        <f t="shared" si="13"/>
        <v>100</v>
      </c>
      <c r="V37" s="710" t="s">
        <v>17</v>
      </c>
      <c r="W37" s="711">
        <f t="shared" si="14"/>
        <v>100</v>
      </c>
      <c r="X37" s="712"/>
      <c r="Y37" s="3543"/>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41" t="s">
        <v>2143</v>
      </c>
      <c r="Q38" s="1486" t="str">
        <f t="shared" si="11"/>
        <v>业态</v>
      </c>
      <c r="R38" s="714" t="s">
        <v>17</v>
      </c>
      <c r="S38" s="715">
        <f t="shared" si="12"/>
        <v>100</v>
      </c>
      <c r="T38" s="714" t="s">
        <v>17</v>
      </c>
      <c r="U38" s="715">
        <f t="shared" si="13"/>
        <v>100</v>
      </c>
      <c r="V38" s="714" t="s">
        <v>17</v>
      </c>
      <c r="W38" s="715">
        <f t="shared" si="14"/>
        <v>100</v>
      </c>
      <c r="X38" s="1489"/>
      <c r="Y38" s="3543"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41"/>
      <c r="Q39" s="1486" t="str">
        <f t="shared" si="11"/>
        <v>层高</v>
      </c>
      <c r="R39" s="714" t="s">
        <v>17</v>
      </c>
      <c r="S39" s="715">
        <f t="shared" si="12"/>
        <v>100</v>
      </c>
      <c r="T39" s="714" t="s">
        <v>17</v>
      </c>
      <c r="U39" s="715">
        <f t="shared" si="13"/>
        <v>100</v>
      </c>
      <c r="V39" s="714" t="s">
        <v>17</v>
      </c>
      <c r="W39" s="715">
        <f t="shared" si="14"/>
        <v>100</v>
      </c>
      <c r="X39" s="1489"/>
      <c r="Y39" s="3543"/>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41"/>
      <c r="Q40" s="1486" t="str">
        <f t="shared" si="11"/>
        <v>单套建筑面积</v>
      </c>
      <c r="R40" s="714" t="s">
        <v>17</v>
      </c>
      <c r="S40" s="715">
        <f t="shared" si="12"/>
        <v>100</v>
      </c>
      <c r="T40" s="714" t="s">
        <v>17</v>
      </c>
      <c r="U40" s="715">
        <f t="shared" si="13"/>
        <v>100</v>
      </c>
      <c r="V40" s="714" t="s">
        <v>17</v>
      </c>
      <c r="W40" s="715">
        <f t="shared" si="14"/>
        <v>100</v>
      </c>
      <c r="X40" s="1489"/>
      <c r="Y40" s="3543"/>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41"/>
      <c r="Q41" s="716" t="str">
        <f t="shared" si="11"/>
        <v>进深比</v>
      </c>
      <c r="R41" s="717" t="s">
        <v>17</v>
      </c>
      <c r="S41" s="718">
        <f t="shared" si="12"/>
        <v>100</v>
      </c>
      <c r="T41" s="717" t="s">
        <v>17</v>
      </c>
      <c r="U41" s="718">
        <f t="shared" si="13"/>
        <v>100</v>
      </c>
      <c r="V41" s="717" t="s">
        <v>17</v>
      </c>
      <c r="W41" s="718">
        <f t="shared" si="14"/>
        <v>100</v>
      </c>
      <c r="X41" s="719"/>
      <c r="Y41" s="3543"/>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41"/>
      <c r="Q42" s="1486" t="str">
        <f t="shared" si="11"/>
        <v>内部装修</v>
      </c>
      <c r="R42" s="714" t="s">
        <v>17</v>
      </c>
      <c r="S42" s="715">
        <f t="shared" si="12"/>
        <v>100</v>
      </c>
      <c r="T42" s="714" t="s">
        <v>17</v>
      </c>
      <c r="U42" s="715">
        <f t="shared" si="13"/>
        <v>100</v>
      </c>
      <c r="V42" s="714" t="s">
        <v>17</v>
      </c>
      <c r="W42" s="715">
        <f t="shared" si="14"/>
        <v>100</v>
      </c>
      <c r="X42" s="1489"/>
      <c r="Y42" s="3543"/>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41"/>
      <c r="Q43" s="1486" t="str">
        <f t="shared" si="11"/>
        <v>内部装修维护情况</v>
      </c>
      <c r="R43" s="714" t="s">
        <v>17</v>
      </c>
      <c r="S43" s="715">
        <f t="shared" si="12"/>
        <v>100</v>
      </c>
      <c r="T43" s="714" t="s">
        <v>17</v>
      </c>
      <c r="U43" s="715">
        <f t="shared" si="13"/>
        <v>100</v>
      </c>
      <c r="V43" s="714" t="s">
        <v>17</v>
      </c>
      <c r="W43" s="715">
        <f t="shared" si="14"/>
        <v>100</v>
      </c>
      <c r="X43" s="1489"/>
      <c r="Y43" s="3543"/>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41"/>
      <c r="Q44" s="1477">
        <f t="shared" si="11"/>
        <v>111</v>
      </c>
      <c r="R44" s="710" t="s">
        <v>17</v>
      </c>
      <c r="S44" s="711">
        <f t="shared" si="12"/>
        <v>100</v>
      </c>
      <c r="T44" s="710" t="s">
        <v>17</v>
      </c>
      <c r="U44" s="711">
        <f t="shared" si="13"/>
        <v>100</v>
      </c>
      <c r="V44" s="710" t="s">
        <v>17</v>
      </c>
      <c r="W44" s="711">
        <f t="shared" si="14"/>
        <v>100</v>
      </c>
      <c r="X44" s="712"/>
      <c r="Y44" s="354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41"/>
      <c r="Q45" s="1486">
        <f t="shared" si="11"/>
        <v>111</v>
      </c>
      <c r="R45" s="714" t="s">
        <v>17</v>
      </c>
      <c r="S45" s="715">
        <f t="shared" si="12"/>
        <v>100</v>
      </c>
      <c r="T45" s="714" t="s">
        <v>17</v>
      </c>
      <c r="U45" s="715">
        <f t="shared" si="13"/>
        <v>100</v>
      </c>
      <c r="V45" s="714" t="s">
        <v>17</v>
      </c>
      <c r="W45" s="715">
        <f t="shared" si="14"/>
        <v>100</v>
      </c>
      <c r="X45" s="1489"/>
      <c r="Y45" s="3543"/>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42"/>
      <c r="Q46" s="1486">
        <f t="shared" si="11"/>
        <v>111</v>
      </c>
      <c r="R46" s="714" t="s">
        <v>17</v>
      </c>
      <c r="S46" s="715">
        <f t="shared" si="12"/>
        <v>100</v>
      </c>
      <c r="T46" s="714" t="s">
        <v>17</v>
      </c>
      <c r="U46" s="715">
        <f t="shared" si="13"/>
        <v>100</v>
      </c>
      <c r="V46" s="714" t="s">
        <v>17</v>
      </c>
      <c r="W46" s="715">
        <f t="shared" si="14"/>
        <v>100</v>
      </c>
      <c r="X46" s="1489"/>
      <c r="Y46" s="3544"/>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536" t="str">
        <f>A47</f>
        <v>成交单价（元/平方米）</v>
      </c>
      <c r="Q47" s="3536"/>
      <c r="R47" s="3531">
        <f>E47</f>
        <v>0</v>
      </c>
      <c r="S47" s="3531"/>
      <c r="T47" s="3531">
        <f>G47</f>
        <v>0</v>
      </c>
      <c r="U47" s="3531"/>
      <c r="V47" s="3531">
        <f>I47</f>
        <v>0</v>
      </c>
      <c r="W47" s="3531"/>
      <c r="X47" s="699"/>
      <c r="Y47" s="721"/>
      <c r="Z47" s="699"/>
      <c r="AA47" s="699"/>
      <c r="AB47" s="699"/>
      <c r="AC47" s="699"/>
    </row>
    <row r="48" spans="1:29" ht="15.75" thickBot="1">
      <c r="A48" s="445" t="s">
        <v>2247</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536" t="str">
        <f>A48</f>
        <v>比较价值（元/平方米）</v>
      </c>
      <c r="Q48" s="3536"/>
      <c r="R48" s="3537" t="e">
        <f>IF(F1="售价",ROUND(PRODUCT(R47,AA7:AA46),0),ROUND(PRODUCT(R47,AA7:AA46),1))</f>
        <v>#DIV/0!</v>
      </c>
      <c r="S48" s="3537"/>
      <c r="T48" s="3537" t="e">
        <f>IF(F1="售价",ROUND(PRODUCT(T47,AB7:AB46),0),ROUND(PRODUCT(T47,AB7:AB46),1))</f>
        <v>#DIV/0!</v>
      </c>
      <c r="U48" s="3537"/>
      <c r="V48" s="3537" t="e">
        <f>IF(F1="售价",ROUND(PRODUCT(V47,AC7:AC46),0),ROUND(PRODUCT(V47,AC7:AC46),1))</f>
        <v>#DIV/0!</v>
      </c>
      <c r="W48" s="3537"/>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533" t="str">
        <f>A49</f>
        <v>估价对象XX用房的比较价值（楼面单价，元/平方米）</v>
      </c>
      <c r="Q49" s="3534"/>
      <c r="R49" s="3535" t="e">
        <f>IF(F1="售价",ROUND(IF(D48="简单平均",AVERAGE(R48:V48),R48*F48+T48*H48+V48*J48),0),ROUND(IF(D48="简单平均",AVERAGE(R48:V48),R48*F48+T48*H48+V48*J48),1))</f>
        <v>#DIV/0!</v>
      </c>
      <c r="S49" s="3535"/>
      <c r="T49" s="3535"/>
      <c r="U49" s="3535"/>
      <c r="V49" s="3535"/>
      <c r="W49" s="353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242531.24</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519" t="s">
        <v>2224</v>
      </c>
      <c r="D4" s="3520"/>
      <c r="E4" s="3521" t="s">
        <v>2225</v>
      </c>
      <c r="F4" s="3522"/>
      <c r="G4" s="3519" t="s">
        <v>2226</v>
      </c>
      <c r="H4" s="3520"/>
      <c r="I4" s="3519" t="s">
        <v>2227</v>
      </c>
      <c r="J4" s="3520"/>
      <c r="K4" s="567" t="s">
        <v>2228</v>
      </c>
      <c r="L4" s="2892"/>
      <c r="M4" s="2893"/>
      <c r="N4" s="2893"/>
      <c r="O4" s="2893"/>
      <c r="P4" s="3553" t="s">
        <v>2229</v>
      </c>
      <c r="Q4" s="3554"/>
      <c r="R4" s="3548" t="s">
        <v>2225</v>
      </c>
      <c r="S4" s="3549"/>
      <c r="T4" s="3548" t="s">
        <v>2226</v>
      </c>
      <c r="U4" s="3549"/>
      <c r="V4" s="3557" t="s">
        <v>2227</v>
      </c>
      <c r="W4" s="3557"/>
      <c r="X4" s="2093"/>
      <c r="Y4" s="3548" t="s">
        <v>2229</v>
      </c>
      <c r="Z4" s="3549"/>
      <c r="AA4" s="3547" t="s">
        <v>2225</v>
      </c>
      <c r="AB4" s="3547" t="s">
        <v>2226</v>
      </c>
      <c r="AC4" s="3550" t="s">
        <v>2227</v>
      </c>
    </row>
    <row r="5" spans="1:29" ht="15">
      <c r="A5" s="364"/>
      <c r="B5" s="365"/>
      <c r="C5" s="3512" t="s">
        <v>2120</v>
      </c>
      <c r="D5" s="3513"/>
      <c r="E5" s="3510" t="s">
        <v>2121</v>
      </c>
      <c r="F5" s="3511"/>
      <c r="G5" s="3512" t="s">
        <v>2122</v>
      </c>
      <c r="H5" s="3513"/>
      <c r="I5" s="3512" t="s">
        <v>2123</v>
      </c>
      <c r="J5" s="3513"/>
      <c r="K5" s="567"/>
      <c r="L5" s="2892"/>
      <c r="M5" s="2893"/>
      <c r="N5" s="2893"/>
      <c r="O5" s="2893"/>
      <c r="P5" s="3555"/>
      <c r="Q5" s="3526"/>
      <c r="R5" s="3508"/>
      <c r="S5" s="3509"/>
      <c r="T5" s="3508"/>
      <c r="U5" s="3509"/>
      <c r="V5" s="3531"/>
      <c r="W5" s="3531"/>
      <c r="X5" s="1489"/>
      <c r="Y5" s="3508"/>
      <c r="Z5" s="3509"/>
      <c r="AA5" s="3502"/>
      <c r="AB5" s="3502"/>
      <c r="AC5" s="3551"/>
    </row>
    <row r="6" spans="1:29" ht="15.75" thickBot="1">
      <c r="A6" s="366"/>
      <c r="B6" s="367"/>
      <c r="C6" s="3514" t="s">
        <v>2124</v>
      </c>
      <c r="D6" s="3515"/>
      <c r="E6" s="3516" t="s">
        <v>2124</v>
      </c>
      <c r="F6" s="3517"/>
      <c r="G6" s="3514" t="s">
        <v>2124</v>
      </c>
      <c r="H6" s="3515"/>
      <c r="I6" s="3514" t="s">
        <v>2124</v>
      </c>
      <c r="J6" s="3515"/>
      <c r="K6" s="567" t="s">
        <v>2125</v>
      </c>
      <c r="L6" s="2892"/>
      <c r="M6" s="2893"/>
      <c r="N6" s="2893"/>
      <c r="O6" s="2893"/>
      <c r="P6" s="3556"/>
      <c r="Q6" s="3528"/>
      <c r="R6" s="3508"/>
      <c r="S6" s="3509"/>
      <c r="T6" s="3529"/>
      <c r="U6" s="3530"/>
      <c r="V6" s="3531"/>
      <c r="W6" s="3531"/>
      <c r="X6" s="1489"/>
      <c r="Y6" s="3529"/>
      <c r="Z6" s="3530"/>
      <c r="AA6" s="3503"/>
      <c r="AB6" s="3503"/>
      <c r="AC6" s="3552"/>
    </row>
    <row r="7" spans="1:29" s="113" customFormat="1" ht="15.75" thickBot="1">
      <c r="A7" s="368" t="s">
        <v>2126</v>
      </c>
      <c r="B7" s="369"/>
      <c r="C7" s="370">
        <f>'数据-取费表'!B2</f>
        <v>44769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58" t="s">
        <v>2127</v>
      </c>
      <c r="Q7" s="3532"/>
      <c r="R7" s="710" t="s">
        <v>17</v>
      </c>
      <c r="S7" s="711">
        <f t="shared" ref="S7:S15" si="0">F7</f>
        <v>0</v>
      </c>
      <c r="T7" s="710" t="s">
        <v>17</v>
      </c>
      <c r="U7" s="711">
        <f t="shared" ref="U7:U15" si="1">H7</f>
        <v>0</v>
      </c>
      <c r="V7" s="710" t="s">
        <v>17</v>
      </c>
      <c r="W7" s="711">
        <f t="shared" ref="W7:W15" si="2">J7</f>
        <v>0</v>
      </c>
      <c r="X7" s="712"/>
      <c r="Y7" s="3504" t="s">
        <v>2127</v>
      </c>
      <c r="Z7" s="3505"/>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58" t="s">
        <v>2130</v>
      </c>
      <c r="Q8" s="3505"/>
      <c r="R8" s="710" t="s">
        <v>17</v>
      </c>
      <c r="S8" s="711">
        <f t="shared" si="0"/>
        <v>0</v>
      </c>
      <c r="T8" s="710" t="s">
        <v>17</v>
      </c>
      <c r="U8" s="711">
        <f t="shared" si="1"/>
        <v>0</v>
      </c>
      <c r="V8" s="710" t="s">
        <v>17</v>
      </c>
      <c r="W8" s="711">
        <f t="shared" si="2"/>
        <v>0</v>
      </c>
      <c r="X8" s="712"/>
      <c r="Y8" s="3504" t="s">
        <v>2130</v>
      </c>
      <c r="Z8" s="3505"/>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18"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18"/>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18"/>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18"/>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18"/>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18"/>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2094">
        <f t="shared" si="5"/>
        <v>1</v>
      </c>
    </row>
    <row r="15" spans="1:29" ht="71.25">
      <c r="A15" s="399" t="s">
        <v>2137</v>
      </c>
      <c r="B15" s="585" t="s">
        <v>2265</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45" t="s">
        <v>2138</v>
      </c>
      <c r="Q15" s="1486" t="str">
        <f t="shared" si="6"/>
        <v>办公集聚程度</v>
      </c>
      <c r="R15" s="714" t="s">
        <v>17</v>
      </c>
      <c r="S15" s="715">
        <f t="shared" si="0"/>
        <v>100</v>
      </c>
      <c r="T15" s="714" t="s">
        <v>17</v>
      </c>
      <c r="U15" s="715">
        <f t="shared" si="1"/>
        <v>100</v>
      </c>
      <c r="V15" s="714" t="s">
        <v>17</v>
      </c>
      <c r="W15" s="715">
        <f t="shared" si="2"/>
        <v>100</v>
      </c>
      <c r="X15" s="1489"/>
      <c r="Y15" s="3538" t="s">
        <v>2138</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46"/>
      <c r="Q16" s="1486"/>
      <c r="R16" s="714"/>
      <c r="S16" s="715"/>
      <c r="T16" s="714"/>
      <c r="U16" s="715"/>
      <c r="V16" s="714"/>
      <c r="W16" s="715"/>
      <c r="X16" s="1489"/>
      <c r="Y16" s="3539"/>
      <c r="Z16" s="1490"/>
      <c r="AA16" s="1487">
        <v>1</v>
      </c>
      <c r="AB16" s="1487">
        <v>1</v>
      </c>
      <c r="AC16" s="2097">
        <v>1</v>
      </c>
    </row>
    <row r="17" spans="1:29" ht="71.25">
      <c r="A17" s="387"/>
      <c r="B17" s="587" t="s">
        <v>1702</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46"/>
      <c r="Q17" s="1486" t="str">
        <f>B17</f>
        <v>交通便捷度</v>
      </c>
      <c r="R17" s="714" t="s">
        <v>17</v>
      </c>
      <c r="S17" s="715">
        <f>F17</f>
        <v>100</v>
      </c>
      <c r="T17" s="714" t="s">
        <v>17</v>
      </c>
      <c r="U17" s="715">
        <f>H17</f>
        <v>100</v>
      </c>
      <c r="V17" s="714" t="s">
        <v>17</v>
      </c>
      <c r="W17" s="715">
        <f>J17</f>
        <v>100</v>
      </c>
      <c r="X17" s="1489"/>
      <c r="Y17" s="3539"/>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46"/>
      <c r="Q18" s="1486"/>
      <c r="R18" s="714"/>
      <c r="S18" s="715"/>
      <c r="T18" s="714"/>
      <c r="U18" s="715"/>
      <c r="V18" s="714"/>
      <c r="W18" s="715"/>
      <c r="X18" s="1489"/>
      <c r="Y18" s="3539"/>
      <c r="Z18" s="1490"/>
      <c r="AA18" s="1487">
        <v>1</v>
      </c>
      <c r="AB18" s="1487">
        <v>1</v>
      </c>
      <c r="AC18" s="2097">
        <v>1</v>
      </c>
    </row>
    <row r="19" spans="1:29" ht="42.75">
      <c r="A19" s="387"/>
      <c r="B19" s="587" t="s">
        <v>2266</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46"/>
      <c r="Q19" s="1486" t="str">
        <f>B19</f>
        <v>公共配套设施</v>
      </c>
      <c r="R19" s="714" t="s">
        <v>17</v>
      </c>
      <c r="S19" s="715">
        <f>F19</f>
        <v>100</v>
      </c>
      <c r="T19" s="714" t="s">
        <v>17</v>
      </c>
      <c r="U19" s="715">
        <f>H19</f>
        <v>100</v>
      </c>
      <c r="V19" s="714" t="s">
        <v>17</v>
      </c>
      <c r="W19" s="715">
        <f>J19</f>
        <v>100</v>
      </c>
      <c r="X19" s="1489"/>
      <c r="Y19" s="3539"/>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46"/>
      <c r="Q20" s="1486"/>
      <c r="R20" s="714"/>
      <c r="S20" s="715"/>
      <c r="T20" s="714"/>
      <c r="U20" s="715"/>
      <c r="V20" s="714"/>
      <c r="W20" s="715"/>
      <c r="X20" s="1489"/>
      <c r="Y20" s="3539"/>
      <c r="Z20" s="1490"/>
      <c r="AA20" s="1487">
        <v>1</v>
      </c>
      <c r="AB20" s="1487">
        <v>1</v>
      </c>
      <c r="AC20" s="2097">
        <v>1</v>
      </c>
    </row>
    <row r="21" spans="1:29" ht="28.5">
      <c r="A21" s="387"/>
      <c r="B21" s="589" t="s">
        <v>2267</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46"/>
      <c r="Q21" s="1486" t="str">
        <f>B21</f>
        <v>基础设施水平</v>
      </c>
      <c r="R21" s="714" t="s">
        <v>17</v>
      </c>
      <c r="S21" s="715">
        <f>F21</f>
        <v>100</v>
      </c>
      <c r="T21" s="714" t="s">
        <v>17</v>
      </c>
      <c r="U21" s="715">
        <f>H21</f>
        <v>100</v>
      </c>
      <c r="V21" s="714" t="s">
        <v>17</v>
      </c>
      <c r="W21" s="715">
        <f>J21</f>
        <v>100</v>
      </c>
      <c r="X21" s="1489"/>
      <c r="Y21" s="3539"/>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46"/>
      <c r="Q22" s="1486"/>
      <c r="R22" s="714"/>
      <c r="S22" s="715"/>
      <c r="T22" s="714"/>
      <c r="U22" s="715"/>
      <c r="V22" s="714"/>
      <c r="W22" s="715"/>
      <c r="X22" s="1489"/>
      <c r="Y22" s="3539"/>
      <c r="Z22" s="1490"/>
      <c r="AA22" s="1487">
        <v>1</v>
      </c>
      <c r="AB22" s="1487">
        <v>1</v>
      </c>
      <c r="AC22" s="2097">
        <v>1</v>
      </c>
    </row>
    <row r="23" spans="1:29" ht="42.75">
      <c r="A23" s="387"/>
      <c r="B23" s="587" t="s">
        <v>2268</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46"/>
      <c r="Q23" s="1486" t="str">
        <f>B23</f>
        <v>环境质量</v>
      </c>
      <c r="R23" s="714" t="s">
        <v>17</v>
      </c>
      <c r="S23" s="715">
        <f>F23</f>
        <v>100</v>
      </c>
      <c r="T23" s="714" t="s">
        <v>17</v>
      </c>
      <c r="U23" s="715">
        <f>H23</f>
        <v>100</v>
      </c>
      <c r="V23" s="714" t="s">
        <v>17</v>
      </c>
      <c r="W23" s="715">
        <f>J23</f>
        <v>100</v>
      </c>
      <c r="X23" s="1489"/>
      <c r="Y23" s="3539"/>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46"/>
      <c r="Q24" s="1486"/>
      <c r="R24" s="714"/>
      <c r="S24" s="715"/>
      <c r="T24" s="714"/>
      <c r="U24" s="715"/>
      <c r="V24" s="714"/>
      <c r="W24" s="715"/>
      <c r="X24" s="1489"/>
      <c r="Y24" s="3539"/>
      <c r="Z24" s="1490"/>
      <c r="AA24" s="1487">
        <v>1</v>
      </c>
      <c r="AB24" s="1487">
        <v>1</v>
      </c>
      <c r="AC24" s="2097">
        <v>1</v>
      </c>
    </row>
    <row r="25" spans="1:29" ht="27">
      <c r="A25" s="364"/>
      <c r="B25" s="587" t="s">
        <v>2269</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46"/>
      <c r="Q25" s="1486" t="str">
        <f>B25</f>
        <v>毗邻道路的类型与等级</v>
      </c>
      <c r="R25" s="714" t="s">
        <v>17</v>
      </c>
      <c r="S25" s="715">
        <f>F25</f>
        <v>100</v>
      </c>
      <c r="T25" s="714" t="s">
        <v>17</v>
      </c>
      <c r="U25" s="715">
        <f>H25</f>
        <v>100</v>
      </c>
      <c r="V25" s="714" t="s">
        <v>17</v>
      </c>
      <c r="W25" s="715">
        <f>J25</f>
        <v>100</v>
      </c>
      <c r="X25" s="1489"/>
      <c r="Y25" s="3539"/>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46"/>
      <c r="Q26" s="1486"/>
      <c r="R26" s="714"/>
      <c r="S26" s="715"/>
      <c r="T26" s="714"/>
      <c r="U26" s="715"/>
      <c r="V26" s="714"/>
      <c r="W26" s="715"/>
      <c r="X26" s="1489"/>
      <c r="Y26" s="3539"/>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46"/>
      <c r="Q27" s="1486" t="str">
        <f t="shared" ref="Q27:Q47" si="11">B27</f>
        <v>楼层</v>
      </c>
      <c r="R27" s="714" t="s">
        <v>17</v>
      </c>
      <c r="S27" s="715">
        <f>F27</f>
        <v>100</v>
      </c>
      <c r="T27" s="714" t="s">
        <v>17</v>
      </c>
      <c r="U27" s="715">
        <f>H27</f>
        <v>100</v>
      </c>
      <c r="V27" s="714" t="s">
        <v>17</v>
      </c>
      <c r="W27" s="715">
        <f>J27</f>
        <v>100</v>
      </c>
      <c r="X27" s="1489"/>
      <c r="Y27" s="3539"/>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46"/>
      <c r="Q28" s="1477" t="str">
        <f t="shared" si="11"/>
        <v>朝向</v>
      </c>
      <c r="R28" s="710" t="s">
        <v>17</v>
      </c>
      <c r="S28" s="711">
        <f>F28</f>
        <v>100</v>
      </c>
      <c r="T28" s="710" t="s">
        <v>17</v>
      </c>
      <c r="U28" s="711">
        <f>H28</f>
        <v>100</v>
      </c>
      <c r="V28" s="710" t="s">
        <v>17</v>
      </c>
      <c r="W28" s="711">
        <f>J28</f>
        <v>100</v>
      </c>
      <c r="X28" s="712"/>
      <c r="Y28" s="3539"/>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46"/>
      <c r="Q29" s="1486">
        <f t="shared" si="11"/>
        <v>111</v>
      </c>
      <c r="R29" s="714" t="s">
        <v>17</v>
      </c>
      <c r="S29" s="715">
        <f t="shared" ref="S29:S47" si="12">F29</f>
        <v>100</v>
      </c>
      <c r="T29" s="714" t="s">
        <v>17</v>
      </c>
      <c r="U29" s="715">
        <f t="shared" ref="U29:U47" si="13">H29</f>
        <v>100</v>
      </c>
      <c r="V29" s="714" t="s">
        <v>17</v>
      </c>
      <c r="W29" s="715">
        <f t="shared" ref="W29:W47" si="14">J29</f>
        <v>100</v>
      </c>
      <c r="X29" s="1489"/>
      <c r="Y29" s="3539"/>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46"/>
      <c r="Q30" s="1486">
        <f t="shared" si="11"/>
        <v>111</v>
      </c>
      <c r="R30" s="714" t="s">
        <v>17</v>
      </c>
      <c r="S30" s="715">
        <f t="shared" si="12"/>
        <v>100</v>
      </c>
      <c r="T30" s="714" t="s">
        <v>17</v>
      </c>
      <c r="U30" s="715">
        <f t="shared" si="13"/>
        <v>100</v>
      </c>
      <c r="V30" s="714" t="s">
        <v>17</v>
      </c>
      <c r="W30" s="715">
        <f t="shared" si="14"/>
        <v>100</v>
      </c>
      <c r="X30" s="1489"/>
      <c r="Y30" s="3539"/>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46"/>
      <c r="Q31" s="1486">
        <f t="shared" si="11"/>
        <v>111</v>
      </c>
      <c r="R31" s="714" t="s">
        <v>17</v>
      </c>
      <c r="S31" s="715">
        <f t="shared" si="12"/>
        <v>100</v>
      </c>
      <c r="T31" s="714" t="s">
        <v>17</v>
      </c>
      <c r="U31" s="715">
        <f t="shared" si="13"/>
        <v>100</v>
      </c>
      <c r="V31" s="714" t="s">
        <v>17</v>
      </c>
      <c r="W31" s="715">
        <f t="shared" si="14"/>
        <v>100</v>
      </c>
      <c r="X31" s="1489"/>
      <c r="Y31" s="3539"/>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46"/>
      <c r="Q32" s="1486">
        <f t="shared" si="11"/>
        <v>111</v>
      </c>
      <c r="R32" s="714" t="s">
        <v>17</v>
      </c>
      <c r="S32" s="715">
        <f t="shared" si="12"/>
        <v>100</v>
      </c>
      <c r="T32" s="714" t="s">
        <v>17</v>
      </c>
      <c r="U32" s="715">
        <f t="shared" si="13"/>
        <v>100</v>
      </c>
      <c r="V32" s="714" t="s">
        <v>17</v>
      </c>
      <c r="W32" s="715">
        <f t="shared" si="14"/>
        <v>100</v>
      </c>
      <c r="X32" s="1489"/>
      <c r="Y32" s="3539"/>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40" t="s">
        <v>2143</v>
      </c>
      <c r="Q33" s="1486" t="str">
        <f t="shared" si="11"/>
        <v>建筑类型</v>
      </c>
      <c r="R33" s="714" t="s">
        <v>17</v>
      </c>
      <c r="S33" s="715">
        <f t="shared" si="12"/>
        <v>100</v>
      </c>
      <c r="T33" s="714" t="s">
        <v>17</v>
      </c>
      <c r="U33" s="715">
        <f t="shared" si="13"/>
        <v>100</v>
      </c>
      <c r="V33" s="714" t="s">
        <v>17</v>
      </c>
      <c r="W33" s="715">
        <f t="shared" si="14"/>
        <v>100</v>
      </c>
      <c r="X33" s="1489"/>
      <c r="Y33" s="3543"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41"/>
      <c r="Q34" s="716" t="str">
        <f t="shared" si="11"/>
        <v>项目建筑规模</v>
      </c>
      <c r="R34" s="717" t="s">
        <v>17</v>
      </c>
      <c r="S34" s="718" t="e">
        <f t="shared" si="12"/>
        <v>#N/A</v>
      </c>
      <c r="T34" s="717" t="s">
        <v>17</v>
      </c>
      <c r="U34" s="718" t="e">
        <f t="shared" si="13"/>
        <v>#N/A</v>
      </c>
      <c r="V34" s="717" t="s">
        <v>17</v>
      </c>
      <c r="W34" s="718" t="e">
        <f t="shared" si="14"/>
        <v>#N/A</v>
      </c>
      <c r="X34" s="719"/>
      <c r="Y34" s="3543"/>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41"/>
      <c r="Q35" s="1486" t="str">
        <f t="shared" si="11"/>
        <v>建筑结构</v>
      </c>
      <c r="R35" s="714" t="s">
        <v>17</v>
      </c>
      <c r="S35" s="715">
        <f t="shared" si="12"/>
        <v>100</v>
      </c>
      <c r="T35" s="714" t="s">
        <v>17</v>
      </c>
      <c r="U35" s="715">
        <f t="shared" si="13"/>
        <v>100</v>
      </c>
      <c r="V35" s="714" t="s">
        <v>17</v>
      </c>
      <c r="W35" s="715">
        <f t="shared" si="14"/>
        <v>100</v>
      </c>
      <c r="X35" s="1489"/>
      <c r="Y35" s="3543"/>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41"/>
      <c r="Q36" s="1486" t="str">
        <f t="shared" si="11"/>
        <v>公共部分装修</v>
      </c>
      <c r="R36" s="714" t="s">
        <v>17</v>
      </c>
      <c r="S36" s="715">
        <f t="shared" si="12"/>
        <v>100</v>
      </c>
      <c r="T36" s="714" t="s">
        <v>17</v>
      </c>
      <c r="U36" s="715">
        <f t="shared" si="13"/>
        <v>100</v>
      </c>
      <c r="V36" s="714" t="s">
        <v>17</v>
      </c>
      <c r="W36" s="715">
        <f t="shared" si="14"/>
        <v>100</v>
      </c>
      <c r="X36" s="1489"/>
      <c r="Y36" s="3543"/>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41"/>
      <c r="Q37" s="1486" t="str">
        <f t="shared" si="11"/>
        <v>成新度</v>
      </c>
      <c r="R37" s="714" t="s">
        <v>17</v>
      </c>
      <c r="S37" s="715" t="e">
        <f t="shared" si="12"/>
        <v>#N/A</v>
      </c>
      <c r="T37" s="714" t="s">
        <v>17</v>
      </c>
      <c r="U37" s="715" t="e">
        <f t="shared" si="13"/>
        <v>#N/A</v>
      </c>
      <c r="V37" s="714" t="s">
        <v>17</v>
      </c>
      <c r="W37" s="715" t="e">
        <f t="shared" si="14"/>
        <v>#N/A</v>
      </c>
      <c r="X37" s="1489"/>
      <c r="Y37" s="3543"/>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41"/>
      <c r="Q38" s="1477" t="str">
        <f t="shared" si="11"/>
        <v>写字楼等级</v>
      </c>
      <c r="R38" s="710" t="s">
        <v>17</v>
      </c>
      <c r="S38" s="711">
        <f t="shared" si="12"/>
        <v>100</v>
      </c>
      <c r="T38" s="710" t="s">
        <v>17</v>
      </c>
      <c r="U38" s="711">
        <f t="shared" si="13"/>
        <v>100</v>
      </c>
      <c r="V38" s="710" t="s">
        <v>17</v>
      </c>
      <c r="W38" s="711">
        <f t="shared" si="14"/>
        <v>100</v>
      </c>
      <c r="X38" s="712"/>
      <c r="Y38" s="3543"/>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41" t="s">
        <v>2143</v>
      </c>
      <c r="Q39" s="1486" t="str">
        <f t="shared" si="11"/>
        <v>物业管理</v>
      </c>
      <c r="R39" s="714" t="s">
        <v>17</v>
      </c>
      <c r="S39" s="715">
        <f t="shared" si="12"/>
        <v>100</v>
      </c>
      <c r="T39" s="714" t="s">
        <v>17</v>
      </c>
      <c r="U39" s="715">
        <f t="shared" si="13"/>
        <v>100</v>
      </c>
      <c r="V39" s="714" t="s">
        <v>17</v>
      </c>
      <c r="W39" s="715">
        <f t="shared" si="14"/>
        <v>100</v>
      </c>
      <c r="X39" s="1489"/>
      <c r="Y39" s="3543"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41"/>
      <c r="Q40" s="1486" t="str">
        <f t="shared" si="11"/>
        <v>市政基础设施</v>
      </c>
      <c r="R40" s="714" t="s">
        <v>17</v>
      </c>
      <c r="S40" s="715">
        <f t="shared" si="12"/>
        <v>100</v>
      </c>
      <c r="T40" s="714" t="s">
        <v>17</v>
      </c>
      <c r="U40" s="715">
        <f t="shared" si="13"/>
        <v>100</v>
      </c>
      <c r="V40" s="714" t="s">
        <v>17</v>
      </c>
      <c r="W40" s="715">
        <f t="shared" si="14"/>
        <v>100</v>
      </c>
      <c r="X40" s="1489"/>
      <c r="Y40" s="3543"/>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41"/>
      <c r="Q41" s="1486" t="str">
        <f t="shared" si="11"/>
        <v>层高</v>
      </c>
      <c r="R41" s="714" t="s">
        <v>17</v>
      </c>
      <c r="S41" s="715">
        <f t="shared" si="12"/>
        <v>100</v>
      </c>
      <c r="T41" s="714" t="s">
        <v>17</v>
      </c>
      <c r="U41" s="715">
        <f t="shared" si="13"/>
        <v>100</v>
      </c>
      <c r="V41" s="714" t="s">
        <v>17</v>
      </c>
      <c r="W41" s="715">
        <f t="shared" si="14"/>
        <v>100</v>
      </c>
      <c r="X41" s="1489"/>
      <c r="Y41" s="3543"/>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41"/>
      <c r="Q42" s="716" t="str">
        <f t="shared" si="11"/>
        <v>单套建筑面积</v>
      </c>
      <c r="R42" s="717" t="s">
        <v>17</v>
      </c>
      <c r="S42" s="718">
        <f t="shared" si="12"/>
        <v>100</v>
      </c>
      <c r="T42" s="717" t="s">
        <v>17</v>
      </c>
      <c r="U42" s="718">
        <f t="shared" si="13"/>
        <v>100</v>
      </c>
      <c r="V42" s="717" t="s">
        <v>17</v>
      </c>
      <c r="W42" s="718">
        <f t="shared" si="14"/>
        <v>100</v>
      </c>
      <c r="X42" s="719"/>
      <c r="Y42" s="3543"/>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41"/>
      <c r="Q43" s="1486" t="str">
        <f t="shared" si="11"/>
        <v>内部装修</v>
      </c>
      <c r="R43" s="714" t="s">
        <v>17</v>
      </c>
      <c r="S43" s="715">
        <f t="shared" si="12"/>
        <v>100</v>
      </c>
      <c r="T43" s="714" t="s">
        <v>17</v>
      </c>
      <c r="U43" s="715">
        <f t="shared" si="13"/>
        <v>100</v>
      </c>
      <c r="V43" s="714" t="s">
        <v>17</v>
      </c>
      <c r="W43" s="715">
        <f t="shared" si="14"/>
        <v>100</v>
      </c>
      <c r="X43" s="1489"/>
      <c r="Y43" s="3543"/>
      <c r="Z43" s="1490" t="str">
        <f t="shared" si="15"/>
        <v>内部装修</v>
      </c>
      <c r="AA43" s="1487">
        <f t="shared" si="3"/>
        <v>1</v>
      </c>
      <c r="AB43" s="1487">
        <f t="shared" si="4"/>
        <v>1</v>
      </c>
      <c r="AC43" s="2097">
        <f t="shared" si="5"/>
        <v>1</v>
      </c>
    </row>
    <row r="44" spans="1:29" ht="15">
      <c r="A44" s="431"/>
      <c r="B44" s="381" t="s">
        <v>2154</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41"/>
      <c r="Q44" s="1486" t="str">
        <f t="shared" si="11"/>
        <v>内部装修维护情况</v>
      </c>
      <c r="R44" s="714" t="s">
        <v>17</v>
      </c>
      <c r="S44" s="715">
        <f t="shared" si="12"/>
        <v>100</v>
      </c>
      <c r="T44" s="714" t="s">
        <v>17</v>
      </c>
      <c r="U44" s="715">
        <f t="shared" si="13"/>
        <v>100</v>
      </c>
      <c r="V44" s="714" t="s">
        <v>17</v>
      </c>
      <c r="W44" s="715">
        <f t="shared" si="14"/>
        <v>100</v>
      </c>
      <c r="X44" s="1489"/>
      <c r="Y44" s="3543"/>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41"/>
      <c r="Q45" s="1477">
        <f t="shared" si="11"/>
        <v>111</v>
      </c>
      <c r="R45" s="710" t="s">
        <v>17</v>
      </c>
      <c r="S45" s="711">
        <f t="shared" si="12"/>
        <v>100</v>
      </c>
      <c r="T45" s="710" t="s">
        <v>17</v>
      </c>
      <c r="U45" s="711">
        <f t="shared" si="13"/>
        <v>100</v>
      </c>
      <c r="V45" s="710" t="s">
        <v>17</v>
      </c>
      <c r="W45" s="711">
        <f t="shared" si="14"/>
        <v>100</v>
      </c>
      <c r="X45" s="712"/>
      <c r="Y45" s="3543"/>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41"/>
      <c r="Q46" s="1486">
        <f t="shared" si="11"/>
        <v>111</v>
      </c>
      <c r="R46" s="714" t="s">
        <v>17</v>
      </c>
      <c r="S46" s="715">
        <f t="shared" si="12"/>
        <v>100</v>
      </c>
      <c r="T46" s="714" t="s">
        <v>17</v>
      </c>
      <c r="U46" s="715">
        <f t="shared" si="13"/>
        <v>100</v>
      </c>
      <c r="V46" s="714" t="s">
        <v>17</v>
      </c>
      <c r="W46" s="715">
        <f t="shared" si="14"/>
        <v>100</v>
      </c>
      <c r="X46" s="1489"/>
      <c r="Y46" s="3543"/>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42"/>
      <c r="Q47" s="1486">
        <f t="shared" si="11"/>
        <v>111</v>
      </c>
      <c r="R47" s="714" t="s">
        <v>17</v>
      </c>
      <c r="S47" s="715">
        <f t="shared" si="12"/>
        <v>100</v>
      </c>
      <c r="T47" s="714" t="s">
        <v>17</v>
      </c>
      <c r="U47" s="715">
        <f t="shared" si="13"/>
        <v>100</v>
      </c>
      <c r="V47" s="714" t="s">
        <v>17</v>
      </c>
      <c r="W47" s="715">
        <f t="shared" si="14"/>
        <v>100</v>
      </c>
      <c r="X47" s="1489"/>
      <c r="Y47" s="3544"/>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518" t="str">
        <f>A48</f>
        <v>成交单价（元/平方米）</v>
      </c>
      <c r="Q48" s="3536"/>
      <c r="R48" s="3537">
        <f>E48</f>
        <v>0</v>
      </c>
      <c r="S48" s="3537"/>
      <c r="T48" s="3537">
        <f>G48</f>
        <v>0</v>
      </c>
      <c r="U48" s="3537"/>
      <c r="V48" s="3537">
        <f>I48</f>
        <v>0</v>
      </c>
      <c r="W48" s="3537"/>
      <c r="X48" s="405"/>
      <c r="Y48" s="721"/>
      <c r="Z48" s="405"/>
      <c r="AA48" s="405"/>
      <c r="AB48" s="405"/>
      <c r="AC48" s="586"/>
    </row>
    <row r="49" spans="1:29" ht="15.75" thickBot="1">
      <c r="A49" s="445" t="s">
        <v>2247</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518" t="str">
        <f>A49</f>
        <v>比较价值（元/平方米）</v>
      </c>
      <c r="Q49" s="3536"/>
      <c r="R49" s="3537" t="e">
        <f>IF(F1="售价",ROUND(PRODUCT(R48,AA7:AA47),0),ROUND(PRODUCT(R48,AA7:AA47),1))</f>
        <v>#DIV/0!</v>
      </c>
      <c r="S49" s="3537"/>
      <c r="T49" s="3537" t="e">
        <f>IF(F1="售价",ROUND(PRODUCT(T48,AB7:AB47),0),ROUND(PRODUCT(T48,AB7:AB47),1))</f>
        <v>#DIV/0!</v>
      </c>
      <c r="U49" s="3537"/>
      <c r="V49" s="3537" t="e">
        <f>IF(F1="售价",ROUND(PRODUCT(V48,AC7:AC47),0),ROUND(PRODUCT(V48,AC7:AC47),1))</f>
        <v>#DIV/0!</v>
      </c>
      <c r="W49" s="3537"/>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242531.24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519" t="s">
        <v>2224</v>
      </c>
      <c r="D4" s="3520"/>
      <c r="E4" s="3521" t="s">
        <v>2225</v>
      </c>
      <c r="F4" s="3522"/>
      <c r="G4" s="3519" t="s">
        <v>2226</v>
      </c>
      <c r="H4" s="3520"/>
      <c r="I4" s="3519" t="s">
        <v>2227</v>
      </c>
      <c r="J4" s="3520"/>
      <c r="K4" s="567" t="s">
        <v>2228</v>
      </c>
      <c r="L4" s="1025"/>
      <c r="M4" s="1026"/>
      <c r="N4" s="1026"/>
      <c r="O4" s="1026"/>
      <c r="P4" s="3523" t="s">
        <v>2229</v>
      </c>
      <c r="Q4" s="3524"/>
      <c r="R4" s="3506" t="s">
        <v>2225</v>
      </c>
      <c r="S4" s="3507"/>
      <c r="T4" s="3506" t="s">
        <v>2226</v>
      </c>
      <c r="U4" s="3507"/>
      <c r="V4" s="3531" t="s">
        <v>2227</v>
      </c>
      <c r="W4" s="3531"/>
      <c r="X4" s="1489"/>
      <c r="Y4" s="3506" t="s">
        <v>2229</v>
      </c>
      <c r="Z4" s="3507"/>
      <c r="AA4" s="3501" t="s">
        <v>2225</v>
      </c>
      <c r="AB4" s="3502" t="s">
        <v>2226</v>
      </c>
      <c r="AC4" s="3501" t="s">
        <v>2227</v>
      </c>
    </row>
    <row r="5" spans="1:29" ht="15">
      <c r="A5" s="364"/>
      <c r="B5" s="365"/>
      <c r="C5" s="3512" t="s">
        <v>2120</v>
      </c>
      <c r="D5" s="3513"/>
      <c r="E5" s="3510" t="s">
        <v>2121</v>
      </c>
      <c r="F5" s="3511"/>
      <c r="G5" s="3512" t="s">
        <v>2122</v>
      </c>
      <c r="H5" s="3513"/>
      <c r="I5" s="3512" t="s">
        <v>2123</v>
      </c>
      <c r="J5" s="3513"/>
      <c r="K5" s="567"/>
      <c r="L5" s="1025"/>
      <c r="M5" s="1026"/>
      <c r="N5" s="1026"/>
      <c r="O5" s="1026"/>
      <c r="P5" s="3525"/>
      <c r="Q5" s="3526"/>
      <c r="R5" s="3508"/>
      <c r="S5" s="3509"/>
      <c r="T5" s="3508"/>
      <c r="U5" s="3509"/>
      <c r="V5" s="3531"/>
      <c r="W5" s="3531"/>
      <c r="X5" s="1489"/>
      <c r="Y5" s="3508"/>
      <c r="Z5" s="3509"/>
      <c r="AA5" s="3502"/>
      <c r="AB5" s="3502"/>
      <c r="AC5" s="3502"/>
    </row>
    <row r="6" spans="1:29" ht="15.75" thickBot="1">
      <c r="A6" s="366"/>
      <c r="B6" s="367"/>
      <c r="C6" s="3514" t="s">
        <v>2124</v>
      </c>
      <c r="D6" s="3515"/>
      <c r="E6" s="3516" t="s">
        <v>2124</v>
      </c>
      <c r="F6" s="3517"/>
      <c r="G6" s="3514" t="s">
        <v>2124</v>
      </c>
      <c r="H6" s="3515"/>
      <c r="I6" s="3514" t="s">
        <v>2124</v>
      </c>
      <c r="J6" s="3515"/>
      <c r="K6" s="567" t="s">
        <v>2125</v>
      </c>
      <c r="L6" s="1025"/>
      <c r="M6" s="1026"/>
      <c r="N6" s="1026"/>
      <c r="O6" s="1026"/>
      <c r="P6" s="3527"/>
      <c r="Q6" s="3528"/>
      <c r="R6" s="3508"/>
      <c r="S6" s="3509"/>
      <c r="T6" s="3529"/>
      <c r="U6" s="3530"/>
      <c r="V6" s="3531"/>
      <c r="W6" s="3531"/>
      <c r="X6" s="1489"/>
      <c r="Y6" s="3529"/>
      <c r="Z6" s="3530"/>
      <c r="AA6" s="3503"/>
      <c r="AB6" s="3503"/>
      <c r="AC6" s="3503"/>
    </row>
    <row r="7" spans="1:29" s="113" customFormat="1" ht="15.75" thickBot="1">
      <c r="A7" s="368" t="s">
        <v>2126</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4" t="s">
        <v>2127</v>
      </c>
      <c r="Q7" s="3532"/>
      <c r="R7" s="710" t="s">
        <v>17</v>
      </c>
      <c r="S7" s="711">
        <f t="shared" ref="S7:S15" si="0">F7</f>
        <v>0</v>
      </c>
      <c r="T7" s="710" t="s">
        <v>17</v>
      </c>
      <c r="U7" s="711">
        <f t="shared" ref="U7:U15" si="1">H7</f>
        <v>0</v>
      </c>
      <c r="V7" s="710" t="s">
        <v>17</v>
      </c>
      <c r="W7" s="711">
        <f t="shared" ref="W7:W15" si="2">J7</f>
        <v>0</v>
      </c>
      <c r="X7" s="712"/>
      <c r="Y7" s="3504" t="s">
        <v>2127</v>
      </c>
      <c r="Z7" s="3505"/>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4" t="s">
        <v>2130</v>
      </c>
      <c r="Q8" s="3505"/>
      <c r="R8" s="710" t="s">
        <v>17</v>
      </c>
      <c r="S8" s="711">
        <f t="shared" si="0"/>
        <v>0</v>
      </c>
      <c r="T8" s="710" t="s">
        <v>17</v>
      </c>
      <c r="U8" s="711">
        <f t="shared" si="1"/>
        <v>0</v>
      </c>
      <c r="V8" s="710" t="s">
        <v>17</v>
      </c>
      <c r="W8" s="711">
        <f t="shared" si="2"/>
        <v>0</v>
      </c>
      <c r="X8" s="712"/>
      <c r="Y8" s="3504" t="s">
        <v>2130</v>
      </c>
      <c r="Z8" s="3505"/>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6"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6"/>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6"/>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36"/>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36"/>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36"/>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57">
      <c r="A15" s="399" t="s">
        <v>2137</v>
      </c>
      <c r="B15" s="65" t="s">
        <v>2281</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8" t="s">
        <v>2138</v>
      </c>
      <c r="Q15" s="1486" t="str">
        <f t="shared" si="6"/>
        <v>产业集聚程度</v>
      </c>
      <c r="R15" s="714" t="s">
        <v>17</v>
      </c>
      <c r="S15" s="715">
        <f t="shared" si="0"/>
        <v>100</v>
      </c>
      <c r="T15" s="714" t="s">
        <v>17</v>
      </c>
      <c r="U15" s="715">
        <f t="shared" si="1"/>
        <v>100</v>
      </c>
      <c r="V15" s="714" t="s">
        <v>17</v>
      </c>
      <c r="W15" s="715">
        <f t="shared" si="2"/>
        <v>100</v>
      </c>
      <c r="X15" s="1489"/>
      <c r="Y15" s="3538"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39"/>
      <c r="Q16" s="1486"/>
      <c r="R16" s="714"/>
      <c r="S16" s="715"/>
      <c r="T16" s="714"/>
      <c r="U16" s="715"/>
      <c r="V16" s="714"/>
      <c r="W16" s="715"/>
      <c r="X16" s="1489"/>
      <c r="Y16" s="3539"/>
      <c r="Z16" s="1490"/>
      <c r="AA16" s="1487">
        <v>1</v>
      </c>
      <c r="AB16" s="1487">
        <v>1</v>
      </c>
      <c r="AC16" s="1487">
        <v>1</v>
      </c>
    </row>
    <row r="17" spans="1:29" ht="85.5">
      <c r="A17" s="387"/>
      <c r="B17" s="410" t="s">
        <v>1702</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9"/>
      <c r="Q17" s="1486" t="str">
        <f>B17</f>
        <v>交通便捷度</v>
      </c>
      <c r="R17" s="714" t="s">
        <v>17</v>
      </c>
      <c r="S17" s="715">
        <f>F17</f>
        <v>100</v>
      </c>
      <c r="T17" s="714" t="s">
        <v>17</v>
      </c>
      <c r="U17" s="715">
        <f>H17</f>
        <v>100</v>
      </c>
      <c r="V17" s="714" t="s">
        <v>17</v>
      </c>
      <c r="W17" s="715">
        <f>J17</f>
        <v>100</v>
      </c>
      <c r="X17" s="1489"/>
      <c r="Y17" s="3539"/>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39"/>
      <c r="Q18" s="1486"/>
      <c r="R18" s="714"/>
      <c r="S18" s="715"/>
      <c r="T18" s="714"/>
      <c r="U18" s="715"/>
      <c r="V18" s="714"/>
      <c r="W18" s="715"/>
      <c r="X18" s="1489"/>
      <c r="Y18" s="3539"/>
      <c r="Z18" s="1490"/>
      <c r="AA18" s="1487">
        <v>1</v>
      </c>
      <c r="AB18" s="1487">
        <v>1</v>
      </c>
      <c r="AC18" s="1487">
        <v>1</v>
      </c>
    </row>
    <row r="19" spans="1:29" ht="42.75">
      <c r="A19" s="387"/>
      <c r="B19" s="410" t="s">
        <v>2266</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9"/>
      <c r="Q19" s="1486" t="str">
        <f>B19</f>
        <v>公共配套设施</v>
      </c>
      <c r="R19" s="714" t="s">
        <v>17</v>
      </c>
      <c r="S19" s="715">
        <f>F19</f>
        <v>100</v>
      </c>
      <c r="T19" s="714" t="s">
        <v>17</v>
      </c>
      <c r="U19" s="715">
        <f>H19</f>
        <v>100</v>
      </c>
      <c r="V19" s="714" t="s">
        <v>17</v>
      </c>
      <c r="W19" s="715">
        <f>J19</f>
        <v>100</v>
      </c>
      <c r="X19" s="1489"/>
      <c r="Y19" s="3539"/>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39"/>
      <c r="Q20" s="1486"/>
      <c r="R20" s="714"/>
      <c r="S20" s="715"/>
      <c r="T20" s="714"/>
      <c r="U20" s="715"/>
      <c r="V20" s="714"/>
      <c r="W20" s="715"/>
      <c r="X20" s="1489"/>
      <c r="Y20" s="3539"/>
      <c r="Z20" s="1490"/>
      <c r="AA20" s="1487">
        <v>1</v>
      </c>
      <c r="AB20" s="1487">
        <v>1</v>
      </c>
      <c r="AC20" s="1487">
        <v>1</v>
      </c>
    </row>
    <row r="21" spans="1:29" ht="28.5">
      <c r="A21" s="387"/>
      <c r="B21" s="1246" t="s">
        <v>2267</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9"/>
      <c r="Q21" s="1486" t="str">
        <f>B21</f>
        <v>基础设施水平</v>
      </c>
      <c r="R21" s="714" t="s">
        <v>17</v>
      </c>
      <c r="S21" s="715">
        <f>F21</f>
        <v>100</v>
      </c>
      <c r="T21" s="714" t="s">
        <v>17</v>
      </c>
      <c r="U21" s="715">
        <f>H21</f>
        <v>100</v>
      </c>
      <c r="V21" s="714" t="s">
        <v>17</v>
      </c>
      <c r="W21" s="715">
        <f>J21</f>
        <v>100</v>
      </c>
      <c r="X21" s="1489"/>
      <c r="Y21" s="3539"/>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539"/>
      <c r="Q22" s="1486"/>
      <c r="R22" s="714"/>
      <c r="S22" s="715"/>
      <c r="T22" s="714"/>
      <c r="U22" s="715"/>
      <c r="V22" s="714"/>
      <c r="W22" s="715"/>
      <c r="X22" s="1489"/>
      <c r="Y22" s="3539"/>
      <c r="Z22" s="1490"/>
      <c r="AA22" s="1487">
        <v>1</v>
      </c>
      <c r="AB22" s="1487">
        <v>1</v>
      </c>
      <c r="AC22" s="1487">
        <v>1</v>
      </c>
    </row>
    <row r="23" spans="1:29" ht="71.25">
      <c r="A23" s="387"/>
      <c r="B23" s="410" t="s">
        <v>2268</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9"/>
      <c r="Q23" s="1486" t="str">
        <f>B23</f>
        <v>环境质量</v>
      </c>
      <c r="R23" s="714" t="s">
        <v>17</v>
      </c>
      <c r="S23" s="715">
        <f>F23</f>
        <v>100</v>
      </c>
      <c r="T23" s="714" t="s">
        <v>17</v>
      </c>
      <c r="U23" s="715">
        <f>H23</f>
        <v>100</v>
      </c>
      <c r="V23" s="714" t="s">
        <v>17</v>
      </c>
      <c r="W23" s="715">
        <f>J23</f>
        <v>100</v>
      </c>
      <c r="X23" s="1489"/>
      <c r="Y23" s="3539"/>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539"/>
      <c r="Q24" s="1486"/>
      <c r="R24" s="714"/>
      <c r="S24" s="715"/>
      <c r="T24" s="714"/>
      <c r="U24" s="715"/>
      <c r="V24" s="714"/>
      <c r="W24" s="715"/>
      <c r="X24" s="1489"/>
      <c r="Y24" s="3539"/>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9"/>
      <c r="Q25" s="1486">
        <f>B25</f>
        <v>111</v>
      </c>
      <c r="R25" s="714" t="s">
        <v>17</v>
      </c>
      <c r="S25" s="715">
        <f>F25</f>
        <v>100</v>
      </c>
      <c r="T25" s="714" t="s">
        <v>17</v>
      </c>
      <c r="U25" s="715">
        <f>H25</f>
        <v>100</v>
      </c>
      <c r="V25" s="714" t="s">
        <v>17</v>
      </c>
      <c r="W25" s="715">
        <f>J25</f>
        <v>100</v>
      </c>
      <c r="X25" s="1489"/>
      <c r="Y25" s="3539"/>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9"/>
      <c r="Q26" s="1486">
        <f t="shared" ref="Q26:Q40" si="11">B26</f>
        <v>111</v>
      </c>
      <c r="R26" s="714" t="s">
        <v>17</v>
      </c>
      <c r="S26" s="715">
        <f>F26</f>
        <v>100</v>
      </c>
      <c r="T26" s="714" t="s">
        <v>17</v>
      </c>
      <c r="U26" s="715">
        <f>H26</f>
        <v>100</v>
      </c>
      <c r="V26" s="714" t="s">
        <v>17</v>
      </c>
      <c r="W26" s="715">
        <f>J26</f>
        <v>100</v>
      </c>
      <c r="X26" s="1489"/>
      <c r="Y26" s="3539"/>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9"/>
      <c r="Q27" s="1477">
        <f t="shared" si="11"/>
        <v>111</v>
      </c>
      <c r="R27" s="710" t="s">
        <v>17</v>
      </c>
      <c r="S27" s="711">
        <f>F27</f>
        <v>100</v>
      </c>
      <c r="T27" s="710" t="s">
        <v>17</v>
      </c>
      <c r="U27" s="711">
        <f>H27</f>
        <v>100</v>
      </c>
      <c r="V27" s="710" t="s">
        <v>17</v>
      </c>
      <c r="W27" s="711">
        <f>J27</f>
        <v>100</v>
      </c>
      <c r="X27" s="712"/>
      <c r="Y27" s="3539"/>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9"/>
      <c r="Q28" s="1486">
        <f t="shared" si="11"/>
        <v>111</v>
      </c>
      <c r="R28" s="714" t="s">
        <v>17</v>
      </c>
      <c r="S28" s="715">
        <f t="shared" ref="S28:S40" si="12">F28</f>
        <v>100</v>
      </c>
      <c r="T28" s="714" t="s">
        <v>17</v>
      </c>
      <c r="U28" s="715">
        <f t="shared" ref="U28:U40" si="13">H28</f>
        <v>100</v>
      </c>
      <c r="V28" s="714" t="s">
        <v>17</v>
      </c>
      <c r="W28" s="715">
        <f t="shared" ref="W28:W40" si="14">J28</f>
        <v>100</v>
      </c>
      <c r="X28" s="1489"/>
      <c r="Y28" s="3539"/>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62" t="s">
        <v>2143</v>
      </c>
      <c r="Q29" s="1486" t="str">
        <f t="shared" si="11"/>
        <v>建筑类型</v>
      </c>
      <c r="R29" s="714" t="s">
        <v>17</v>
      </c>
      <c r="S29" s="715">
        <f t="shared" si="12"/>
        <v>100</v>
      </c>
      <c r="T29" s="714" t="s">
        <v>17</v>
      </c>
      <c r="U29" s="715">
        <f t="shared" si="13"/>
        <v>100</v>
      </c>
      <c r="V29" s="714" t="s">
        <v>17</v>
      </c>
      <c r="W29" s="715">
        <f t="shared" si="14"/>
        <v>100</v>
      </c>
      <c r="X29" s="1489"/>
      <c r="Y29" s="3543"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3"/>
      <c r="Q30" s="716" t="str">
        <f t="shared" si="11"/>
        <v>项目建筑规模</v>
      </c>
      <c r="R30" s="717" t="s">
        <v>17</v>
      </c>
      <c r="S30" s="718" t="e">
        <f t="shared" si="12"/>
        <v>#N/A</v>
      </c>
      <c r="T30" s="717" t="s">
        <v>17</v>
      </c>
      <c r="U30" s="718" t="e">
        <f t="shared" si="13"/>
        <v>#N/A</v>
      </c>
      <c r="V30" s="717" t="s">
        <v>17</v>
      </c>
      <c r="W30" s="718" t="e">
        <f t="shared" si="14"/>
        <v>#N/A</v>
      </c>
      <c r="X30" s="719"/>
      <c r="Y30" s="3543"/>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3"/>
      <c r="Q31" s="1486" t="str">
        <f t="shared" si="11"/>
        <v>建筑结构</v>
      </c>
      <c r="R31" s="714" t="s">
        <v>17</v>
      </c>
      <c r="S31" s="715">
        <f t="shared" si="12"/>
        <v>100</v>
      </c>
      <c r="T31" s="714" t="s">
        <v>17</v>
      </c>
      <c r="U31" s="715">
        <f t="shared" si="13"/>
        <v>100</v>
      </c>
      <c r="V31" s="714" t="s">
        <v>17</v>
      </c>
      <c r="W31" s="715">
        <f t="shared" si="14"/>
        <v>100</v>
      </c>
      <c r="X31" s="1489"/>
      <c r="Y31" s="3543"/>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3"/>
      <c r="Q32" s="1486" t="str">
        <f t="shared" si="11"/>
        <v>公共部分装修</v>
      </c>
      <c r="R32" s="714" t="s">
        <v>17</v>
      </c>
      <c r="S32" s="715">
        <f t="shared" si="12"/>
        <v>100</v>
      </c>
      <c r="T32" s="714" t="s">
        <v>17</v>
      </c>
      <c r="U32" s="715">
        <f t="shared" si="13"/>
        <v>100</v>
      </c>
      <c r="V32" s="714" t="s">
        <v>17</v>
      </c>
      <c r="W32" s="715">
        <f t="shared" si="14"/>
        <v>100</v>
      </c>
      <c r="X32" s="1489"/>
      <c r="Y32" s="3543"/>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3"/>
      <c r="Q33" s="1486" t="str">
        <f t="shared" si="11"/>
        <v>成新度</v>
      </c>
      <c r="R33" s="714" t="s">
        <v>17</v>
      </c>
      <c r="S33" s="715" t="e">
        <f t="shared" si="12"/>
        <v>#N/A</v>
      </c>
      <c r="T33" s="714" t="s">
        <v>17</v>
      </c>
      <c r="U33" s="715" t="e">
        <f t="shared" si="13"/>
        <v>#N/A</v>
      </c>
      <c r="V33" s="714" t="s">
        <v>17</v>
      </c>
      <c r="W33" s="715" t="e">
        <f t="shared" si="14"/>
        <v>#N/A</v>
      </c>
      <c r="X33" s="1489"/>
      <c r="Y33" s="3543"/>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3"/>
      <c r="Q34" s="1477" t="str">
        <f t="shared" si="11"/>
        <v>物业管理</v>
      </c>
      <c r="R34" s="710" t="s">
        <v>17</v>
      </c>
      <c r="S34" s="711">
        <f t="shared" si="12"/>
        <v>100</v>
      </c>
      <c r="T34" s="710" t="s">
        <v>17</v>
      </c>
      <c r="U34" s="711">
        <f t="shared" si="13"/>
        <v>100</v>
      </c>
      <c r="V34" s="710" t="s">
        <v>17</v>
      </c>
      <c r="W34" s="711">
        <f t="shared" si="14"/>
        <v>100</v>
      </c>
      <c r="X34" s="712"/>
      <c r="Y34" s="3543"/>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3" t="s">
        <v>2143</v>
      </c>
      <c r="Q35" s="1486" t="str">
        <f t="shared" si="11"/>
        <v>市政基础设施</v>
      </c>
      <c r="R35" s="714" t="s">
        <v>17</v>
      </c>
      <c r="S35" s="715">
        <f t="shared" si="12"/>
        <v>100</v>
      </c>
      <c r="T35" s="714" t="s">
        <v>17</v>
      </c>
      <c r="U35" s="715">
        <f t="shared" si="13"/>
        <v>100</v>
      </c>
      <c r="V35" s="714" t="s">
        <v>17</v>
      </c>
      <c r="W35" s="715">
        <f t="shared" si="14"/>
        <v>100</v>
      </c>
      <c r="X35" s="1489"/>
      <c r="Y35" s="3543"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3"/>
      <c r="Q36" s="1486" t="str">
        <f t="shared" si="11"/>
        <v>内部装修</v>
      </c>
      <c r="R36" s="714" t="s">
        <v>17</v>
      </c>
      <c r="S36" s="715">
        <f t="shared" si="12"/>
        <v>100</v>
      </c>
      <c r="T36" s="714" t="s">
        <v>17</v>
      </c>
      <c r="U36" s="715">
        <f t="shared" si="13"/>
        <v>100</v>
      </c>
      <c r="V36" s="714" t="s">
        <v>17</v>
      </c>
      <c r="W36" s="715">
        <f t="shared" si="14"/>
        <v>100</v>
      </c>
      <c r="X36" s="1489"/>
      <c r="Y36" s="3543"/>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3"/>
      <c r="Q37" s="1486" t="str">
        <f t="shared" si="11"/>
        <v>内部装修状况</v>
      </c>
      <c r="R37" s="714" t="s">
        <v>17</v>
      </c>
      <c r="S37" s="715">
        <f t="shared" si="12"/>
        <v>100</v>
      </c>
      <c r="T37" s="714" t="s">
        <v>17</v>
      </c>
      <c r="U37" s="715">
        <f t="shared" si="13"/>
        <v>100</v>
      </c>
      <c r="V37" s="714" t="s">
        <v>17</v>
      </c>
      <c r="W37" s="715">
        <f t="shared" si="14"/>
        <v>100</v>
      </c>
      <c r="X37" s="1489"/>
      <c r="Y37" s="3543"/>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3"/>
      <c r="Q38" s="716">
        <f t="shared" si="11"/>
        <v>111</v>
      </c>
      <c r="R38" s="717" t="s">
        <v>17</v>
      </c>
      <c r="S38" s="718">
        <f t="shared" si="12"/>
        <v>100</v>
      </c>
      <c r="T38" s="717" t="s">
        <v>17</v>
      </c>
      <c r="U38" s="718">
        <f t="shared" si="13"/>
        <v>100</v>
      </c>
      <c r="V38" s="717" t="s">
        <v>17</v>
      </c>
      <c r="W38" s="718">
        <f t="shared" si="14"/>
        <v>100</v>
      </c>
      <c r="X38" s="719"/>
      <c r="Y38" s="3543"/>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3"/>
      <c r="Q39" s="1486">
        <f t="shared" si="11"/>
        <v>111</v>
      </c>
      <c r="R39" s="714" t="s">
        <v>17</v>
      </c>
      <c r="S39" s="715">
        <f t="shared" si="12"/>
        <v>100</v>
      </c>
      <c r="T39" s="714" t="s">
        <v>17</v>
      </c>
      <c r="U39" s="715">
        <f t="shared" si="13"/>
        <v>100</v>
      </c>
      <c r="V39" s="714" t="s">
        <v>17</v>
      </c>
      <c r="W39" s="715">
        <f t="shared" si="14"/>
        <v>100</v>
      </c>
      <c r="X39" s="1489"/>
      <c r="Y39" s="3543"/>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4"/>
      <c r="Q40" s="1486">
        <f t="shared" si="11"/>
        <v>111</v>
      </c>
      <c r="R40" s="714" t="s">
        <v>17</v>
      </c>
      <c r="S40" s="715">
        <f t="shared" si="12"/>
        <v>100</v>
      </c>
      <c r="T40" s="714" t="s">
        <v>17</v>
      </c>
      <c r="U40" s="715">
        <f t="shared" si="13"/>
        <v>100</v>
      </c>
      <c r="V40" s="714" t="s">
        <v>17</v>
      </c>
      <c r="W40" s="715">
        <f t="shared" si="14"/>
        <v>100</v>
      </c>
      <c r="X40" s="1489"/>
      <c r="Y40" s="3544"/>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536" t="str">
        <f>A41</f>
        <v>成交单价（元/平方米）</v>
      </c>
      <c r="Q41" s="3536"/>
      <c r="R41" s="3537">
        <f>E41</f>
        <v>0</v>
      </c>
      <c r="S41" s="3537"/>
      <c r="T41" s="3537">
        <f>G41</f>
        <v>0</v>
      </c>
      <c r="U41" s="3537"/>
      <c r="V41" s="3537">
        <f>I41</f>
        <v>0</v>
      </c>
      <c r="W41" s="3537"/>
      <c r="X41" s="699"/>
      <c r="Y41" s="721"/>
      <c r="Z41" s="699"/>
      <c r="AA41" s="699"/>
      <c r="AB41" s="699"/>
      <c r="AC41" s="699"/>
    </row>
    <row r="42" spans="1:29" ht="15.75" thickBot="1">
      <c r="A42" s="445" t="s">
        <v>2247</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536" t="str">
        <f>A42</f>
        <v>比较价值（元/平方米）</v>
      </c>
      <c r="Q42" s="3536"/>
      <c r="R42" s="3537" t="e">
        <f>IF(F1="售价",ROUND(PRODUCT(R41,AA7:AA40),0),ROUND(PRODUCT(R41,AA7:AA40),1))</f>
        <v>#DIV/0!</v>
      </c>
      <c r="S42" s="3537"/>
      <c r="T42" s="3537" t="e">
        <f>IF(F1="售价",ROUND(PRODUCT(T41,AB7:AB40),0),ROUND(PRODUCT(T41,AB7:AB40),1))</f>
        <v>#DIV/0!</v>
      </c>
      <c r="U42" s="3537"/>
      <c r="V42" s="3537" t="e">
        <f>IF(F1="售价",ROUND(PRODUCT(V41,AC7:AC40),0),ROUND(PRODUCT(V41,AC7:AC40),1))</f>
        <v>#DIV/0!</v>
      </c>
      <c r="W42" s="3537"/>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533" t="str">
        <f>A43</f>
        <v>估价对象XX用房的比较价值（楼面单价，元/平方米）</v>
      </c>
      <c r="Q43" s="3534"/>
      <c r="R43" s="3535" t="e">
        <f>IF(F1="售价",ROUND(IF(D42="简单平均",AVERAGE(R42:V42),R42*F42+T42*H42+V42*J42),0),ROUND(IF(D42="简单平均",AVERAGE(R42:V42),R42*F42+T42*H42+V42*J42),1))</f>
        <v>#DIV/0!</v>
      </c>
      <c r="S43" s="3535"/>
      <c r="T43" s="3535"/>
      <c r="U43" s="3535"/>
      <c r="V43" s="3535"/>
      <c r="W43" s="353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519" t="s">
        <v>2224</v>
      </c>
      <c r="D4" s="3520"/>
      <c r="E4" s="3521" t="s">
        <v>2225</v>
      </c>
      <c r="F4" s="3522"/>
      <c r="G4" s="3519" t="s">
        <v>2226</v>
      </c>
      <c r="H4" s="3520"/>
      <c r="I4" s="3519" t="s">
        <v>2227</v>
      </c>
      <c r="J4" s="3520"/>
      <c r="K4" s="567" t="s">
        <v>2228</v>
      </c>
      <c r="L4" s="2892"/>
      <c r="M4" s="2893"/>
      <c r="N4" s="2893"/>
      <c r="O4" s="2893"/>
      <c r="P4" s="3523" t="s">
        <v>2229</v>
      </c>
      <c r="Q4" s="3524"/>
      <c r="R4" s="3506" t="s">
        <v>2225</v>
      </c>
      <c r="S4" s="3507"/>
      <c r="T4" s="3506" t="s">
        <v>2226</v>
      </c>
      <c r="U4" s="3507"/>
      <c r="V4" s="3531" t="s">
        <v>2227</v>
      </c>
      <c r="W4" s="3531"/>
      <c r="X4" s="1489"/>
      <c r="Y4" s="3506" t="s">
        <v>2229</v>
      </c>
      <c r="Z4" s="3507"/>
      <c r="AA4" s="3501" t="s">
        <v>2225</v>
      </c>
      <c r="AB4" s="3502" t="s">
        <v>2226</v>
      </c>
      <c r="AC4" s="3501" t="s">
        <v>2227</v>
      </c>
    </row>
    <row r="5" spans="1:29" ht="15">
      <c r="A5" s="364"/>
      <c r="B5" s="365"/>
      <c r="C5" s="3512" t="s">
        <v>2120</v>
      </c>
      <c r="D5" s="3513"/>
      <c r="E5" s="3510" t="s">
        <v>2121</v>
      </c>
      <c r="F5" s="3511"/>
      <c r="G5" s="3512" t="s">
        <v>2122</v>
      </c>
      <c r="H5" s="3513"/>
      <c r="I5" s="3512" t="s">
        <v>2123</v>
      </c>
      <c r="J5" s="3513"/>
      <c r="K5" s="567"/>
      <c r="L5" s="2892"/>
      <c r="M5" s="2893"/>
      <c r="N5" s="2893"/>
      <c r="O5" s="2893"/>
      <c r="P5" s="3525"/>
      <c r="Q5" s="3526"/>
      <c r="R5" s="3508"/>
      <c r="S5" s="3509"/>
      <c r="T5" s="3508"/>
      <c r="U5" s="3509"/>
      <c r="V5" s="3531"/>
      <c r="W5" s="3531"/>
      <c r="X5" s="1489"/>
      <c r="Y5" s="3508"/>
      <c r="Z5" s="3509"/>
      <c r="AA5" s="3502"/>
      <c r="AB5" s="3502"/>
      <c r="AC5" s="3502"/>
    </row>
    <row r="6" spans="1:29" ht="15.75" thickBot="1">
      <c r="A6" s="366"/>
      <c r="B6" s="367"/>
      <c r="C6" s="3514" t="s">
        <v>2124</v>
      </c>
      <c r="D6" s="3515"/>
      <c r="E6" s="3516" t="s">
        <v>2124</v>
      </c>
      <c r="F6" s="3517"/>
      <c r="G6" s="3514" t="s">
        <v>2124</v>
      </c>
      <c r="H6" s="3515"/>
      <c r="I6" s="3514" t="s">
        <v>2124</v>
      </c>
      <c r="J6" s="3515"/>
      <c r="K6" s="567" t="s">
        <v>2125</v>
      </c>
      <c r="L6" s="2892"/>
      <c r="M6" s="2893"/>
      <c r="N6" s="2893"/>
      <c r="O6" s="2893"/>
      <c r="P6" s="3527"/>
      <c r="Q6" s="3528"/>
      <c r="R6" s="3508"/>
      <c r="S6" s="3509"/>
      <c r="T6" s="3529"/>
      <c r="U6" s="3530"/>
      <c r="V6" s="3531"/>
      <c r="W6" s="3531"/>
      <c r="X6" s="1489"/>
      <c r="Y6" s="3529"/>
      <c r="Z6" s="3530"/>
      <c r="AA6" s="3503"/>
      <c r="AB6" s="3503"/>
      <c r="AC6" s="3503"/>
    </row>
    <row r="7" spans="1:29" s="113" customFormat="1" ht="15.75" thickBot="1">
      <c r="A7" s="368" t="s">
        <v>2126</v>
      </c>
      <c r="B7" s="369"/>
      <c r="C7" s="370">
        <f>'数据-取费表'!B2</f>
        <v>44769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04" t="s">
        <v>2127</v>
      </c>
      <c r="Q7" s="3532"/>
      <c r="R7" s="710" t="s">
        <v>17</v>
      </c>
      <c r="S7" s="711">
        <f t="shared" ref="S7:S14" si="0">F7</f>
        <v>0</v>
      </c>
      <c r="T7" s="710" t="s">
        <v>17</v>
      </c>
      <c r="U7" s="711">
        <f t="shared" ref="U7:U14" si="1">H7</f>
        <v>0</v>
      </c>
      <c r="V7" s="710" t="s">
        <v>17</v>
      </c>
      <c r="W7" s="711">
        <f t="shared" ref="W7:W14" si="2">J7</f>
        <v>0</v>
      </c>
      <c r="X7" s="712"/>
      <c r="Y7" s="3504" t="s">
        <v>2127</v>
      </c>
      <c r="Z7" s="3505"/>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04" t="s">
        <v>2130</v>
      </c>
      <c r="Q8" s="3505"/>
      <c r="R8" s="710" t="s">
        <v>17</v>
      </c>
      <c r="S8" s="711">
        <f t="shared" si="0"/>
        <v>0</v>
      </c>
      <c r="T8" s="710" t="s">
        <v>17</v>
      </c>
      <c r="U8" s="711">
        <f t="shared" si="1"/>
        <v>0</v>
      </c>
      <c r="V8" s="710" t="s">
        <v>17</v>
      </c>
      <c r="W8" s="711">
        <f t="shared" si="2"/>
        <v>0</v>
      </c>
      <c r="X8" s="712"/>
      <c r="Y8" s="3504" t="s">
        <v>2130</v>
      </c>
      <c r="Z8" s="3505"/>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36" t="s">
        <v>2133</v>
      </c>
      <c r="Q9" s="1477" t="str">
        <f t="shared" ref="Q9:Q14" si="6">B9</f>
        <v>用途</v>
      </c>
      <c r="R9" s="710" t="s">
        <v>17</v>
      </c>
      <c r="S9" s="711">
        <f t="shared" si="0"/>
        <v>100</v>
      </c>
      <c r="T9" s="710" t="s">
        <v>17</v>
      </c>
      <c r="U9" s="711">
        <f t="shared" si="1"/>
        <v>100</v>
      </c>
      <c r="V9" s="710" t="s">
        <v>17</v>
      </c>
      <c r="W9" s="711">
        <f t="shared" si="2"/>
        <v>100</v>
      </c>
      <c r="X9" s="712"/>
      <c r="Y9" s="3448"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36"/>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36"/>
      <c r="Q11" s="1477">
        <f t="shared" si="6"/>
        <v>111</v>
      </c>
      <c r="R11" s="710" t="s">
        <v>17</v>
      </c>
      <c r="S11" s="711">
        <f t="shared" si="0"/>
        <v>100</v>
      </c>
      <c r="T11" s="710" t="s">
        <v>17</v>
      </c>
      <c r="U11" s="711">
        <f t="shared" si="1"/>
        <v>100</v>
      </c>
      <c r="V11" s="710" t="s">
        <v>17</v>
      </c>
      <c r="W11" s="711">
        <f t="shared" si="2"/>
        <v>100</v>
      </c>
      <c r="X11" s="712"/>
      <c r="Y11" s="34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36"/>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36"/>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85.5">
      <c r="A14" s="361" t="s">
        <v>2137</v>
      </c>
      <c r="B14" s="585" t="s">
        <v>2287</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38" t="s">
        <v>2138</v>
      </c>
      <c r="Q14" s="1486" t="str">
        <f t="shared" si="6"/>
        <v>交通便捷度</v>
      </c>
      <c r="R14" s="714" t="s">
        <v>17</v>
      </c>
      <c r="S14" s="715">
        <f t="shared" si="0"/>
        <v>100</v>
      </c>
      <c r="T14" s="714" t="s">
        <v>17</v>
      </c>
      <c r="U14" s="715">
        <f t="shared" si="1"/>
        <v>100</v>
      </c>
      <c r="V14" s="714" t="s">
        <v>17</v>
      </c>
      <c r="W14" s="715">
        <f t="shared" si="2"/>
        <v>100</v>
      </c>
      <c r="X14" s="1489"/>
      <c r="Y14" s="3538"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539"/>
      <c r="Q15" s="1486"/>
      <c r="R15" s="714"/>
      <c r="S15" s="715"/>
      <c r="T15" s="714"/>
      <c r="U15" s="715"/>
      <c r="V15" s="714"/>
      <c r="W15" s="715"/>
      <c r="X15" s="1489"/>
      <c r="Y15" s="3539"/>
      <c r="Z15" s="1490"/>
      <c r="AA15" s="1487">
        <v>1</v>
      </c>
      <c r="AB15" s="1487">
        <v>1</v>
      </c>
      <c r="AC15" s="1487">
        <v>1</v>
      </c>
    </row>
    <row r="16" spans="1:29" ht="42.75">
      <c r="A16" s="364"/>
      <c r="B16" s="587" t="s">
        <v>2266</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39"/>
      <c r="Q16" s="1486" t="str">
        <f>B16</f>
        <v>公共配套设施</v>
      </c>
      <c r="R16" s="714" t="s">
        <v>17</v>
      </c>
      <c r="S16" s="715">
        <f>F16</f>
        <v>100</v>
      </c>
      <c r="T16" s="714" t="s">
        <v>17</v>
      </c>
      <c r="U16" s="715">
        <f>H16</f>
        <v>100</v>
      </c>
      <c r="V16" s="714" t="s">
        <v>17</v>
      </c>
      <c r="W16" s="715">
        <f>J16</f>
        <v>100</v>
      </c>
      <c r="X16" s="1489"/>
      <c r="Y16" s="3539"/>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539"/>
      <c r="Q17" s="1486"/>
      <c r="R17" s="714"/>
      <c r="S17" s="715"/>
      <c r="T17" s="714"/>
      <c r="U17" s="715"/>
      <c r="V17" s="714"/>
      <c r="W17" s="715"/>
      <c r="X17" s="1489"/>
      <c r="Y17" s="3539"/>
      <c r="Z17" s="1490"/>
      <c r="AA17" s="1487">
        <v>1</v>
      </c>
      <c r="AB17" s="1487">
        <v>1</v>
      </c>
      <c r="AC17" s="1487">
        <v>1</v>
      </c>
    </row>
    <row r="18" spans="1:29" ht="28.5">
      <c r="A18" s="364"/>
      <c r="B18" s="589" t="s">
        <v>2267</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39"/>
      <c r="Q18" s="1486" t="str">
        <f>B18</f>
        <v>基础设施水平</v>
      </c>
      <c r="R18" s="714" t="s">
        <v>17</v>
      </c>
      <c r="S18" s="715">
        <f>F18</f>
        <v>100</v>
      </c>
      <c r="T18" s="714" t="s">
        <v>17</v>
      </c>
      <c r="U18" s="715">
        <f>H18</f>
        <v>100</v>
      </c>
      <c r="V18" s="714" t="s">
        <v>17</v>
      </c>
      <c r="W18" s="715">
        <f>J18</f>
        <v>100</v>
      </c>
      <c r="X18" s="1489"/>
      <c r="Y18" s="3539"/>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539"/>
      <c r="Q19" s="1486"/>
      <c r="R19" s="714"/>
      <c r="S19" s="715"/>
      <c r="T19" s="714"/>
      <c r="U19" s="715"/>
      <c r="V19" s="714"/>
      <c r="W19" s="715"/>
      <c r="X19" s="1489"/>
      <c r="Y19" s="3539"/>
      <c r="Z19" s="1490"/>
      <c r="AA19" s="1487">
        <v>1</v>
      </c>
      <c r="AB19" s="1487">
        <v>1</v>
      </c>
      <c r="AC19" s="1487">
        <v>1</v>
      </c>
    </row>
    <row r="20" spans="1:29" ht="57">
      <c r="A20" s="364"/>
      <c r="B20" s="587" t="s">
        <v>2288</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39"/>
      <c r="Q20" s="1486" t="str">
        <f>B20</f>
        <v>自然及人文环境</v>
      </c>
      <c r="R20" s="714" t="s">
        <v>17</v>
      </c>
      <c r="S20" s="715">
        <f>F20</f>
        <v>100</v>
      </c>
      <c r="T20" s="714" t="s">
        <v>17</v>
      </c>
      <c r="U20" s="715">
        <f>H20</f>
        <v>100</v>
      </c>
      <c r="V20" s="714" t="s">
        <v>17</v>
      </c>
      <c r="W20" s="715">
        <f>J20</f>
        <v>100</v>
      </c>
      <c r="X20" s="1489"/>
      <c r="Y20" s="3539"/>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539"/>
      <c r="Q21" s="1486"/>
      <c r="R21" s="714"/>
      <c r="S21" s="715"/>
      <c r="T21" s="714"/>
      <c r="U21" s="715"/>
      <c r="V21" s="714"/>
      <c r="W21" s="715"/>
      <c r="X21" s="1489"/>
      <c r="Y21" s="3539"/>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39"/>
      <c r="Q22" s="1486" t="str">
        <f>B22</f>
        <v>楼层</v>
      </c>
      <c r="R22" s="714" t="s">
        <v>17</v>
      </c>
      <c r="S22" s="715">
        <f>F22</f>
        <v>100</v>
      </c>
      <c r="T22" s="714" t="s">
        <v>17</v>
      </c>
      <c r="U22" s="715">
        <f>H22</f>
        <v>100</v>
      </c>
      <c r="V22" s="714" t="s">
        <v>17</v>
      </c>
      <c r="W22" s="715">
        <f>J22</f>
        <v>100</v>
      </c>
      <c r="X22" s="1489"/>
      <c r="Y22" s="3539"/>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39"/>
      <c r="Q23" s="1486">
        <f>B23</f>
        <v>111</v>
      </c>
      <c r="R23" s="714" t="s">
        <v>17</v>
      </c>
      <c r="S23" s="715">
        <f>F23</f>
        <v>100</v>
      </c>
      <c r="T23" s="714" t="s">
        <v>17</v>
      </c>
      <c r="U23" s="715">
        <f>H23</f>
        <v>100</v>
      </c>
      <c r="V23" s="714" t="s">
        <v>17</v>
      </c>
      <c r="W23" s="715">
        <f>J23</f>
        <v>100</v>
      </c>
      <c r="X23" s="1489"/>
      <c r="Y23" s="3539"/>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39"/>
      <c r="Q24" s="1486">
        <f t="shared" ref="Q24:Q36" si="11">B24</f>
        <v>111</v>
      </c>
      <c r="R24" s="714" t="s">
        <v>17</v>
      </c>
      <c r="S24" s="715">
        <f>F24</f>
        <v>100</v>
      </c>
      <c r="T24" s="714" t="s">
        <v>17</v>
      </c>
      <c r="U24" s="715">
        <f>H24</f>
        <v>100</v>
      </c>
      <c r="V24" s="714" t="s">
        <v>17</v>
      </c>
      <c r="W24" s="715">
        <f>J24</f>
        <v>100</v>
      </c>
      <c r="X24" s="1489"/>
      <c r="Y24" s="3539"/>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39"/>
      <c r="Q25" s="1477">
        <f t="shared" si="11"/>
        <v>111</v>
      </c>
      <c r="R25" s="710" t="s">
        <v>17</v>
      </c>
      <c r="S25" s="711">
        <f>F25</f>
        <v>100</v>
      </c>
      <c r="T25" s="710" t="s">
        <v>17</v>
      </c>
      <c r="U25" s="711">
        <f>H25</f>
        <v>100</v>
      </c>
      <c r="V25" s="710" t="s">
        <v>17</v>
      </c>
      <c r="W25" s="711">
        <f>J25</f>
        <v>100</v>
      </c>
      <c r="X25" s="712"/>
      <c r="Y25" s="3539"/>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62"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43"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43"/>
      <c r="Q27" s="716" t="str">
        <f t="shared" si="11"/>
        <v>项目停车位配比</v>
      </c>
      <c r="R27" s="717" t="s">
        <v>17</v>
      </c>
      <c r="S27" s="718">
        <f t="shared" si="12"/>
        <v>100</v>
      </c>
      <c r="T27" s="717" t="s">
        <v>17</v>
      </c>
      <c r="U27" s="718">
        <f t="shared" si="13"/>
        <v>100</v>
      </c>
      <c r="V27" s="717" t="s">
        <v>17</v>
      </c>
      <c r="W27" s="718">
        <f t="shared" si="14"/>
        <v>100</v>
      </c>
      <c r="X27" s="719"/>
      <c r="Y27" s="3543"/>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43"/>
      <c r="Q28" s="1486" t="str">
        <f t="shared" si="11"/>
        <v>公共部分装修</v>
      </c>
      <c r="R28" s="714" t="s">
        <v>17</v>
      </c>
      <c r="S28" s="715">
        <f t="shared" si="12"/>
        <v>100</v>
      </c>
      <c r="T28" s="714" t="s">
        <v>17</v>
      </c>
      <c r="U28" s="715">
        <f t="shared" si="13"/>
        <v>100</v>
      </c>
      <c r="V28" s="714" t="s">
        <v>17</v>
      </c>
      <c r="W28" s="715">
        <f t="shared" si="14"/>
        <v>100</v>
      </c>
      <c r="X28" s="1489"/>
      <c r="Y28" s="3543"/>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43"/>
      <c r="Q29" s="1486" t="str">
        <f t="shared" si="11"/>
        <v>成新率</v>
      </c>
      <c r="R29" s="714" t="s">
        <v>17</v>
      </c>
      <c r="S29" s="715" t="e">
        <f t="shared" si="12"/>
        <v>#N/A</v>
      </c>
      <c r="T29" s="714" t="s">
        <v>17</v>
      </c>
      <c r="U29" s="715" t="e">
        <f t="shared" si="13"/>
        <v>#N/A</v>
      </c>
      <c r="V29" s="714" t="s">
        <v>17</v>
      </c>
      <c r="W29" s="715" t="e">
        <f t="shared" si="14"/>
        <v>#N/A</v>
      </c>
      <c r="X29" s="1489"/>
      <c r="Y29" s="3543"/>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43"/>
      <c r="Q30" s="1486" t="str">
        <f t="shared" si="11"/>
        <v>物业等级</v>
      </c>
      <c r="R30" s="714" t="s">
        <v>17</v>
      </c>
      <c r="S30" s="715">
        <f t="shared" si="12"/>
        <v>100</v>
      </c>
      <c r="T30" s="714" t="s">
        <v>17</v>
      </c>
      <c r="U30" s="715">
        <f t="shared" si="13"/>
        <v>100</v>
      </c>
      <c r="V30" s="714" t="s">
        <v>17</v>
      </c>
      <c r="W30" s="715">
        <f t="shared" si="14"/>
        <v>100</v>
      </c>
      <c r="X30" s="1489"/>
      <c r="Y30" s="3543"/>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43"/>
      <c r="Q31" s="1477" t="str">
        <f t="shared" si="11"/>
        <v>停车位面积</v>
      </c>
      <c r="R31" s="710" t="s">
        <v>17</v>
      </c>
      <c r="S31" s="711" t="e">
        <f t="shared" si="12"/>
        <v>#N/A</v>
      </c>
      <c r="T31" s="710" t="s">
        <v>17</v>
      </c>
      <c r="U31" s="711" t="e">
        <f t="shared" si="13"/>
        <v>#N/A</v>
      </c>
      <c r="V31" s="710" t="s">
        <v>17</v>
      </c>
      <c r="W31" s="711" t="e">
        <f t="shared" si="14"/>
        <v>#N/A</v>
      </c>
      <c r="X31" s="712"/>
      <c r="Y31" s="3543"/>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43" t="s">
        <v>2143</v>
      </c>
      <c r="Q32" s="1486" t="str">
        <f t="shared" si="11"/>
        <v>车位类型</v>
      </c>
      <c r="R32" s="714" t="s">
        <v>17</v>
      </c>
      <c r="S32" s="715">
        <f t="shared" si="12"/>
        <v>100</v>
      </c>
      <c r="T32" s="714" t="s">
        <v>17</v>
      </c>
      <c r="U32" s="715">
        <f t="shared" si="13"/>
        <v>100</v>
      </c>
      <c r="V32" s="714" t="s">
        <v>17</v>
      </c>
      <c r="W32" s="715">
        <f t="shared" si="14"/>
        <v>100</v>
      </c>
      <c r="X32" s="1489"/>
      <c r="Y32" s="3543"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43"/>
      <c r="Q33" s="1486" t="str">
        <f t="shared" si="11"/>
        <v>是否直接入户</v>
      </c>
      <c r="R33" s="714" t="s">
        <v>17</v>
      </c>
      <c r="S33" s="715">
        <f t="shared" si="12"/>
        <v>100</v>
      </c>
      <c r="T33" s="714" t="s">
        <v>17</v>
      </c>
      <c r="U33" s="715">
        <f t="shared" si="13"/>
        <v>100</v>
      </c>
      <c r="V33" s="714" t="s">
        <v>17</v>
      </c>
      <c r="W33" s="715">
        <f t="shared" si="14"/>
        <v>100</v>
      </c>
      <c r="X33" s="1489"/>
      <c r="Y33" s="3543"/>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43"/>
      <c r="Q34" s="1486">
        <f t="shared" si="11"/>
        <v>111</v>
      </c>
      <c r="R34" s="714" t="s">
        <v>17</v>
      </c>
      <c r="S34" s="715">
        <f t="shared" si="12"/>
        <v>100</v>
      </c>
      <c r="T34" s="714" t="s">
        <v>17</v>
      </c>
      <c r="U34" s="715">
        <f t="shared" si="13"/>
        <v>100</v>
      </c>
      <c r="V34" s="714" t="s">
        <v>17</v>
      </c>
      <c r="W34" s="715">
        <f t="shared" si="14"/>
        <v>100</v>
      </c>
      <c r="X34" s="1489"/>
      <c r="Y34" s="3543"/>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43"/>
      <c r="Q35" s="716">
        <f t="shared" si="11"/>
        <v>111</v>
      </c>
      <c r="R35" s="717" t="s">
        <v>17</v>
      </c>
      <c r="S35" s="718">
        <f t="shared" si="12"/>
        <v>100</v>
      </c>
      <c r="T35" s="717" t="s">
        <v>17</v>
      </c>
      <c r="U35" s="718">
        <f t="shared" si="13"/>
        <v>100</v>
      </c>
      <c r="V35" s="717" t="s">
        <v>17</v>
      </c>
      <c r="W35" s="718">
        <f t="shared" si="14"/>
        <v>100</v>
      </c>
      <c r="X35" s="719"/>
      <c r="Y35" s="3543"/>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43"/>
      <c r="Q36" s="1486">
        <f t="shared" si="11"/>
        <v>111</v>
      </c>
      <c r="R36" s="714" t="s">
        <v>17</v>
      </c>
      <c r="S36" s="715">
        <f t="shared" si="12"/>
        <v>100</v>
      </c>
      <c r="T36" s="714" t="s">
        <v>17</v>
      </c>
      <c r="U36" s="715">
        <f t="shared" si="13"/>
        <v>100</v>
      </c>
      <c r="V36" s="714" t="s">
        <v>17</v>
      </c>
      <c r="W36" s="715">
        <f t="shared" si="14"/>
        <v>100</v>
      </c>
      <c r="X36" s="1489"/>
      <c r="Y36" s="3543"/>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536" t="str">
        <f>A37</f>
        <v>成交单价</v>
      </c>
      <c r="Q37" s="3536"/>
      <c r="R37" s="3537">
        <f>E37</f>
        <v>0</v>
      </c>
      <c r="S37" s="3537"/>
      <c r="T37" s="3537">
        <f>G37</f>
        <v>0</v>
      </c>
      <c r="U37" s="3537"/>
      <c r="V37" s="3537">
        <f>I37</f>
        <v>0</v>
      </c>
      <c r="W37" s="3537"/>
      <c r="X37" s="699"/>
      <c r="Y37" s="721"/>
      <c r="Z37" s="699"/>
      <c r="AA37" s="699"/>
      <c r="AB37" s="699"/>
      <c r="AC37" s="699"/>
    </row>
    <row r="38" spans="1:29" ht="15.75" thickBot="1">
      <c r="A38" s="445" t="s">
        <v>2300</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536" t="str">
        <f>A38</f>
        <v>比较价值（元/平方米）</v>
      </c>
      <c r="Q38" s="3536"/>
      <c r="R38" s="3537" t="e">
        <f>IF(F1="售价",ROUND(PRODUCT(R37,AA7:AA36),0),ROUND(PRODUCT(R37,AA7:AA36),1))</f>
        <v>#DIV/0!</v>
      </c>
      <c r="S38" s="3537"/>
      <c r="T38" s="3537" t="e">
        <f>IF(F1="售价",ROUND(PRODUCT(T37,AB7:AB36),0),ROUND(PRODUCT(T37,AB7:AB36),1))</f>
        <v>#DIV/0!</v>
      </c>
      <c r="U38" s="3537"/>
      <c r="V38" s="3537" t="e">
        <f>IF(F1="售价",ROUND(PRODUCT(V37,AC7:AC36),0),ROUND(PRODUCT(V37,AC7:AC36),1))</f>
        <v>#DIV/0!</v>
      </c>
      <c r="W38" s="3537"/>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533" t="str">
        <f>A39</f>
        <v>估价对象XX用房的比较价值（楼面单价，元/平方米）</v>
      </c>
      <c r="Q39" s="3534"/>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H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19" t="s">
        <v>2224</v>
      </c>
      <c r="D4" s="3520"/>
      <c r="E4" s="3521" t="s">
        <v>2225</v>
      </c>
      <c r="F4" s="3522"/>
      <c r="G4" s="3519" t="s">
        <v>2226</v>
      </c>
      <c r="H4" s="3520"/>
      <c r="I4" s="3519" t="s">
        <v>2227</v>
      </c>
      <c r="J4" s="3520"/>
      <c r="K4" s="567" t="s">
        <v>2228</v>
      </c>
      <c r="L4" s="2892"/>
      <c r="M4" s="2893"/>
      <c r="N4" s="2893"/>
      <c r="O4" s="2893"/>
      <c r="P4" s="3523" t="s">
        <v>2229</v>
      </c>
      <c r="Q4" s="3524"/>
      <c r="R4" s="3506" t="s">
        <v>2225</v>
      </c>
      <c r="S4" s="3507"/>
      <c r="T4" s="3506" t="s">
        <v>2226</v>
      </c>
      <c r="U4" s="3507"/>
      <c r="V4" s="3531" t="s">
        <v>2227</v>
      </c>
      <c r="W4" s="3531"/>
      <c r="X4" s="1489"/>
      <c r="Y4" s="3506" t="s">
        <v>2229</v>
      </c>
      <c r="Z4" s="3507"/>
      <c r="AA4" s="3501" t="s">
        <v>2225</v>
      </c>
      <c r="AB4" s="3502" t="s">
        <v>2226</v>
      </c>
      <c r="AC4" s="3501" t="s">
        <v>2227</v>
      </c>
    </row>
    <row r="5" spans="1:29" ht="15">
      <c r="A5" s="364"/>
      <c r="B5" s="365"/>
      <c r="C5" s="3512" t="s">
        <v>2120</v>
      </c>
      <c r="D5" s="3513"/>
      <c r="E5" s="3510" t="s">
        <v>2121</v>
      </c>
      <c r="F5" s="3511"/>
      <c r="G5" s="3512" t="s">
        <v>2122</v>
      </c>
      <c r="H5" s="3513"/>
      <c r="I5" s="3512" t="s">
        <v>2123</v>
      </c>
      <c r="J5" s="3513"/>
      <c r="K5" s="567"/>
      <c r="L5" s="2892"/>
      <c r="M5" s="2893"/>
      <c r="N5" s="2893"/>
      <c r="O5" s="2893"/>
      <c r="P5" s="3525"/>
      <c r="Q5" s="3526"/>
      <c r="R5" s="3508"/>
      <c r="S5" s="3509"/>
      <c r="T5" s="3508"/>
      <c r="U5" s="3509"/>
      <c r="V5" s="3531"/>
      <c r="W5" s="3531"/>
      <c r="X5" s="1489"/>
      <c r="Y5" s="3508"/>
      <c r="Z5" s="3509"/>
      <c r="AA5" s="3502"/>
      <c r="AB5" s="3502"/>
      <c r="AC5" s="3502"/>
    </row>
    <row r="6" spans="1:29" ht="15.75" thickBot="1">
      <c r="A6" s="366"/>
      <c r="B6" s="367"/>
      <c r="C6" s="3514" t="s">
        <v>2124</v>
      </c>
      <c r="D6" s="3515"/>
      <c r="E6" s="3516" t="s">
        <v>2124</v>
      </c>
      <c r="F6" s="3517"/>
      <c r="G6" s="3514" t="s">
        <v>2124</v>
      </c>
      <c r="H6" s="3515"/>
      <c r="I6" s="3514" t="s">
        <v>2124</v>
      </c>
      <c r="J6" s="3515"/>
      <c r="K6" s="567" t="s">
        <v>2125</v>
      </c>
      <c r="L6" s="2892"/>
      <c r="M6" s="2893"/>
      <c r="N6" s="2893"/>
      <c r="O6" s="2893"/>
      <c r="P6" s="3527"/>
      <c r="Q6" s="3528"/>
      <c r="R6" s="3508"/>
      <c r="S6" s="3509"/>
      <c r="T6" s="3529"/>
      <c r="U6" s="3530"/>
      <c r="V6" s="3531"/>
      <c r="W6" s="3531"/>
      <c r="X6" s="1489"/>
      <c r="Y6" s="3529"/>
      <c r="Z6" s="3530"/>
      <c r="AA6" s="3503"/>
      <c r="AB6" s="3503"/>
      <c r="AC6" s="3503"/>
    </row>
    <row r="7" spans="1:29" s="113" customFormat="1" ht="15.75" thickBot="1">
      <c r="A7" s="368" t="s">
        <v>2126</v>
      </c>
      <c r="B7" s="369"/>
      <c r="C7" s="370">
        <f>'数据-取费表'!B2</f>
        <v>44769</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504" t="s">
        <v>2127</v>
      </c>
      <c r="Q7" s="3532"/>
      <c r="R7" s="710" t="s">
        <v>17</v>
      </c>
      <c r="S7" s="711">
        <f t="shared" ref="S7:S14" si="0">F7</f>
        <v>0</v>
      </c>
      <c r="T7" s="710" t="s">
        <v>17</v>
      </c>
      <c r="U7" s="711">
        <f t="shared" ref="U7:U14" si="1">H7</f>
        <v>0</v>
      </c>
      <c r="V7" s="710" t="s">
        <v>17</v>
      </c>
      <c r="W7" s="711">
        <f t="shared" ref="W7:W14" si="2">J7</f>
        <v>0</v>
      </c>
      <c r="X7" s="712"/>
      <c r="Y7" s="3504" t="s">
        <v>2127</v>
      </c>
      <c r="Z7" s="3505"/>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04" t="s">
        <v>2130</v>
      </c>
      <c r="Q8" s="3505"/>
      <c r="R8" s="710" t="s">
        <v>17</v>
      </c>
      <c r="S8" s="711">
        <f t="shared" si="0"/>
        <v>0</v>
      </c>
      <c r="T8" s="710" t="s">
        <v>17</v>
      </c>
      <c r="U8" s="711">
        <f t="shared" si="1"/>
        <v>0</v>
      </c>
      <c r="V8" s="710" t="s">
        <v>17</v>
      </c>
      <c r="W8" s="711">
        <f t="shared" si="2"/>
        <v>0</v>
      </c>
      <c r="X8" s="712"/>
      <c r="Y8" s="3504" t="s">
        <v>2130</v>
      </c>
      <c r="Z8" s="3505"/>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36" t="s">
        <v>2133</v>
      </c>
      <c r="Q9" s="1477" t="str">
        <f t="shared" ref="Q9:Q14" si="6">B9</f>
        <v>用途</v>
      </c>
      <c r="R9" s="710" t="s">
        <v>17</v>
      </c>
      <c r="S9" s="711">
        <f t="shared" si="0"/>
        <v>100</v>
      </c>
      <c r="T9" s="710" t="s">
        <v>17</v>
      </c>
      <c r="U9" s="711">
        <f t="shared" si="1"/>
        <v>100</v>
      </c>
      <c r="V9" s="710" t="s">
        <v>17</v>
      </c>
      <c r="W9" s="711">
        <f t="shared" si="2"/>
        <v>100</v>
      </c>
      <c r="X9" s="712"/>
      <c r="Y9" s="3448"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36"/>
      <c r="Q10" s="1477" t="str">
        <f t="shared" si="6"/>
        <v>土地使用年限（年）</v>
      </c>
      <c r="R10" s="710" t="s">
        <v>17</v>
      </c>
      <c r="S10" s="711">
        <f t="shared" si="0"/>
        <v>100</v>
      </c>
      <c r="T10" s="710" t="s">
        <v>17</v>
      </c>
      <c r="U10" s="711">
        <f t="shared" si="1"/>
        <v>100</v>
      </c>
      <c r="V10" s="710" t="s">
        <v>17</v>
      </c>
      <c r="W10" s="711">
        <f t="shared" si="2"/>
        <v>100</v>
      </c>
      <c r="X10" s="712"/>
      <c r="Y10" s="344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36"/>
      <c r="Q11" s="1477">
        <f t="shared" si="6"/>
        <v>111</v>
      </c>
      <c r="R11" s="710" t="s">
        <v>17</v>
      </c>
      <c r="S11" s="711">
        <f t="shared" si="0"/>
        <v>100</v>
      </c>
      <c r="T11" s="710" t="s">
        <v>17</v>
      </c>
      <c r="U11" s="711">
        <f t="shared" si="1"/>
        <v>100</v>
      </c>
      <c r="V11" s="710" t="s">
        <v>17</v>
      </c>
      <c r="W11" s="711">
        <f t="shared" si="2"/>
        <v>100</v>
      </c>
      <c r="X11" s="712"/>
      <c r="Y11" s="344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36"/>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36"/>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85.5">
      <c r="A14" s="399" t="s">
        <v>2137</v>
      </c>
      <c r="B14" s="65" t="s">
        <v>2287</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38" t="s">
        <v>2138</v>
      </c>
      <c r="Q14" s="1486" t="str">
        <f t="shared" si="6"/>
        <v>交通便捷度</v>
      </c>
      <c r="R14" s="714" t="s">
        <v>17</v>
      </c>
      <c r="S14" s="715">
        <f t="shared" si="0"/>
        <v>100</v>
      </c>
      <c r="T14" s="714" t="s">
        <v>17</v>
      </c>
      <c r="U14" s="715">
        <f t="shared" si="1"/>
        <v>100</v>
      </c>
      <c r="V14" s="714" t="s">
        <v>17</v>
      </c>
      <c r="W14" s="715">
        <f t="shared" si="2"/>
        <v>100</v>
      </c>
      <c r="X14" s="1489"/>
      <c r="Y14" s="3538"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39"/>
      <c r="Q15" s="1486"/>
      <c r="R15" s="714"/>
      <c r="S15" s="715"/>
      <c r="T15" s="714"/>
      <c r="U15" s="715"/>
      <c r="V15" s="714"/>
      <c r="W15" s="715"/>
      <c r="X15" s="1489"/>
      <c r="Y15" s="3539"/>
      <c r="Z15" s="1490"/>
      <c r="AA15" s="1487">
        <v>1</v>
      </c>
      <c r="AB15" s="1487">
        <v>1</v>
      </c>
      <c r="AC15" s="1487">
        <v>1</v>
      </c>
    </row>
    <row r="16" spans="1:29" ht="42.75">
      <c r="A16" s="387"/>
      <c r="B16" s="410" t="s">
        <v>2266</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39"/>
      <c r="Q16" s="1486" t="str">
        <f>B16</f>
        <v>公共配套设施</v>
      </c>
      <c r="R16" s="714" t="s">
        <v>17</v>
      </c>
      <c r="S16" s="715">
        <f>F16</f>
        <v>100</v>
      </c>
      <c r="T16" s="714" t="s">
        <v>17</v>
      </c>
      <c r="U16" s="715">
        <f>H16</f>
        <v>100</v>
      </c>
      <c r="V16" s="714" t="s">
        <v>17</v>
      </c>
      <c r="W16" s="715">
        <f>J16</f>
        <v>100</v>
      </c>
      <c r="X16" s="1489"/>
      <c r="Y16" s="3539"/>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39"/>
      <c r="Q17" s="1486"/>
      <c r="R17" s="714"/>
      <c r="S17" s="715"/>
      <c r="T17" s="714"/>
      <c r="U17" s="715"/>
      <c r="V17" s="714"/>
      <c r="W17" s="715"/>
      <c r="X17" s="1489"/>
      <c r="Y17" s="3539"/>
      <c r="Z17" s="1490"/>
      <c r="AA17" s="1487">
        <v>1</v>
      </c>
      <c r="AB17" s="1487">
        <v>1</v>
      </c>
      <c r="AC17" s="1487">
        <v>1</v>
      </c>
    </row>
    <row r="18" spans="1:29" ht="28.5">
      <c r="A18" s="387"/>
      <c r="B18" s="1246" t="s">
        <v>2267</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39"/>
      <c r="Q18" s="1486" t="str">
        <f>B18</f>
        <v>基础设施水平</v>
      </c>
      <c r="R18" s="714" t="s">
        <v>17</v>
      </c>
      <c r="S18" s="715">
        <f>F18</f>
        <v>100</v>
      </c>
      <c r="T18" s="714" t="s">
        <v>17</v>
      </c>
      <c r="U18" s="715">
        <f>H18</f>
        <v>100</v>
      </c>
      <c r="V18" s="714" t="s">
        <v>17</v>
      </c>
      <c r="W18" s="715">
        <f>J18</f>
        <v>100</v>
      </c>
      <c r="X18" s="1489"/>
      <c r="Y18" s="3539"/>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539"/>
      <c r="Q19" s="1486"/>
      <c r="R19" s="714"/>
      <c r="S19" s="715"/>
      <c r="T19" s="714"/>
      <c r="U19" s="715"/>
      <c r="V19" s="714"/>
      <c r="W19" s="715"/>
      <c r="X19" s="1489"/>
      <c r="Y19" s="3539"/>
      <c r="Z19" s="1490"/>
      <c r="AA19" s="1487">
        <v>1</v>
      </c>
      <c r="AB19" s="1487">
        <v>1</v>
      </c>
      <c r="AC19" s="1487">
        <v>1</v>
      </c>
    </row>
    <row r="20" spans="1:29" ht="57">
      <c r="A20" s="387"/>
      <c r="B20" s="410" t="s">
        <v>2288</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39"/>
      <c r="Q20" s="1486" t="str">
        <f>B20</f>
        <v>自然及人文环境</v>
      </c>
      <c r="R20" s="714" t="s">
        <v>17</v>
      </c>
      <c r="S20" s="715">
        <f>F20</f>
        <v>100</v>
      </c>
      <c r="T20" s="714" t="s">
        <v>17</v>
      </c>
      <c r="U20" s="715">
        <f>H20</f>
        <v>100</v>
      </c>
      <c r="V20" s="714" t="s">
        <v>17</v>
      </c>
      <c r="W20" s="715">
        <f>J20</f>
        <v>100</v>
      </c>
      <c r="X20" s="1489"/>
      <c r="Y20" s="3539"/>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39"/>
      <c r="Q21" s="1486"/>
      <c r="R21" s="714"/>
      <c r="S21" s="715"/>
      <c r="T21" s="714"/>
      <c r="U21" s="715"/>
      <c r="V21" s="714"/>
      <c r="W21" s="715"/>
      <c r="X21" s="1489"/>
      <c r="Y21" s="3539"/>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39"/>
      <c r="Q22" s="1486" t="str">
        <f>B22</f>
        <v>楼层</v>
      </c>
      <c r="R22" s="714" t="s">
        <v>17</v>
      </c>
      <c r="S22" s="715">
        <f>F22</f>
        <v>100</v>
      </c>
      <c r="T22" s="714" t="s">
        <v>17</v>
      </c>
      <c r="U22" s="715">
        <f>H22</f>
        <v>100</v>
      </c>
      <c r="V22" s="714" t="s">
        <v>17</v>
      </c>
      <c r="W22" s="715">
        <f>J22</f>
        <v>100</v>
      </c>
      <c r="X22" s="1489"/>
      <c r="Y22" s="3539"/>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39"/>
      <c r="Q23" s="1486">
        <f>B23</f>
        <v>111</v>
      </c>
      <c r="R23" s="714" t="s">
        <v>17</v>
      </c>
      <c r="S23" s="715">
        <f>F23</f>
        <v>100</v>
      </c>
      <c r="T23" s="714" t="s">
        <v>17</v>
      </c>
      <c r="U23" s="715">
        <f>H23</f>
        <v>100</v>
      </c>
      <c r="V23" s="714" t="s">
        <v>17</v>
      </c>
      <c r="W23" s="715">
        <f>J23</f>
        <v>100</v>
      </c>
      <c r="X23" s="1489"/>
      <c r="Y23" s="3539"/>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39"/>
      <c r="Q24" s="1486">
        <f t="shared" ref="Q24:Q34" si="11">B24</f>
        <v>111</v>
      </c>
      <c r="R24" s="714" t="s">
        <v>17</v>
      </c>
      <c r="S24" s="715">
        <f>F24</f>
        <v>100</v>
      </c>
      <c r="T24" s="714" t="s">
        <v>17</v>
      </c>
      <c r="U24" s="715">
        <f>H24</f>
        <v>100</v>
      </c>
      <c r="V24" s="714" t="s">
        <v>17</v>
      </c>
      <c r="W24" s="715">
        <f>J24</f>
        <v>100</v>
      </c>
      <c r="X24" s="1489"/>
      <c r="Y24" s="3539"/>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39"/>
      <c r="Q25" s="1477">
        <f t="shared" si="11"/>
        <v>111</v>
      </c>
      <c r="R25" s="710" t="s">
        <v>17</v>
      </c>
      <c r="S25" s="711">
        <f>F25</f>
        <v>100</v>
      </c>
      <c r="T25" s="710" t="s">
        <v>17</v>
      </c>
      <c r="U25" s="711">
        <f>H25</f>
        <v>100</v>
      </c>
      <c r="V25" s="710" t="s">
        <v>17</v>
      </c>
      <c r="W25" s="711">
        <f>J25</f>
        <v>100</v>
      </c>
      <c r="X25" s="712"/>
      <c r="Y25" s="3539"/>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62"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43"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43"/>
      <c r="Q27" s="716" t="str">
        <f t="shared" si="11"/>
        <v>成新率</v>
      </c>
      <c r="R27" s="717" t="s">
        <v>17</v>
      </c>
      <c r="S27" s="718" t="e">
        <f t="shared" si="12"/>
        <v>#N/A</v>
      </c>
      <c r="T27" s="717" t="s">
        <v>17</v>
      </c>
      <c r="U27" s="718" t="e">
        <f t="shared" si="13"/>
        <v>#N/A</v>
      </c>
      <c r="V27" s="717" t="s">
        <v>17</v>
      </c>
      <c r="W27" s="718" t="e">
        <f t="shared" si="14"/>
        <v>#N/A</v>
      </c>
      <c r="X27" s="719"/>
      <c r="Y27" s="3543"/>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43"/>
      <c r="Q28" s="1486" t="str">
        <f t="shared" si="11"/>
        <v>物业等级</v>
      </c>
      <c r="R28" s="714" t="s">
        <v>17</v>
      </c>
      <c r="S28" s="715">
        <f t="shared" si="12"/>
        <v>100</v>
      </c>
      <c r="T28" s="714" t="s">
        <v>17</v>
      </c>
      <c r="U28" s="715">
        <f t="shared" si="13"/>
        <v>100</v>
      </c>
      <c r="V28" s="714" t="s">
        <v>17</v>
      </c>
      <c r="W28" s="715">
        <f t="shared" si="14"/>
        <v>100</v>
      </c>
      <c r="X28" s="1489"/>
      <c r="Y28" s="3543"/>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43"/>
      <c r="Q29" s="1486" t="str">
        <f t="shared" si="11"/>
        <v>有无电梯</v>
      </c>
      <c r="R29" s="714" t="s">
        <v>17</v>
      </c>
      <c r="S29" s="715">
        <f t="shared" si="12"/>
        <v>100</v>
      </c>
      <c r="T29" s="714" t="s">
        <v>17</v>
      </c>
      <c r="U29" s="715">
        <f t="shared" si="13"/>
        <v>100</v>
      </c>
      <c r="V29" s="714" t="s">
        <v>17</v>
      </c>
      <c r="W29" s="715">
        <f t="shared" si="14"/>
        <v>100</v>
      </c>
      <c r="X29" s="1489"/>
      <c r="Y29" s="3543"/>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43"/>
      <c r="Q30" s="1486" t="str">
        <f t="shared" si="11"/>
        <v>建筑面积</v>
      </c>
      <c r="R30" s="714" t="s">
        <v>17</v>
      </c>
      <c r="S30" s="715" t="e">
        <f t="shared" si="12"/>
        <v>#N/A</v>
      </c>
      <c r="T30" s="714" t="s">
        <v>17</v>
      </c>
      <c r="U30" s="715" t="e">
        <f t="shared" si="13"/>
        <v>#N/A</v>
      </c>
      <c r="V30" s="714" t="s">
        <v>17</v>
      </c>
      <c r="W30" s="715" t="e">
        <f t="shared" si="14"/>
        <v>#N/A</v>
      </c>
      <c r="X30" s="1489"/>
      <c r="Y30" s="3543"/>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43"/>
      <c r="Q31" s="1477" t="str">
        <f t="shared" si="11"/>
        <v>是否封闭</v>
      </c>
      <c r="R31" s="710" t="s">
        <v>17</v>
      </c>
      <c r="S31" s="711">
        <f t="shared" si="12"/>
        <v>100</v>
      </c>
      <c r="T31" s="710" t="s">
        <v>17</v>
      </c>
      <c r="U31" s="711">
        <f t="shared" si="13"/>
        <v>100</v>
      </c>
      <c r="V31" s="710" t="s">
        <v>17</v>
      </c>
      <c r="W31" s="711">
        <f t="shared" si="14"/>
        <v>100</v>
      </c>
      <c r="X31" s="712"/>
      <c r="Y31" s="3543"/>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43" t="s">
        <v>2143</v>
      </c>
      <c r="Q32" s="1486">
        <f t="shared" si="11"/>
        <v>111</v>
      </c>
      <c r="R32" s="714" t="s">
        <v>17</v>
      </c>
      <c r="S32" s="715">
        <f t="shared" si="12"/>
        <v>100</v>
      </c>
      <c r="T32" s="714" t="s">
        <v>17</v>
      </c>
      <c r="U32" s="715">
        <f t="shared" si="13"/>
        <v>100</v>
      </c>
      <c r="V32" s="714" t="s">
        <v>17</v>
      </c>
      <c r="W32" s="715">
        <f t="shared" si="14"/>
        <v>100</v>
      </c>
      <c r="X32" s="1489"/>
      <c r="Y32" s="3543"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43"/>
      <c r="Q33" s="1486">
        <f t="shared" si="11"/>
        <v>111</v>
      </c>
      <c r="R33" s="714" t="s">
        <v>17</v>
      </c>
      <c r="S33" s="715">
        <f t="shared" si="12"/>
        <v>100</v>
      </c>
      <c r="T33" s="714" t="s">
        <v>17</v>
      </c>
      <c r="U33" s="715">
        <f t="shared" si="13"/>
        <v>100</v>
      </c>
      <c r="V33" s="714" t="s">
        <v>17</v>
      </c>
      <c r="W33" s="715">
        <f t="shared" si="14"/>
        <v>100</v>
      </c>
      <c r="X33" s="1489"/>
      <c r="Y33" s="3543"/>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43"/>
      <c r="Q34" s="1486">
        <f t="shared" si="11"/>
        <v>111</v>
      </c>
      <c r="R34" s="714" t="s">
        <v>17</v>
      </c>
      <c r="S34" s="715">
        <f t="shared" si="12"/>
        <v>100</v>
      </c>
      <c r="T34" s="714" t="s">
        <v>17</v>
      </c>
      <c r="U34" s="715">
        <f t="shared" si="13"/>
        <v>100</v>
      </c>
      <c r="V34" s="714" t="s">
        <v>17</v>
      </c>
      <c r="W34" s="715">
        <f t="shared" si="14"/>
        <v>100</v>
      </c>
      <c r="X34" s="1489"/>
      <c r="Y34" s="3543"/>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536" t="str">
        <f>A35</f>
        <v>成交单价（元/平方米）</v>
      </c>
      <c r="Q35" s="3536"/>
      <c r="R35" s="3537">
        <f>E35</f>
        <v>0</v>
      </c>
      <c r="S35" s="3537"/>
      <c r="T35" s="3537">
        <f>G35</f>
        <v>0</v>
      </c>
      <c r="U35" s="3537"/>
      <c r="V35" s="3537">
        <f>I35</f>
        <v>0</v>
      </c>
      <c r="W35" s="3537"/>
      <c r="X35" s="699"/>
      <c r="Y35" s="721"/>
      <c r="Z35" s="699"/>
      <c r="AA35" s="699"/>
      <c r="AB35" s="699"/>
      <c r="AC35" s="699"/>
    </row>
    <row r="36" spans="1:30" ht="15.75" thickBot="1">
      <c r="A36" s="445" t="s">
        <v>2247</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536" t="str">
        <f>A36</f>
        <v>比较价值（元/平方米）</v>
      </c>
      <c r="Q36" s="3536"/>
      <c r="R36" s="3537" t="e">
        <f>IF(F1="售价",ROUND(PRODUCT(R35,AA7:AA34),0),ROUND(PRODUCT(R35,AA7:AA34),1))</f>
        <v>#DIV/0!</v>
      </c>
      <c r="S36" s="3537"/>
      <c r="T36" s="3537" t="e">
        <f>IF(F1="售价",ROUND(PRODUCT(T35,AB7:AB34),0),ROUND(PRODUCT(T35,AB7:AB34),1))</f>
        <v>#DIV/0!</v>
      </c>
      <c r="U36" s="3537"/>
      <c r="V36" s="3537" t="e">
        <f>IF(F1="售价",ROUND(PRODUCT(V35,AC7:AC34),0),ROUND(PRODUCT(V35,AC7:AC34),1))</f>
        <v>#DIV/0!</v>
      </c>
      <c r="W36" s="3537"/>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533" t="str">
        <f>A37</f>
        <v>估价对象XX用房的比较价值（楼面单价，元/平方米）</v>
      </c>
      <c r="Q37" s="3534"/>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H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519" t="s">
        <v>2224</v>
      </c>
      <c r="D4" s="3520"/>
      <c r="E4" s="3521" t="s">
        <v>2225</v>
      </c>
      <c r="F4" s="3522"/>
      <c r="G4" s="3519" t="s">
        <v>2226</v>
      </c>
      <c r="H4" s="3520"/>
      <c r="I4" s="3519" t="s">
        <v>2227</v>
      </c>
      <c r="J4" s="3520"/>
      <c r="K4" s="567" t="s">
        <v>2228</v>
      </c>
      <c r="L4" s="2892"/>
      <c r="M4" s="2893"/>
      <c r="N4" s="2893"/>
      <c r="O4" s="2893"/>
      <c r="P4" s="3523" t="s">
        <v>2229</v>
      </c>
      <c r="Q4" s="3524"/>
      <c r="R4" s="3506" t="s">
        <v>2225</v>
      </c>
      <c r="S4" s="3507"/>
      <c r="T4" s="3506" t="s">
        <v>2226</v>
      </c>
      <c r="U4" s="3507"/>
      <c r="V4" s="3531" t="s">
        <v>2227</v>
      </c>
      <c r="W4" s="3531"/>
      <c r="X4" s="1489"/>
      <c r="Y4" s="3506" t="s">
        <v>2229</v>
      </c>
      <c r="Z4" s="3507"/>
      <c r="AA4" s="3501" t="s">
        <v>2225</v>
      </c>
      <c r="AB4" s="3502" t="s">
        <v>2226</v>
      </c>
      <c r="AC4" s="3501" t="s">
        <v>2227</v>
      </c>
    </row>
    <row r="5" spans="1:30" ht="15">
      <c r="A5" s="364"/>
      <c r="B5" s="365"/>
      <c r="C5" s="3512" t="s">
        <v>2120</v>
      </c>
      <c r="D5" s="3513"/>
      <c r="E5" s="3510" t="s">
        <v>2121</v>
      </c>
      <c r="F5" s="3511"/>
      <c r="G5" s="3512" t="s">
        <v>2122</v>
      </c>
      <c r="H5" s="3513"/>
      <c r="I5" s="3512" t="s">
        <v>2123</v>
      </c>
      <c r="J5" s="3513"/>
      <c r="K5" s="567"/>
      <c r="L5" s="2892"/>
      <c r="M5" s="2893"/>
      <c r="N5" s="2893"/>
      <c r="O5" s="2893"/>
      <c r="P5" s="3525"/>
      <c r="Q5" s="3526"/>
      <c r="R5" s="3508"/>
      <c r="S5" s="3509"/>
      <c r="T5" s="3508"/>
      <c r="U5" s="3509"/>
      <c r="V5" s="3531"/>
      <c r="W5" s="3531"/>
      <c r="X5" s="1489"/>
      <c r="Y5" s="3508"/>
      <c r="Z5" s="3509"/>
      <c r="AA5" s="3502"/>
      <c r="AB5" s="3502"/>
      <c r="AC5" s="3502"/>
    </row>
    <row r="6" spans="1:30" ht="15.75" thickBot="1">
      <c r="A6" s="366"/>
      <c r="B6" s="367"/>
      <c r="C6" s="3514" t="s">
        <v>2124</v>
      </c>
      <c r="D6" s="3515"/>
      <c r="E6" s="3516" t="s">
        <v>2124</v>
      </c>
      <c r="F6" s="3517"/>
      <c r="G6" s="3514" t="s">
        <v>2124</v>
      </c>
      <c r="H6" s="3515"/>
      <c r="I6" s="3514" t="s">
        <v>2124</v>
      </c>
      <c r="J6" s="3515"/>
      <c r="K6" s="567" t="s">
        <v>2125</v>
      </c>
      <c r="L6" s="2892"/>
      <c r="M6" s="2893"/>
      <c r="N6" s="2893"/>
      <c r="O6" s="2893"/>
      <c r="P6" s="3527"/>
      <c r="Q6" s="3528"/>
      <c r="R6" s="3508"/>
      <c r="S6" s="3509"/>
      <c r="T6" s="3529"/>
      <c r="U6" s="3530"/>
      <c r="V6" s="3531"/>
      <c r="W6" s="3531"/>
      <c r="X6" s="1489"/>
      <c r="Y6" s="3529"/>
      <c r="Z6" s="3530"/>
      <c r="AA6" s="3503"/>
      <c r="AB6" s="3503"/>
      <c r="AC6" s="3503"/>
    </row>
    <row r="7" spans="1:30" s="113" customFormat="1" ht="15.75" thickBot="1">
      <c r="A7" s="368" t="s">
        <v>2126</v>
      </c>
      <c r="B7" s="369"/>
      <c r="C7" s="370">
        <f>'数据-取费表'!B2</f>
        <v>44769</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504" t="s">
        <v>2127</v>
      </c>
      <c r="Q7" s="3532"/>
      <c r="R7" s="710" t="s">
        <v>17</v>
      </c>
      <c r="S7" s="711">
        <f t="shared" ref="S7:S15" si="0">F7</f>
        <v>0</v>
      </c>
      <c r="T7" s="710" t="s">
        <v>17</v>
      </c>
      <c r="U7" s="711">
        <f t="shared" ref="U7:U15" si="1">H7</f>
        <v>0</v>
      </c>
      <c r="V7" s="710" t="s">
        <v>17</v>
      </c>
      <c r="W7" s="711">
        <f t="shared" ref="W7:W15" si="2">J7</f>
        <v>0</v>
      </c>
      <c r="X7" s="712"/>
      <c r="Y7" s="3504" t="s">
        <v>2127</v>
      </c>
      <c r="Z7" s="3505"/>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04" t="s">
        <v>2130</v>
      </c>
      <c r="Q8" s="3505"/>
      <c r="R8" s="710" t="s">
        <v>17</v>
      </c>
      <c r="S8" s="711">
        <f t="shared" si="0"/>
        <v>0</v>
      </c>
      <c r="T8" s="710" t="s">
        <v>17</v>
      </c>
      <c r="U8" s="711">
        <f t="shared" si="1"/>
        <v>0</v>
      </c>
      <c r="V8" s="710" t="s">
        <v>17</v>
      </c>
      <c r="W8" s="711">
        <f t="shared" si="2"/>
        <v>0</v>
      </c>
      <c r="X8" s="712"/>
      <c r="Y8" s="3504" t="s">
        <v>2130</v>
      </c>
      <c r="Z8" s="3505"/>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36"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36"/>
      <c r="Q10" s="1477" t="str">
        <f t="shared" si="6"/>
        <v>土地使用年限（年）</v>
      </c>
      <c r="R10" s="710" t="s">
        <v>17</v>
      </c>
      <c r="S10" s="711">
        <f t="shared" si="0"/>
        <v>106</v>
      </c>
      <c r="T10" s="710" t="s">
        <v>17</v>
      </c>
      <c r="U10" s="711">
        <f t="shared" si="1"/>
        <v>106</v>
      </c>
      <c r="V10" s="710" t="s">
        <v>17</v>
      </c>
      <c r="W10" s="711">
        <f t="shared" si="2"/>
        <v>106</v>
      </c>
      <c r="X10" s="712"/>
      <c r="Y10" s="3448"/>
      <c r="Z10" s="55" t="str">
        <f t="shared" si="7"/>
        <v>土地使用年限（年）</v>
      </c>
      <c r="AA10" s="713">
        <f t="shared" si="3"/>
        <v>0.94339622641509435</v>
      </c>
      <c r="AB10" s="713">
        <f t="shared" si="4"/>
        <v>0.94339622641509435</v>
      </c>
      <c r="AC10" s="713">
        <f t="shared" si="5"/>
        <v>0.94339622641509435</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36"/>
      <c r="Q11" s="1477" t="str">
        <f t="shared" si="6"/>
        <v>容积率</v>
      </c>
      <c r="R11" s="710" t="s">
        <v>17</v>
      </c>
      <c r="S11" s="711" t="e">
        <f t="shared" si="0"/>
        <v>#N/A</v>
      </c>
      <c r="T11" s="710" t="s">
        <v>17</v>
      </c>
      <c r="U11" s="711" t="e">
        <f t="shared" si="1"/>
        <v>#N/A</v>
      </c>
      <c r="V11" s="710" t="s">
        <v>17</v>
      </c>
      <c r="W11" s="711" t="e">
        <f t="shared" si="2"/>
        <v>#N/A</v>
      </c>
      <c r="X11" s="712"/>
      <c r="Y11" s="3448"/>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36"/>
      <c r="Q12" s="1477" t="str">
        <f t="shared" si="6"/>
        <v>配建</v>
      </c>
      <c r="R12" s="710" t="s">
        <v>17</v>
      </c>
      <c r="S12" s="711">
        <f t="shared" si="0"/>
        <v>100</v>
      </c>
      <c r="T12" s="710" t="s">
        <v>17</v>
      </c>
      <c r="U12" s="711">
        <f t="shared" si="1"/>
        <v>100</v>
      </c>
      <c r="V12" s="710" t="s">
        <v>17</v>
      </c>
      <c r="W12" s="711">
        <f t="shared" si="2"/>
        <v>100</v>
      </c>
      <c r="X12" s="712"/>
      <c r="Y12" s="344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36"/>
      <c r="Q13" s="1477">
        <f t="shared" si="6"/>
        <v>111</v>
      </c>
      <c r="R13" s="710" t="s">
        <v>17</v>
      </c>
      <c r="S13" s="711">
        <f t="shared" si="0"/>
        <v>100</v>
      </c>
      <c r="T13" s="710" t="s">
        <v>17</v>
      </c>
      <c r="U13" s="711">
        <f t="shared" si="1"/>
        <v>100</v>
      </c>
      <c r="V13" s="710" t="s">
        <v>17</v>
      </c>
      <c r="W13" s="711">
        <f t="shared" si="2"/>
        <v>100</v>
      </c>
      <c r="X13" s="712"/>
      <c r="Y13" s="3448"/>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36"/>
      <c r="Q14" s="1477">
        <f t="shared" si="6"/>
        <v>111</v>
      </c>
      <c r="R14" s="710" t="s">
        <v>17</v>
      </c>
      <c r="S14" s="711">
        <f t="shared" si="0"/>
        <v>100</v>
      </c>
      <c r="T14" s="710" t="s">
        <v>17</v>
      </c>
      <c r="U14" s="711">
        <f t="shared" si="1"/>
        <v>100</v>
      </c>
      <c r="V14" s="710" t="s">
        <v>17</v>
      </c>
      <c r="W14" s="711">
        <f t="shared" si="2"/>
        <v>100</v>
      </c>
      <c r="X14" s="712"/>
      <c r="Y14" s="3448"/>
      <c r="Z14" s="55">
        <f t="shared" si="7"/>
        <v>111</v>
      </c>
      <c r="AA14" s="713">
        <f>D14/F14</f>
        <v>1</v>
      </c>
      <c r="AB14" s="713">
        <f>D14/H14</f>
        <v>1</v>
      </c>
      <c r="AC14" s="713">
        <f>D14/J14</f>
        <v>1</v>
      </c>
    </row>
    <row r="15" spans="1:30" ht="99.75">
      <c r="A15" s="399" t="s">
        <v>2137</v>
      </c>
      <c r="B15" s="65" t="s">
        <v>1700</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38" t="s">
        <v>2138</v>
      </c>
      <c r="Q15" s="1486" t="str">
        <f t="shared" si="6"/>
        <v>居住社区成熟度</v>
      </c>
      <c r="R15" s="714" t="s">
        <v>17</v>
      </c>
      <c r="S15" s="715">
        <f t="shared" si="0"/>
        <v>100</v>
      </c>
      <c r="T15" s="714" t="s">
        <v>17</v>
      </c>
      <c r="U15" s="715">
        <f t="shared" si="1"/>
        <v>100</v>
      </c>
      <c r="V15" s="714" t="s">
        <v>17</v>
      </c>
      <c r="W15" s="715">
        <f t="shared" si="2"/>
        <v>100</v>
      </c>
      <c r="X15" s="1489"/>
      <c r="Y15" s="3538"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39"/>
      <c r="Q16" s="1486"/>
      <c r="R16" s="714"/>
      <c r="S16" s="715"/>
      <c r="T16" s="714"/>
      <c r="U16" s="715"/>
      <c r="V16" s="714"/>
      <c r="W16" s="715"/>
      <c r="X16" s="1489"/>
      <c r="Y16" s="3539"/>
      <c r="Z16" s="1490"/>
      <c r="AA16" s="1487">
        <v>1</v>
      </c>
      <c r="AB16" s="1487">
        <v>1</v>
      </c>
      <c r="AC16" s="1487">
        <v>1</v>
      </c>
    </row>
    <row r="17" spans="1:29" ht="71.25">
      <c r="A17" s="387"/>
      <c r="B17" s="410" t="s">
        <v>2231</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39"/>
      <c r="Q17" s="1486" t="str">
        <f>B17</f>
        <v>商业繁华度</v>
      </c>
      <c r="R17" s="714" t="s">
        <v>17</v>
      </c>
      <c r="S17" s="715">
        <f>F17</f>
        <v>100</v>
      </c>
      <c r="T17" s="714" t="s">
        <v>17</v>
      </c>
      <c r="U17" s="715">
        <f>H17</f>
        <v>100</v>
      </c>
      <c r="V17" s="714" t="s">
        <v>17</v>
      </c>
      <c r="W17" s="715">
        <f>J17</f>
        <v>100</v>
      </c>
      <c r="X17" s="1489"/>
      <c r="Y17" s="3539"/>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39"/>
      <c r="Q18" s="1486"/>
      <c r="R18" s="714"/>
      <c r="S18" s="715"/>
      <c r="T18" s="714"/>
      <c r="U18" s="715"/>
      <c r="V18" s="714"/>
      <c r="W18" s="715"/>
      <c r="X18" s="1489"/>
      <c r="Y18" s="3539"/>
      <c r="Z18" s="1490"/>
      <c r="AA18" s="1487">
        <v>1</v>
      </c>
      <c r="AB18" s="1487">
        <v>1</v>
      </c>
      <c r="AC18" s="1487">
        <v>1</v>
      </c>
    </row>
    <row r="19" spans="1:29" ht="71.25">
      <c r="A19" s="387"/>
      <c r="B19" s="410" t="s">
        <v>2265</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39"/>
      <c r="Q19" s="1486" t="str">
        <f>B19</f>
        <v>办公集聚程度</v>
      </c>
      <c r="R19" s="714" t="s">
        <v>17</v>
      </c>
      <c r="S19" s="715">
        <f>F19</f>
        <v>100</v>
      </c>
      <c r="T19" s="714" t="s">
        <v>17</v>
      </c>
      <c r="U19" s="715">
        <f>H19</f>
        <v>100</v>
      </c>
      <c r="V19" s="714" t="s">
        <v>17</v>
      </c>
      <c r="W19" s="715">
        <f>J19</f>
        <v>100</v>
      </c>
      <c r="X19" s="1489"/>
      <c r="Y19" s="3539"/>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39"/>
      <c r="Q20" s="1486"/>
      <c r="R20" s="714"/>
      <c r="S20" s="715"/>
      <c r="T20" s="714"/>
      <c r="U20" s="715"/>
      <c r="V20" s="714"/>
      <c r="W20" s="715"/>
      <c r="X20" s="1489"/>
      <c r="Y20" s="3539"/>
      <c r="Z20" s="1490"/>
      <c r="AA20" s="1487">
        <v>1</v>
      </c>
      <c r="AB20" s="1487">
        <v>1</v>
      </c>
      <c r="AC20" s="1487">
        <v>1</v>
      </c>
    </row>
    <row r="21" spans="1:29" ht="85.5">
      <c r="A21" s="387"/>
      <c r="B21" s="410" t="s">
        <v>2287</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39"/>
      <c r="Q21" s="1486" t="str">
        <f>B21</f>
        <v>交通便捷度</v>
      </c>
      <c r="R21" s="714" t="s">
        <v>17</v>
      </c>
      <c r="S21" s="715">
        <f>F21</f>
        <v>100</v>
      </c>
      <c r="T21" s="714" t="s">
        <v>17</v>
      </c>
      <c r="U21" s="715">
        <f>H21</f>
        <v>100</v>
      </c>
      <c r="V21" s="714" t="s">
        <v>17</v>
      </c>
      <c r="W21" s="715">
        <f>J21</f>
        <v>100</v>
      </c>
      <c r="X21" s="1489"/>
      <c r="Y21" s="3539"/>
      <c r="Z21" s="1490" t="str">
        <f>Q21</f>
        <v>交通便捷度</v>
      </c>
      <c r="AA21" s="1487">
        <f t="shared" si="3"/>
        <v>1</v>
      </c>
      <c r="AB21" s="1487">
        <f t="shared" si="4"/>
        <v>1</v>
      </c>
      <c r="AC21" s="1487">
        <f t="shared" si="5"/>
        <v>1</v>
      </c>
    </row>
    <row r="22" spans="1:29" ht="15">
      <c r="A22" s="387"/>
      <c r="B22" s="1246"/>
      <c r="C22" s="406"/>
      <c r="D22" s="409"/>
      <c r="E22" s="2033"/>
      <c r="F22" s="407"/>
      <c r="G22" s="2033"/>
      <c r="H22" s="407"/>
      <c r="I22" s="2032"/>
      <c r="J22" s="407"/>
      <c r="K22" s="628"/>
      <c r="L22" s="2899"/>
      <c r="M22" s="2893"/>
      <c r="N22" s="2893"/>
      <c r="O22" s="2951"/>
      <c r="P22" s="3539"/>
      <c r="Q22" s="1486"/>
      <c r="R22" s="714"/>
      <c r="S22" s="715"/>
      <c r="T22" s="714"/>
      <c r="U22" s="715"/>
      <c r="V22" s="714"/>
      <c r="W22" s="715"/>
      <c r="X22" s="1489"/>
      <c r="Y22" s="3539"/>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39"/>
      <c r="Q23" s="1486" t="str">
        <f t="shared" ref="Q23:Q37" si="8">B23</f>
        <v>区域土地利用方向</v>
      </c>
      <c r="R23" s="714" t="s">
        <v>17</v>
      </c>
      <c r="S23" s="715">
        <f>F23</f>
        <v>100</v>
      </c>
      <c r="T23" s="714" t="s">
        <v>17</v>
      </c>
      <c r="U23" s="715">
        <f>H23</f>
        <v>100</v>
      </c>
      <c r="V23" s="714" t="s">
        <v>17</v>
      </c>
      <c r="W23" s="715">
        <f>J23</f>
        <v>100</v>
      </c>
      <c r="X23" s="1489"/>
      <c r="Y23" s="3539"/>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539"/>
      <c r="Q24" s="1486"/>
      <c r="R24" s="714"/>
      <c r="S24" s="715"/>
      <c r="T24" s="714"/>
      <c r="U24" s="715"/>
      <c r="V24" s="714"/>
      <c r="W24" s="715"/>
      <c r="X24" s="1489"/>
      <c r="Y24" s="3539"/>
      <c r="Z24" s="1490"/>
      <c r="AA24" s="1487"/>
      <c r="AB24" s="1487"/>
      <c r="AC24" s="1487"/>
    </row>
    <row r="25" spans="1:29" ht="57">
      <c r="A25" s="364"/>
      <c r="B25" s="1246" t="s">
        <v>2327</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39"/>
      <c r="Q25" s="1486" t="str">
        <f t="shared" si="8"/>
        <v>自然及人文环境状况</v>
      </c>
      <c r="R25" s="714" t="s">
        <v>17</v>
      </c>
      <c r="S25" s="715">
        <f>F25</f>
        <v>100</v>
      </c>
      <c r="T25" s="714" t="s">
        <v>17</v>
      </c>
      <c r="U25" s="715">
        <f>H25</f>
        <v>100</v>
      </c>
      <c r="V25" s="714" t="s">
        <v>17</v>
      </c>
      <c r="W25" s="715">
        <f>J25</f>
        <v>100</v>
      </c>
      <c r="X25" s="1489"/>
      <c r="Y25" s="3539"/>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39"/>
      <c r="Q26" s="1486"/>
      <c r="R26" s="714"/>
      <c r="S26" s="715"/>
      <c r="T26" s="714"/>
      <c r="U26" s="715"/>
      <c r="V26" s="714"/>
      <c r="W26" s="715"/>
      <c r="X26" s="1489"/>
      <c r="Y26" s="3539"/>
      <c r="Z26" s="1490"/>
      <c r="AA26" s="1487">
        <v>1</v>
      </c>
      <c r="AB26" s="1487">
        <v>1</v>
      </c>
      <c r="AC26" s="1487">
        <v>1</v>
      </c>
    </row>
    <row r="27" spans="1:29" s="113" customFormat="1" ht="42.75">
      <c r="A27" s="605"/>
      <c r="B27" s="1246" t="s">
        <v>2232</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39"/>
      <c r="Q27" s="1477" t="str">
        <f t="shared" si="8"/>
        <v>公共配套设施</v>
      </c>
      <c r="R27" s="710" t="s">
        <v>17</v>
      </c>
      <c r="S27" s="711">
        <f>F27</f>
        <v>100</v>
      </c>
      <c r="T27" s="710" t="s">
        <v>17</v>
      </c>
      <c r="U27" s="711">
        <f>H27</f>
        <v>100</v>
      </c>
      <c r="V27" s="710" t="s">
        <v>17</v>
      </c>
      <c r="W27" s="711">
        <f>J27</f>
        <v>100</v>
      </c>
      <c r="X27" s="712"/>
      <c r="Y27" s="3539"/>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39"/>
      <c r="Q28" s="1477"/>
      <c r="R28" s="710"/>
      <c r="S28" s="711"/>
      <c r="T28" s="710"/>
      <c r="U28" s="711"/>
      <c r="V28" s="710"/>
      <c r="W28" s="711"/>
      <c r="X28" s="712"/>
      <c r="Y28" s="3539"/>
      <c r="Z28" s="55"/>
      <c r="AA28" s="1487">
        <v>1</v>
      </c>
      <c r="AB28" s="1487">
        <v>1</v>
      </c>
      <c r="AC28" s="1487">
        <v>1</v>
      </c>
    </row>
    <row r="29" spans="1:29" s="113" customFormat="1" ht="28.5">
      <c r="A29" s="605"/>
      <c r="B29" s="1246" t="s">
        <v>2233</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39"/>
      <c r="Q29" s="1477" t="str">
        <f t="shared" ref="Q29" si="9">B29</f>
        <v>基础设施水平</v>
      </c>
      <c r="R29" s="710" t="s">
        <v>17</v>
      </c>
      <c r="S29" s="711">
        <f>F29</f>
        <v>100</v>
      </c>
      <c r="T29" s="710" t="s">
        <v>17</v>
      </c>
      <c r="U29" s="711">
        <f>H29</f>
        <v>100</v>
      </c>
      <c r="V29" s="710" t="s">
        <v>17</v>
      </c>
      <c r="W29" s="711">
        <f>J29</f>
        <v>100</v>
      </c>
      <c r="X29" s="712"/>
      <c r="Y29" s="3539"/>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39"/>
      <c r="Q30" s="1477"/>
      <c r="R30" s="710"/>
      <c r="S30" s="711"/>
      <c r="T30" s="710"/>
      <c r="U30" s="711"/>
      <c r="V30" s="710"/>
      <c r="W30" s="711"/>
      <c r="X30" s="712"/>
      <c r="Y30" s="3539"/>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39"/>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39"/>
      <c r="Z31" s="1490" t="str">
        <f t="shared" ref="Z31:Z45" si="13">Q31</f>
        <v>临街状况</v>
      </c>
      <c r="AA31" s="1487">
        <f t="shared" si="3"/>
        <v>1</v>
      </c>
      <c r="AB31" s="1487">
        <f t="shared" si="4"/>
        <v>1</v>
      </c>
      <c r="AC31" s="1487">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39"/>
      <c r="Q32" s="1486" t="str">
        <f t="shared" si="8"/>
        <v>毗邻道路的类型与等级</v>
      </c>
      <c r="R32" s="714" t="s">
        <v>17</v>
      </c>
      <c r="S32" s="715">
        <f t="shared" si="10"/>
        <v>100</v>
      </c>
      <c r="T32" s="714" t="s">
        <v>17</v>
      </c>
      <c r="U32" s="715">
        <f t="shared" si="11"/>
        <v>100</v>
      </c>
      <c r="V32" s="714" t="s">
        <v>17</v>
      </c>
      <c r="W32" s="715">
        <f t="shared" si="12"/>
        <v>100</v>
      </c>
      <c r="X32" s="1489"/>
      <c r="Y32" s="3539"/>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39"/>
      <c r="Q33" s="1486"/>
      <c r="R33" s="714"/>
      <c r="S33" s="715"/>
      <c r="T33" s="714"/>
      <c r="U33" s="715"/>
      <c r="V33" s="714"/>
      <c r="W33" s="715"/>
      <c r="X33" s="1489"/>
      <c r="Y33" s="3539"/>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39"/>
      <c r="Q34" s="1486" t="str">
        <f t="shared" si="8"/>
        <v>土地级别</v>
      </c>
      <c r="R34" s="714" t="s">
        <v>17</v>
      </c>
      <c r="S34" s="715">
        <f t="shared" si="10"/>
        <v>100</v>
      </c>
      <c r="T34" s="714" t="s">
        <v>17</v>
      </c>
      <c r="U34" s="715">
        <f t="shared" si="11"/>
        <v>100</v>
      </c>
      <c r="V34" s="714" t="s">
        <v>17</v>
      </c>
      <c r="W34" s="715">
        <f t="shared" si="12"/>
        <v>100</v>
      </c>
      <c r="X34" s="1489"/>
      <c r="Y34" s="3539"/>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39"/>
      <c r="Q35" s="1486">
        <f t="shared" si="8"/>
        <v>111</v>
      </c>
      <c r="R35" s="714" t="s">
        <v>17</v>
      </c>
      <c r="S35" s="715">
        <f t="shared" si="10"/>
        <v>100</v>
      </c>
      <c r="T35" s="714" t="s">
        <v>17</v>
      </c>
      <c r="U35" s="715">
        <f t="shared" si="11"/>
        <v>100</v>
      </c>
      <c r="V35" s="714" t="s">
        <v>17</v>
      </c>
      <c r="W35" s="715">
        <f t="shared" si="12"/>
        <v>100</v>
      </c>
      <c r="X35" s="1489"/>
      <c r="Y35" s="3539"/>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62" t="s">
        <v>2143</v>
      </c>
      <c r="Q36" s="1486">
        <f t="shared" si="8"/>
        <v>111</v>
      </c>
      <c r="R36" s="714" t="s">
        <v>17</v>
      </c>
      <c r="S36" s="715">
        <f t="shared" si="10"/>
        <v>100</v>
      </c>
      <c r="T36" s="714" t="s">
        <v>17</v>
      </c>
      <c r="U36" s="715">
        <f t="shared" si="11"/>
        <v>100</v>
      </c>
      <c r="V36" s="714" t="s">
        <v>17</v>
      </c>
      <c r="W36" s="715">
        <f t="shared" si="12"/>
        <v>100</v>
      </c>
      <c r="X36" s="1489"/>
      <c r="Y36" s="3543" t="s">
        <v>2143</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43"/>
      <c r="Q37" s="1486">
        <f t="shared" si="8"/>
        <v>111</v>
      </c>
      <c r="R37" s="717" t="s">
        <v>17</v>
      </c>
      <c r="S37" s="718">
        <f t="shared" si="10"/>
        <v>100</v>
      </c>
      <c r="T37" s="717" t="s">
        <v>17</v>
      </c>
      <c r="U37" s="718">
        <f t="shared" si="11"/>
        <v>100</v>
      </c>
      <c r="V37" s="717" t="s">
        <v>17</v>
      </c>
      <c r="W37" s="718">
        <f t="shared" si="12"/>
        <v>100</v>
      </c>
      <c r="X37" s="719"/>
      <c r="Y37" s="3543"/>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43"/>
      <c r="Q38" s="1486" t="str">
        <f>B38</f>
        <v>宗地面积</v>
      </c>
      <c r="R38" s="714" t="s">
        <v>17</v>
      </c>
      <c r="S38" s="715" t="e">
        <f t="shared" si="10"/>
        <v>#N/A</v>
      </c>
      <c r="T38" s="714" t="s">
        <v>17</v>
      </c>
      <c r="U38" s="715" t="e">
        <f t="shared" si="11"/>
        <v>#N/A</v>
      </c>
      <c r="V38" s="714" t="s">
        <v>17</v>
      </c>
      <c r="W38" s="715" t="e">
        <f t="shared" si="12"/>
        <v>#N/A</v>
      </c>
      <c r="X38" s="1489"/>
      <c r="Y38" s="3543"/>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43"/>
      <c r="Q39" s="1486" t="str">
        <f t="shared" ref="Q39:Q45" si="14">B39</f>
        <v>宗地形状</v>
      </c>
      <c r="R39" s="714" t="s">
        <v>17</v>
      </c>
      <c r="S39" s="715">
        <f t="shared" si="10"/>
        <v>100</v>
      </c>
      <c r="T39" s="714" t="s">
        <v>17</v>
      </c>
      <c r="U39" s="715">
        <f t="shared" si="11"/>
        <v>100</v>
      </c>
      <c r="V39" s="714" t="s">
        <v>17</v>
      </c>
      <c r="W39" s="715">
        <f t="shared" si="12"/>
        <v>100</v>
      </c>
      <c r="X39" s="1489"/>
      <c r="Y39" s="3543"/>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43"/>
      <c r="Q40" s="1486" t="str">
        <f t="shared" si="14"/>
        <v>临街宽度及深度</v>
      </c>
      <c r="R40" s="714" t="s">
        <v>17</v>
      </c>
      <c r="S40" s="715">
        <f t="shared" si="10"/>
        <v>100</v>
      </c>
      <c r="T40" s="714" t="s">
        <v>17</v>
      </c>
      <c r="U40" s="715">
        <f t="shared" si="11"/>
        <v>100</v>
      </c>
      <c r="V40" s="714" t="s">
        <v>17</v>
      </c>
      <c r="W40" s="715">
        <f t="shared" si="12"/>
        <v>100</v>
      </c>
      <c r="X40" s="1489"/>
      <c r="Y40" s="3543"/>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43"/>
      <c r="Q41" s="1486" t="str">
        <f t="shared" si="14"/>
        <v>宗地开发程度</v>
      </c>
      <c r="R41" s="710" t="s">
        <v>17</v>
      </c>
      <c r="S41" s="711">
        <f t="shared" si="10"/>
        <v>100</v>
      </c>
      <c r="T41" s="710" t="s">
        <v>17</v>
      </c>
      <c r="U41" s="711">
        <f t="shared" si="11"/>
        <v>100</v>
      </c>
      <c r="V41" s="710" t="s">
        <v>17</v>
      </c>
      <c r="W41" s="711">
        <f t="shared" si="12"/>
        <v>100</v>
      </c>
      <c r="X41" s="712"/>
      <c r="Y41" s="3543"/>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43" t="s">
        <v>2143</v>
      </c>
      <c r="Q42" s="1486" t="str">
        <f t="shared" si="14"/>
        <v>工程地质条件</v>
      </c>
      <c r="R42" s="714" t="s">
        <v>17</v>
      </c>
      <c r="S42" s="715">
        <f t="shared" si="10"/>
        <v>100</v>
      </c>
      <c r="T42" s="714" t="s">
        <v>17</v>
      </c>
      <c r="U42" s="715">
        <f t="shared" si="11"/>
        <v>100</v>
      </c>
      <c r="V42" s="714" t="s">
        <v>17</v>
      </c>
      <c r="W42" s="715">
        <f t="shared" si="12"/>
        <v>100</v>
      </c>
      <c r="X42" s="1489"/>
      <c r="Y42" s="3543" t="s">
        <v>2143</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43"/>
      <c r="Q43" s="1486">
        <f t="shared" si="14"/>
        <v>111</v>
      </c>
      <c r="R43" s="714" t="s">
        <v>17</v>
      </c>
      <c r="S43" s="715">
        <f t="shared" si="10"/>
        <v>100</v>
      </c>
      <c r="T43" s="714" t="s">
        <v>17</v>
      </c>
      <c r="U43" s="715">
        <f t="shared" si="11"/>
        <v>100</v>
      </c>
      <c r="V43" s="714" t="s">
        <v>17</v>
      </c>
      <c r="W43" s="715">
        <f t="shared" si="12"/>
        <v>100</v>
      </c>
      <c r="X43" s="1489"/>
      <c r="Y43" s="3543"/>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43"/>
      <c r="Q44" s="1486">
        <f t="shared" si="14"/>
        <v>111</v>
      </c>
      <c r="R44" s="714" t="s">
        <v>17</v>
      </c>
      <c r="S44" s="715">
        <f t="shared" si="10"/>
        <v>100</v>
      </c>
      <c r="T44" s="714" t="s">
        <v>17</v>
      </c>
      <c r="U44" s="715">
        <f t="shared" si="11"/>
        <v>100</v>
      </c>
      <c r="V44" s="714" t="s">
        <v>17</v>
      </c>
      <c r="W44" s="715">
        <f t="shared" si="12"/>
        <v>100</v>
      </c>
      <c r="X44" s="1489"/>
      <c r="Y44" s="3543"/>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43"/>
      <c r="Q45" s="1486">
        <f t="shared" si="14"/>
        <v>111</v>
      </c>
      <c r="R45" s="717" t="s">
        <v>17</v>
      </c>
      <c r="S45" s="718">
        <f t="shared" si="10"/>
        <v>100</v>
      </c>
      <c r="T45" s="717" t="s">
        <v>17</v>
      </c>
      <c r="U45" s="718">
        <f t="shared" si="11"/>
        <v>100</v>
      </c>
      <c r="V45" s="717" t="s">
        <v>17</v>
      </c>
      <c r="W45" s="718">
        <f t="shared" si="12"/>
        <v>100</v>
      </c>
      <c r="X45" s="719"/>
      <c r="Y45" s="3543"/>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901"/>
      <c r="M46" s="2902"/>
      <c r="N46" s="2893"/>
      <c r="O46" s="2902"/>
      <c r="P46" s="3536" t="str">
        <f>A46</f>
        <v>成交单价</v>
      </c>
      <c r="Q46" s="3536"/>
      <c r="R46" s="3531">
        <f>E46</f>
        <v>0</v>
      </c>
      <c r="S46" s="3531"/>
      <c r="T46" s="3531">
        <f>G46</f>
        <v>0</v>
      </c>
      <c r="U46" s="3531"/>
      <c r="V46" s="3531">
        <f>I46</f>
        <v>0</v>
      </c>
      <c r="W46" s="3531"/>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901"/>
      <c r="M47" s="2902"/>
      <c r="N47" s="2902"/>
      <c r="O47" s="2902"/>
      <c r="P47" s="3536" t="str">
        <f>A47</f>
        <v>比较价值（元/平方米）</v>
      </c>
      <c r="Q47" s="3536"/>
      <c r="R47" s="3564" t="e">
        <f>ROUND(PRODUCT(R46,AA7:AA45),0)</f>
        <v>#DIV/0!</v>
      </c>
      <c r="S47" s="3564"/>
      <c r="T47" s="3564" t="e">
        <f>ROUND(PRODUCT(T46,AB7:AB45),0)</f>
        <v>#DIV/0!</v>
      </c>
      <c r="U47" s="3564"/>
      <c r="V47" s="3564" t="e">
        <f>ROUND(PRODUCT(V46,AC7:AC45),0)</f>
        <v>#DIV/0!</v>
      </c>
      <c r="W47" s="3564"/>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1"/>
      <c r="M48" s="2902"/>
      <c r="N48" s="2902"/>
      <c r="O48" s="2902"/>
      <c r="P48" s="3533" t="str">
        <f>A48</f>
        <v>估价对象XX用房的比较价值（楼面单价，元/平方米）</v>
      </c>
      <c r="Q48" s="3534"/>
      <c r="R48" s="3565" t="e">
        <f>ROUND(IF(D47="简单平均",AVERAGE(R47:W47),R47*F47+T47*H47+V47*J47),0)</f>
        <v>#DIV/0!</v>
      </c>
      <c r="S48" s="3565"/>
      <c r="T48" s="3565"/>
      <c r="U48" s="3565"/>
      <c r="V48" s="3565"/>
      <c r="W48" s="3565"/>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519" t="s">
        <v>2342</v>
      </c>
      <c r="H55" s="3566"/>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t="e">
        <f>C48</f>
        <v>#DIV/0!</v>
      </c>
      <c r="C56" s="646">
        <v>1</v>
      </c>
      <c r="D56" s="1056">
        <v>1</v>
      </c>
      <c r="E56" s="646">
        <f>'数据-汇总表'!E8+'数据-汇总表'!E9</f>
        <v>175962.71000000002</v>
      </c>
      <c r="F56" s="998" t="e">
        <f t="shared" ref="F56:F64" si="15">ROUND(B56*E56/10000,0)</f>
        <v>#DIV/0!</v>
      </c>
      <c r="G56" s="3518"/>
      <c r="H56" s="3536"/>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t="e">
        <f>ROUND($C$48*C57*D57,0)</f>
        <v>#DIV/0!</v>
      </c>
      <c r="C57" s="176">
        <f t="shared" ref="C57:C64" si="16">IF($C$55="北京市系数",I57,J57)</f>
        <v>0.5</v>
      </c>
      <c r="D57" s="1057">
        <v>0.25</v>
      </c>
      <c r="E57" s="650"/>
      <c r="F57" s="998" t="e">
        <f t="shared" si="15"/>
        <v>#DIV/0!</v>
      </c>
      <c r="G57" s="3226" t="s">
        <v>2347</v>
      </c>
      <c r="H57" s="999" t="str">
        <f>项目基本情况!B37</f>
        <v>十级</v>
      </c>
      <c r="I57" s="1003">
        <f>SUMIF(修正!A57:A68,H57,修正!B57:B68)</f>
        <v>0.5</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t="e">
        <f t="shared" ref="B58:B64" si="17">ROUND($C$48*C58*D58,0)</f>
        <v>#DIV/0!</v>
      </c>
      <c r="C58" s="176">
        <f t="shared" si="16"/>
        <v>0.2</v>
      </c>
      <c r="D58" s="1057">
        <v>0.25</v>
      </c>
      <c r="E58" s="650"/>
      <c r="F58" s="998" t="e">
        <f t="shared" si="15"/>
        <v>#DIV/0!</v>
      </c>
      <c r="G58" s="3227"/>
      <c r="H58" s="999" t="str">
        <f>项目基本情况!B37</f>
        <v>十级</v>
      </c>
      <c r="I58" s="1003">
        <f>SUMIF(修正!A57:A68,H58,修正!C57:C68)</f>
        <v>0.2</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t="e">
        <f t="shared" si="17"/>
        <v>#DIV/0!</v>
      </c>
      <c r="C59" s="176">
        <f t="shared" si="16"/>
        <v>0.2</v>
      </c>
      <c r="D59" s="1057">
        <v>0.25</v>
      </c>
      <c r="E59" s="650"/>
      <c r="F59" s="998" t="e">
        <f t="shared" si="15"/>
        <v>#DIV/0!</v>
      </c>
      <c r="G59" s="3227"/>
      <c r="H59" s="999" t="str">
        <f>项目基本情况!B37</f>
        <v>十级</v>
      </c>
      <c r="I59" s="1003">
        <f>SUMIF(修正!A57:A68,H59,修正!D57:D68)</f>
        <v>0.2</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t="e">
        <f t="shared" si="17"/>
        <v>#DIV/0!</v>
      </c>
      <c r="C60" s="176">
        <f t="shared" si="16"/>
        <v>0.2</v>
      </c>
      <c r="D60" s="1057">
        <v>0.25</v>
      </c>
      <c r="E60" s="223">
        <f>'数据-汇总表'!E11</f>
        <v>0</v>
      </c>
      <c r="F60" s="998" t="e">
        <f t="shared" si="15"/>
        <v>#DIV/0!</v>
      </c>
      <c r="G60" s="2122" t="s">
        <v>2351</v>
      </c>
      <c r="H60" s="999" t="str">
        <f>项目基本情况!C37</f>
        <v>十级</v>
      </c>
      <c r="I60" s="1003">
        <f>SUMIF(修正!A57:A68,H60,修正!E57:E68)</f>
        <v>0.2</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t="e">
        <f t="shared" si="17"/>
        <v>#DIV/0!</v>
      </c>
      <c r="C61" s="176">
        <f t="shared" si="16"/>
        <v>0.2</v>
      </c>
      <c r="D61" s="1057">
        <v>0.25</v>
      </c>
      <c r="E61" s="223">
        <f>'数据-汇总表'!E12</f>
        <v>28385.21</v>
      </c>
      <c r="F61" s="998" t="e">
        <f t="shared" si="15"/>
        <v>#DIV/0!</v>
      </c>
      <c r="G61" s="1004" t="s">
        <v>2353</v>
      </c>
      <c r="H61" s="999" t="str">
        <f>IF(G61="商业",项目基本情况!B37,IF(G61="办公",项目基本情况!C37,IF(G61="住宅",项目基本情况!D37,项目基本情况!E37)))</f>
        <v>十级</v>
      </c>
      <c r="I61" s="1003">
        <f>SUMIF(修正!A57:A68,H61,修正!F57:F68)</f>
        <v>0.2</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t="e">
        <f t="shared" si="17"/>
        <v>#DIV/0!</v>
      </c>
      <c r="C62" s="176">
        <f t="shared" si="16"/>
        <v>0.1</v>
      </c>
      <c r="D62" s="1057">
        <v>0.25</v>
      </c>
      <c r="E62" s="223">
        <f>'数据-汇总表'!E13</f>
        <v>30257.699999999997</v>
      </c>
      <c r="F62" s="998" t="e">
        <f t="shared" si="15"/>
        <v>#DIV/0!</v>
      </c>
      <c r="G62" s="1004" t="s">
        <v>2355</v>
      </c>
      <c r="H62" s="999" t="str">
        <f>IF(G62="商业",项目基本情况!B37,IF(G62="办公",项目基本情况!C37,IF(G62="住宅",项目基本情况!D37,项目基本情况!E37)))</f>
        <v>十级</v>
      </c>
      <c r="I62" s="1003">
        <f>SUMIF(修正!A57:A68,H62,修正!G57:G68)</f>
        <v>0.1</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t="e">
        <f t="shared" si="17"/>
        <v>#DIV/0!</v>
      </c>
      <c r="C63" s="176">
        <f t="shared" si="16"/>
        <v>0.1</v>
      </c>
      <c r="D63" s="1057">
        <v>0.25</v>
      </c>
      <c r="E63" s="223">
        <f>'数据-汇总表'!E14</f>
        <v>0</v>
      </c>
      <c r="F63" s="998" t="e">
        <f t="shared" si="15"/>
        <v>#DIV/0!</v>
      </c>
      <c r="G63" s="2122" t="s">
        <v>2347</v>
      </c>
      <c r="H63" s="999" t="str">
        <f>项目基本情况!B37</f>
        <v>十级</v>
      </c>
      <c r="I63" s="1003">
        <f>SUMIF(修正!A57:A68,H63,修正!G57:G68)</f>
        <v>0.1</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t="e">
        <f t="shared" si="17"/>
        <v>#DIV/0!</v>
      </c>
      <c r="C64" s="176">
        <f t="shared" si="16"/>
        <v>0.1</v>
      </c>
      <c r="D64" s="1057">
        <v>0.25</v>
      </c>
      <c r="E64" s="223">
        <f>'数据-汇总表'!E15</f>
        <v>0</v>
      </c>
      <c r="F64" s="998" t="e">
        <f t="shared" si="15"/>
        <v>#DIV/0!</v>
      </c>
      <c r="G64" s="2123" t="s">
        <v>2351</v>
      </c>
      <c r="H64" s="1009" t="str">
        <f>项目基本情况!C37</f>
        <v>十级</v>
      </c>
      <c r="I64" s="1005">
        <f>SUMIF(修正!A57:A68,H64,修正!G57:G68)</f>
        <v>0.1</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234605.62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 zoomScale="70" zoomScaleNormal="60" zoomScaleSheetLayoutView="70" workbookViewId="0">
      <selection activeCell="N41" sqref="N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6.25" style="363" customWidth="1"/>
    <col min="6" max="6" width="12.25" style="363" customWidth="1"/>
    <col min="7" max="7" width="18.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32099</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1323</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19" t="s">
        <v>2224</v>
      </c>
      <c r="D4" s="3520"/>
      <c r="E4" s="3521" t="s">
        <v>2225</v>
      </c>
      <c r="F4" s="3522"/>
      <c r="G4" s="3519" t="s">
        <v>2226</v>
      </c>
      <c r="H4" s="3520"/>
      <c r="I4" s="3519" t="s">
        <v>2227</v>
      </c>
      <c r="J4" s="3520"/>
      <c r="K4" s="567" t="s">
        <v>2228</v>
      </c>
      <c r="L4" s="2892"/>
      <c r="M4" s="2893"/>
      <c r="N4" s="2893"/>
      <c r="O4" s="2893"/>
      <c r="P4" s="3523" t="s">
        <v>2229</v>
      </c>
      <c r="Q4" s="3524"/>
      <c r="R4" s="3506" t="s">
        <v>2225</v>
      </c>
      <c r="S4" s="3507"/>
      <c r="T4" s="3506" t="s">
        <v>2226</v>
      </c>
      <c r="U4" s="3507"/>
      <c r="V4" s="3531" t="s">
        <v>2227</v>
      </c>
      <c r="W4" s="3531"/>
      <c r="X4" s="1489"/>
      <c r="Y4" s="3506" t="s">
        <v>2229</v>
      </c>
      <c r="Z4" s="3507"/>
      <c r="AA4" s="3501" t="s">
        <v>2225</v>
      </c>
      <c r="AB4" s="3502" t="s">
        <v>2226</v>
      </c>
      <c r="AC4" s="3501" t="s">
        <v>2227</v>
      </c>
    </row>
    <row r="5" spans="1:29" ht="15">
      <c r="A5" s="364"/>
      <c r="B5" s="365"/>
      <c r="C5" s="3512" t="s">
        <v>2120</v>
      </c>
      <c r="D5" s="3513"/>
      <c r="E5" s="3510" t="str">
        <f>土地案例!A6</f>
        <v xml:space="preserve">北京高端制造业(房山)基地01街区01-02(1)地块工业用地项目  </v>
      </c>
      <c r="F5" s="3511"/>
      <c r="G5" s="3512" t="str">
        <f>土地案例!A3</f>
        <v xml:space="preserve">北京高端制造业基地06街区03地块工业用地项目   </v>
      </c>
      <c r="H5" s="3513"/>
      <c r="I5" s="3512" t="str">
        <f>土地案例!A5</f>
        <v xml:space="preserve">北京高端制造业基地06街区02地块项目   </v>
      </c>
      <c r="J5" s="3513"/>
      <c r="K5" s="567"/>
      <c r="L5" s="2892"/>
      <c r="M5" s="2893"/>
      <c r="N5" s="2893"/>
      <c r="O5" s="2893"/>
      <c r="P5" s="3525"/>
      <c r="Q5" s="3526"/>
      <c r="R5" s="3508"/>
      <c r="S5" s="3509"/>
      <c r="T5" s="3508"/>
      <c r="U5" s="3509"/>
      <c r="V5" s="3531"/>
      <c r="W5" s="3531"/>
      <c r="X5" s="1489"/>
      <c r="Y5" s="3508"/>
      <c r="Z5" s="3509"/>
      <c r="AA5" s="3502"/>
      <c r="AB5" s="3502"/>
      <c r="AC5" s="3502"/>
    </row>
    <row r="6" spans="1:29" ht="15.75" thickBot="1">
      <c r="A6" s="366"/>
      <c r="B6" s="367"/>
      <c r="C6" s="3567" t="s">
        <v>2374</v>
      </c>
      <c r="D6" s="3568"/>
      <c r="E6" s="3569" t="str">
        <f>土地案例!E6</f>
        <v xml:space="preserve"> 房山区窦店镇望楚村</v>
      </c>
      <c r="F6" s="3570"/>
      <c r="G6" s="3567" t="str">
        <f>土地案例!E3</f>
        <v xml:space="preserve"> 房山区窦店镇、良乡镇</v>
      </c>
      <c r="H6" s="3568"/>
      <c r="I6" s="3567" t="str">
        <f>土地案例!E5</f>
        <v xml:space="preserve"> 房山区窦店</v>
      </c>
      <c r="J6" s="3568"/>
      <c r="K6" s="567" t="s">
        <v>2125</v>
      </c>
      <c r="L6" s="2892"/>
      <c r="M6" s="2893"/>
      <c r="N6" s="2893"/>
      <c r="O6" s="2893"/>
      <c r="P6" s="3527"/>
      <c r="Q6" s="3528"/>
      <c r="R6" s="3508"/>
      <c r="S6" s="3509"/>
      <c r="T6" s="3529"/>
      <c r="U6" s="3530"/>
      <c r="V6" s="3531"/>
      <c r="W6" s="3531"/>
      <c r="X6" s="1489"/>
      <c r="Y6" s="3529"/>
      <c r="Z6" s="3530"/>
      <c r="AA6" s="3503"/>
      <c r="AB6" s="3503"/>
      <c r="AC6" s="3503"/>
    </row>
    <row r="7" spans="1:29" s="113" customFormat="1" ht="15.75" thickBot="1">
      <c r="A7" s="368" t="s">
        <v>2126</v>
      </c>
      <c r="B7" s="369"/>
      <c r="C7" s="370">
        <f>'数据-取费表'!B2</f>
        <v>44769</v>
      </c>
      <c r="D7" s="371">
        <v>100</v>
      </c>
      <c r="E7" s="372">
        <f>土地案例!K6</f>
        <v>43476.000497685185</v>
      </c>
      <c r="F7" s="373">
        <f>SUMIF(65:65,YEAR(E7)&amp;"-"&amp;INT((MONTH(E7)+2)/3),66:66)</f>
        <v>97.19999999999996</v>
      </c>
      <c r="G7" s="2109">
        <f>土地案例!K3</f>
        <v>44189.000497685185</v>
      </c>
      <c r="H7" s="371">
        <f>SUMIF(65:65,YEAR(G7)&amp;"-"&amp;INT((MONTH(G7)+2)/3),66:66)</f>
        <v>98.59999999999998</v>
      </c>
      <c r="I7" s="2109">
        <f>土地案例!K5</f>
        <v>43664.000497685185</v>
      </c>
      <c r="J7" s="371">
        <f>SUMIF(65:65,YEAR(I7)&amp;"-"&amp;INT((MONTH(I7)+2)/3),66:66)</f>
        <v>97.599999999999966</v>
      </c>
      <c r="K7" s="568"/>
      <c r="L7" s="2894"/>
      <c r="M7" s="2895"/>
      <c r="N7" s="2895"/>
      <c r="O7" s="2895"/>
      <c r="P7" s="3504" t="s">
        <v>2127</v>
      </c>
      <c r="Q7" s="3532"/>
      <c r="R7" s="710" t="s">
        <v>17</v>
      </c>
      <c r="S7" s="711">
        <f t="shared" ref="S7:S15" si="0">F7</f>
        <v>97.19999999999996</v>
      </c>
      <c r="T7" s="710" t="s">
        <v>17</v>
      </c>
      <c r="U7" s="711">
        <f t="shared" ref="U7:U15" si="1">H7</f>
        <v>98.59999999999998</v>
      </c>
      <c r="V7" s="710" t="s">
        <v>17</v>
      </c>
      <c r="W7" s="711">
        <f t="shared" ref="W7:W15" si="2">J7</f>
        <v>97.599999999999966</v>
      </c>
      <c r="X7" s="712"/>
      <c r="Y7" s="3504" t="s">
        <v>2127</v>
      </c>
      <c r="Z7" s="3505"/>
      <c r="AA7" s="713">
        <f>D7/F7</f>
        <v>1.0288065843621403</v>
      </c>
      <c r="AB7" s="713">
        <f>D7/H7</f>
        <v>1.0141987829614607</v>
      </c>
      <c r="AC7" s="713">
        <f>D7/J7</f>
        <v>1.0245901639344266</v>
      </c>
    </row>
    <row r="8" spans="1:29" s="113" customFormat="1" ht="15.75" thickBot="1">
      <c r="A8" s="368" t="s">
        <v>2128</v>
      </c>
      <c r="B8" s="369"/>
      <c r="C8" s="374" t="s">
        <v>2129</v>
      </c>
      <c r="D8" s="371">
        <v>100</v>
      </c>
      <c r="E8" s="374" t="s">
        <v>2129</v>
      </c>
      <c r="F8" s="373">
        <f>SUMIF(68:68,E8,69:69)-SUMIF(68:68,C8,69:69)+100</f>
        <v>100</v>
      </c>
      <c r="G8" s="374" t="s">
        <v>2129</v>
      </c>
      <c r="H8" s="371">
        <f>SUMIF(68:68,G8,69:69)-SUMIF(68:68,C8,69:69)+100</f>
        <v>100</v>
      </c>
      <c r="I8" s="374" t="s">
        <v>2129</v>
      </c>
      <c r="J8" s="371">
        <f>SUMIF(68:68,I8,69:69)-SUMIF(68:68,C8,69:69)+100</f>
        <v>100</v>
      </c>
      <c r="K8" s="568"/>
      <c r="L8" s="2894"/>
      <c r="M8" s="2895"/>
      <c r="N8" s="2895"/>
      <c r="O8" s="2895"/>
      <c r="P8" s="3504" t="s">
        <v>2130</v>
      </c>
      <c r="Q8" s="3505"/>
      <c r="R8" s="710" t="s">
        <v>17</v>
      </c>
      <c r="S8" s="711">
        <f t="shared" si="0"/>
        <v>100</v>
      </c>
      <c r="T8" s="710" t="s">
        <v>17</v>
      </c>
      <c r="U8" s="711">
        <f t="shared" si="1"/>
        <v>100</v>
      </c>
      <c r="V8" s="710" t="s">
        <v>17</v>
      </c>
      <c r="W8" s="711">
        <f t="shared" si="2"/>
        <v>100</v>
      </c>
      <c r="X8" s="712"/>
      <c r="Y8" s="3504" t="s">
        <v>2130</v>
      </c>
      <c r="Z8" s="3505"/>
      <c r="AA8" s="713">
        <f t="shared" ref="AA8:AA40" si="3">D8/F8</f>
        <v>1</v>
      </c>
      <c r="AB8" s="713">
        <f t="shared" ref="AB8:AB40" si="4">D8/H8</f>
        <v>1</v>
      </c>
      <c r="AC8" s="713">
        <f t="shared" ref="AC8:AC40" si="5">D8/J8</f>
        <v>1</v>
      </c>
    </row>
    <row r="9" spans="1:29" s="113" customFormat="1">
      <c r="A9" s="375" t="s">
        <v>2131</v>
      </c>
      <c r="B9" s="67" t="s">
        <v>2132</v>
      </c>
      <c r="C9" s="2112" t="s">
        <v>6</v>
      </c>
      <c r="D9" s="131">
        <v>100</v>
      </c>
      <c r="E9" s="2112" t="s">
        <v>6</v>
      </c>
      <c r="F9" s="131">
        <f>SUMIF(70:70,E9,71:71)-SUMIF(70:70,C9,71:71)+100</f>
        <v>100</v>
      </c>
      <c r="G9" s="2112" t="s">
        <v>6</v>
      </c>
      <c r="H9" s="131">
        <f>SUMIF(70:70,G9,71:71)-SUMIF(70:70,C9,71:71)+100</f>
        <v>100</v>
      </c>
      <c r="I9" s="2112" t="s">
        <v>6</v>
      </c>
      <c r="J9" s="131">
        <f>SUMIF(70:70,I9,71:71)-SUMIF(70:70,C9,71:71)+100</f>
        <v>100</v>
      </c>
      <c r="K9" s="568"/>
      <c r="L9" s="2894"/>
      <c r="M9" s="2895"/>
      <c r="N9" s="2895"/>
      <c r="O9" s="2949"/>
      <c r="P9" s="3536" t="s">
        <v>2133</v>
      </c>
      <c r="Q9" s="1477" t="str">
        <f t="shared" ref="Q9:Q15" si="6">B9</f>
        <v>用途</v>
      </c>
      <c r="R9" s="710" t="s">
        <v>17</v>
      </c>
      <c r="S9" s="711">
        <f t="shared" si="0"/>
        <v>100</v>
      </c>
      <c r="T9" s="710" t="s">
        <v>17</v>
      </c>
      <c r="U9" s="711">
        <f t="shared" si="1"/>
        <v>100</v>
      </c>
      <c r="V9" s="710" t="s">
        <v>17</v>
      </c>
      <c r="W9" s="711">
        <f t="shared" si="2"/>
        <v>100</v>
      </c>
      <c r="X9" s="712"/>
      <c r="Y9" s="3448" t="s">
        <v>2134</v>
      </c>
      <c r="Z9" s="55" t="str">
        <f t="shared" ref="Z9:Z15" si="7">Q9</f>
        <v>用途</v>
      </c>
      <c r="AA9" s="713">
        <f t="shared" si="3"/>
        <v>1</v>
      </c>
      <c r="AB9" s="713">
        <f t="shared" si="4"/>
        <v>1</v>
      </c>
      <c r="AC9" s="713">
        <f t="shared" si="5"/>
        <v>1</v>
      </c>
    </row>
    <row r="10" spans="1:29" s="386" customFormat="1" ht="27">
      <c r="A10" s="380"/>
      <c r="B10" s="381" t="s">
        <v>2135</v>
      </c>
      <c r="C10" s="391">
        <f>项目基本情况!I15</f>
        <v>41.52</v>
      </c>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536"/>
      <c r="Q10" s="1477" t="str">
        <f t="shared" si="6"/>
        <v>土地使用年限（年）</v>
      </c>
      <c r="R10" s="710" t="s">
        <v>17</v>
      </c>
      <c r="S10" s="711">
        <f t="shared" si="0"/>
        <v>106</v>
      </c>
      <c r="T10" s="710" t="s">
        <v>17</v>
      </c>
      <c r="U10" s="711">
        <f t="shared" si="1"/>
        <v>106</v>
      </c>
      <c r="V10" s="710" t="s">
        <v>17</v>
      </c>
      <c r="W10" s="711">
        <f t="shared" si="2"/>
        <v>106</v>
      </c>
      <c r="X10" s="712"/>
      <c r="Y10" s="3448"/>
      <c r="Z10" s="55" t="str">
        <f t="shared" si="7"/>
        <v>土地使用年限（年）</v>
      </c>
      <c r="AA10" s="713">
        <f t="shared" si="3"/>
        <v>0.94339622641509435</v>
      </c>
      <c r="AB10" s="713">
        <f t="shared" si="4"/>
        <v>0.94339622641509435</v>
      </c>
      <c r="AC10" s="713">
        <f t="shared" si="5"/>
        <v>0.94339622641509435</v>
      </c>
    </row>
    <row r="11" spans="1:29" ht="15.75" thickBot="1">
      <c r="A11" s="387"/>
      <c r="B11" s="381" t="s">
        <v>2136</v>
      </c>
      <c r="C11" s="388">
        <v>1.5</v>
      </c>
      <c r="D11" s="132">
        <v>100</v>
      </c>
      <c r="E11" s="388">
        <v>1.2</v>
      </c>
      <c r="F11" s="132">
        <f>LOOKUP(E11,75:75,76:76)-LOOKUP(C11,75:75,76:76)+100</f>
        <v>105</v>
      </c>
      <c r="G11" s="389">
        <v>1.6</v>
      </c>
      <c r="H11" s="132">
        <f>LOOKUP(G11,75:75,76:76)-LOOKUP(C11,75:75,76:76)+100</f>
        <v>100</v>
      </c>
      <c r="I11" s="388">
        <v>1.6</v>
      </c>
      <c r="J11" s="132">
        <f>LOOKUP(I11,75:75,76:76)-LOOKUP(C11,75:75,76:76)+100</f>
        <v>100</v>
      </c>
      <c r="K11" s="629">
        <v>5</v>
      </c>
      <c r="L11" s="2898"/>
      <c r="M11" s="2893"/>
      <c r="N11" s="2893"/>
      <c r="O11" s="2951"/>
      <c r="P11" s="3536"/>
      <c r="Q11" s="1477" t="str">
        <f t="shared" si="6"/>
        <v>容积率</v>
      </c>
      <c r="R11" s="710" t="s">
        <v>17</v>
      </c>
      <c r="S11" s="711">
        <f t="shared" si="0"/>
        <v>105</v>
      </c>
      <c r="T11" s="710" t="s">
        <v>17</v>
      </c>
      <c r="U11" s="711">
        <f t="shared" si="1"/>
        <v>100</v>
      </c>
      <c r="V11" s="710" t="s">
        <v>17</v>
      </c>
      <c r="W11" s="711">
        <f t="shared" si="2"/>
        <v>100</v>
      </c>
      <c r="X11" s="712"/>
      <c r="Y11" s="3448"/>
      <c r="Z11" s="55" t="str">
        <f t="shared" si="7"/>
        <v>容积率</v>
      </c>
      <c r="AA11" s="713">
        <f t="shared" si="3"/>
        <v>0.95238095238095233</v>
      </c>
      <c r="AB11" s="713">
        <f t="shared" si="4"/>
        <v>1</v>
      </c>
      <c r="AC11" s="713">
        <f t="shared" si="5"/>
        <v>1</v>
      </c>
    </row>
    <row r="12" spans="1:29" s="113" customFormat="1" ht="15" hidden="1">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36"/>
      <c r="Q12" s="1477">
        <f t="shared" si="6"/>
        <v>111</v>
      </c>
      <c r="R12" s="710" t="s">
        <v>17</v>
      </c>
      <c r="S12" s="711">
        <f t="shared" si="0"/>
        <v>100</v>
      </c>
      <c r="T12" s="710" t="s">
        <v>17</v>
      </c>
      <c r="U12" s="711">
        <f t="shared" si="1"/>
        <v>100</v>
      </c>
      <c r="V12" s="710" t="s">
        <v>17</v>
      </c>
      <c r="W12" s="711">
        <f t="shared" si="2"/>
        <v>100</v>
      </c>
      <c r="X12" s="712"/>
      <c r="Y12" s="3448"/>
      <c r="Z12" s="55">
        <f t="shared" si="7"/>
        <v>111</v>
      </c>
      <c r="AA12" s="713">
        <f>D12/F12</f>
        <v>1</v>
      </c>
      <c r="AB12" s="713">
        <f>D12/H12</f>
        <v>1</v>
      </c>
      <c r="AC12" s="713">
        <f>D12/J12</f>
        <v>1</v>
      </c>
    </row>
    <row r="13" spans="1:29" ht="15" hidden="1">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36"/>
      <c r="Q13" s="1477">
        <f t="shared" si="6"/>
        <v>111</v>
      </c>
      <c r="R13" s="710" t="s">
        <v>17</v>
      </c>
      <c r="S13" s="711">
        <f t="shared" si="0"/>
        <v>100</v>
      </c>
      <c r="T13" s="710" t="s">
        <v>17</v>
      </c>
      <c r="U13" s="711">
        <f t="shared" si="1"/>
        <v>100</v>
      </c>
      <c r="V13" s="710" t="s">
        <v>17</v>
      </c>
      <c r="W13" s="711">
        <f t="shared" si="2"/>
        <v>100</v>
      </c>
      <c r="X13" s="712"/>
      <c r="Y13" s="3448"/>
      <c r="Z13" s="55">
        <f t="shared" si="7"/>
        <v>111</v>
      </c>
      <c r="AA13" s="713">
        <f t="shared" si="3"/>
        <v>1</v>
      </c>
      <c r="AB13" s="713">
        <f t="shared" si="4"/>
        <v>1</v>
      </c>
      <c r="AC13" s="713">
        <f t="shared" si="5"/>
        <v>1</v>
      </c>
    </row>
    <row r="14" spans="1:29" ht="15.75" hidden="1"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36"/>
      <c r="Q14" s="1477">
        <f t="shared" si="6"/>
        <v>111</v>
      </c>
      <c r="R14" s="710" t="s">
        <v>17</v>
      </c>
      <c r="S14" s="711">
        <f t="shared" si="0"/>
        <v>100</v>
      </c>
      <c r="T14" s="710" t="s">
        <v>17</v>
      </c>
      <c r="U14" s="711">
        <f t="shared" si="1"/>
        <v>100</v>
      </c>
      <c r="V14" s="710" t="s">
        <v>17</v>
      </c>
      <c r="W14" s="711">
        <f t="shared" si="2"/>
        <v>100</v>
      </c>
      <c r="X14" s="712"/>
      <c r="Y14" s="3448"/>
      <c r="Z14" s="55">
        <f t="shared" si="7"/>
        <v>111</v>
      </c>
      <c r="AA14" s="713">
        <f t="shared" si="3"/>
        <v>1</v>
      </c>
      <c r="AB14" s="713">
        <f t="shared" si="4"/>
        <v>1</v>
      </c>
      <c r="AC14" s="713">
        <f t="shared" si="5"/>
        <v>1</v>
      </c>
    </row>
    <row r="15" spans="1:29" ht="57">
      <c r="A15" s="399" t="s">
        <v>2137</v>
      </c>
      <c r="B15" s="585" t="s">
        <v>2375</v>
      </c>
      <c r="C15" s="2106" t="str">
        <f>估价对象房地状况!G15</f>
        <v>估价对象位于XX开发区，园区建设成熟度XX，产业集聚程度XX</v>
      </c>
      <c r="D15" s="400">
        <v>100</v>
      </c>
      <c r="E15" s="401"/>
      <c r="F15" s="400">
        <f>SUMIF(83:83,E16,84:84)-SUMIF(83:83,C16,84:84)+100</f>
        <v>110</v>
      </c>
      <c r="G15" s="401"/>
      <c r="H15" s="400">
        <f>SUMIF(83:83,G16,84:84)-SUMIF(83:83,C16,84:84)+100</f>
        <v>110</v>
      </c>
      <c r="I15" s="403"/>
      <c r="J15" s="400">
        <f>SUMIF(83:83,I16,84:84)-SUMIF(83:83,C16,84:84)+100</f>
        <v>110</v>
      </c>
      <c r="K15" s="629">
        <v>5</v>
      </c>
      <c r="L15" s="2899"/>
      <c r="M15" s="2893"/>
      <c r="N15" s="2893"/>
      <c r="O15" s="2951"/>
      <c r="P15" s="3538" t="s">
        <v>2138</v>
      </c>
      <c r="Q15" s="1486" t="str">
        <f t="shared" si="6"/>
        <v>产业集聚程度</v>
      </c>
      <c r="R15" s="714" t="s">
        <v>17</v>
      </c>
      <c r="S15" s="715">
        <f t="shared" si="0"/>
        <v>110</v>
      </c>
      <c r="T15" s="714" t="s">
        <v>17</v>
      </c>
      <c r="U15" s="715">
        <f t="shared" si="1"/>
        <v>110</v>
      </c>
      <c r="V15" s="714" t="s">
        <v>17</v>
      </c>
      <c r="W15" s="715">
        <f t="shared" si="2"/>
        <v>110</v>
      </c>
      <c r="X15" s="1489"/>
      <c r="Y15" s="3538" t="s">
        <v>2138</v>
      </c>
      <c r="Z15" s="1490" t="str">
        <f t="shared" si="7"/>
        <v>产业集聚程度</v>
      </c>
      <c r="AA15" s="1487">
        <f t="shared" si="3"/>
        <v>0.90909090909090906</v>
      </c>
      <c r="AB15" s="1487">
        <f t="shared" si="4"/>
        <v>0.90909090909090906</v>
      </c>
      <c r="AC15" s="1487">
        <f t="shared" si="5"/>
        <v>0.90909090909090906</v>
      </c>
    </row>
    <row r="16" spans="1:29" ht="15">
      <c r="A16" s="387"/>
      <c r="B16" s="586"/>
      <c r="C16" s="406" t="s">
        <v>3500</v>
      </c>
      <c r="D16" s="407"/>
      <c r="E16" s="2039" t="s">
        <v>3501</v>
      </c>
      <c r="F16" s="407"/>
      <c r="G16" s="2039" t="s">
        <v>3501</v>
      </c>
      <c r="H16" s="409"/>
      <c r="I16" s="2039" t="s">
        <v>3501</v>
      </c>
      <c r="J16" s="407"/>
      <c r="K16" s="628"/>
      <c r="L16" s="2899"/>
      <c r="M16" s="2893"/>
      <c r="N16" s="2893"/>
      <c r="O16" s="2951"/>
      <c r="P16" s="3539"/>
      <c r="Q16" s="1486"/>
      <c r="R16" s="714"/>
      <c r="S16" s="715"/>
      <c r="T16" s="714"/>
      <c r="U16" s="715"/>
      <c r="V16" s="714"/>
      <c r="W16" s="715"/>
      <c r="X16" s="1489"/>
      <c r="Y16" s="3539"/>
      <c r="Z16" s="1490"/>
      <c r="AA16" s="1487">
        <v>1</v>
      </c>
      <c r="AB16" s="1487">
        <v>1</v>
      </c>
      <c r="AC16" s="1487">
        <v>1</v>
      </c>
    </row>
    <row r="17" spans="1:29" ht="85.5">
      <c r="A17" s="387"/>
      <c r="B17" s="587" t="s">
        <v>2287</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5</v>
      </c>
      <c r="L17" s="2899"/>
      <c r="M17" s="2893"/>
      <c r="N17" s="2893"/>
      <c r="O17" s="2951"/>
      <c r="P17" s="3539"/>
      <c r="Q17" s="1486" t="str">
        <f>B17</f>
        <v>交通便捷度</v>
      </c>
      <c r="R17" s="714" t="s">
        <v>17</v>
      </c>
      <c r="S17" s="715">
        <f>F17</f>
        <v>100</v>
      </c>
      <c r="T17" s="714" t="s">
        <v>17</v>
      </c>
      <c r="U17" s="715">
        <f>H17</f>
        <v>100</v>
      </c>
      <c r="V17" s="714" t="s">
        <v>17</v>
      </c>
      <c r="W17" s="715">
        <f>J17</f>
        <v>100</v>
      </c>
      <c r="X17" s="1489"/>
      <c r="Y17" s="3539"/>
      <c r="Z17" s="1490" t="str">
        <f>Q17</f>
        <v>交通便捷度</v>
      </c>
      <c r="AA17" s="1487">
        <f t="shared" si="3"/>
        <v>1</v>
      </c>
      <c r="AB17" s="1487">
        <f t="shared" si="4"/>
        <v>1</v>
      </c>
      <c r="AC17" s="1487">
        <f t="shared" si="5"/>
        <v>1</v>
      </c>
    </row>
    <row r="18" spans="1:29" ht="15">
      <c r="A18" s="387"/>
      <c r="B18" s="588"/>
      <c r="C18" s="406" t="s">
        <v>3502</v>
      </c>
      <c r="D18" s="407"/>
      <c r="E18" s="406" t="s">
        <v>3502</v>
      </c>
      <c r="F18" s="407"/>
      <c r="G18" s="406" t="s">
        <v>3502</v>
      </c>
      <c r="H18" s="407"/>
      <c r="I18" s="406" t="s">
        <v>3502</v>
      </c>
      <c r="J18" s="407"/>
      <c r="K18" s="628"/>
      <c r="L18" s="2899"/>
      <c r="M18" s="2893"/>
      <c r="N18" s="2893"/>
      <c r="O18" s="2951"/>
      <c r="P18" s="3539"/>
      <c r="Q18" s="1486"/>
      <c r="R18" s="714"/>
      <c r="S18" s="715"/>
      <c r="T18" s="714"/>
      <c r="U18" s="715"/>
      <c r="V18" s="714"/>
      <c r="W18" s="715"/>
      <c r="X18" s="1489"/>
      <c r="Y18" s="3539"/>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39"/>
      <c r="Q19" s="1486" t="str">
        <f t="shared" ref="Q19:Q33" si="8">B19</f>
        <v>区域土地利用方向</v>
      </c>
      <c r="R19" s="714" t="s">
        <v>17</v>
      </c>
      <c r="S19" s="715">
        <f>F19</f>
        <v>100</v>
      </c>
      <c r="T19" s="714" t="s">
        <v>17</v>
      </c>
      <c r="U19" s="715">
        <f>H19</f>
        <v>100</v>
      </c>
      <c r="V19" s="714" t="s">
        <v>17</v>
      </c>
      <c r="W19" s="715">
        <f>J19</f>
        <v>100</v>
      </c>
      <c r="X19" s="1489"/>
      <c r="Y19" s="3539"/>
      <c r="Z19" s="1490" t="str">
        <f>Q19</f>
        <v>区域土地利用方向</v>
      </c>
      <c r="AA19" s="1487">
        <f t="shared" si="3"/>
        <v>1</v>
      </c>
      <c r="AB19" s="1487">
        <f t="shared" si="4"/>
        <v>1</v>
      </c>
      <c r="AC19" s="1487">
        <f t="shared" si="5"/>
        <v>1</v>
      </c>
    </row>
    <row r="20" spans="1:29" ht="15">
      <c r="A20" s="364"/>
      <c r="B20" s="588"/>
      <c r="C20" s="406" t="s">
        <v>3501</v>
      </c>
      <c r="D20" s="407"/>
      <c r="E20" s="406" t="s">
        <v>3501</v>
      </c>
      <c r="F20" s="407"/>
      <c r="G20" s="406" t="s">
        <v>3501</v>
      </c>
      <c r="H20" s="407"/>
      <c r="I20" s="406" t="s">
        <v>3501</v>
      </c>
      <c r="J20" s="407"/>
      <c r="K20" s="751"/>
      <c r="L20" s="2899"/>
      <c r="M20" s="2893"/>
      <c r="N20" s="2893"/>
      <c r="O20" s="2951"/>
      <c r="P20" s="3539"/>
      <c r="Q20" s="1486"/>
      <c r="R20" s="714"/>
      <c r="S20" s="715"/>
      <c r="T20" s="714"/>
      <c r="U20" s="715"/>
      <c r="V20" s="714"/>
      <c r="W20" s="715"/>
      <c r="X20" s="1489"/>
      <c r="Y20" s="3539"/>
      <c r="Z20" s="1490"/>
      <c r="AA20" s="1487"/>
      <c r="AB20" s="1487"/>
      <c r="AC20" s="1487"/>
    </row>
    <row r="21" spans="1:29" ht="71.25">
      <c r="A21" s="364"/>
      <c r="B21" s="587" t="s">
        <v>2376</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39"/>
      <c r="Q21" s="1486" t="str">
        <f t="shared" si="8"/>
        <v>环境状况</v>
      </c>
      <c r="R21" s="714" t="s">
        <v>17</v>
      </c>
      <c r="S21" s="715">
        <f>F21</f>
        <v>100</v>
      </c>
      <c r="T21" s="714" t="s">
        <v>17</v>
      </c>
      <c r="U21" s="715">
        <f>H21</f>
        <v>100</v>
      </c>
      <c r="V21" s="714" t="s">
        <v>17</v>
      </c>
      <c r="W21" s="715">
        <f>J21</f>
        <v>100</v>
      </c>
      <c r="X21" s="1489"/>
      <c r="Y21" s="3539"/>
      <c r="Z21" s="1490" t="str">
        <f>Q21</f>
        <v>环境状况</v>
      </c>
      <c r="AA21" s="1487">
        <f t="shared" si="3"/>
        <v>1</v>
      </c>
      <c r="AB21" s="1487">
        <f t="shared" si="4"/>
        <v>1</v>
      </c>
      <c r="AC21" s="1487">
        <f t="shared" si="5"/>
        <v>1</v>
      </c>
    </row>
    <row r="22" spans="1:29" ht="15">
      <c r="A22" s="364"/>
      <c r="B22" s="588"/>
      <c r="C22" s="406" t="s">
        <v>3502</v>
      </c>
      <c r="D22" s="407"/>
      <c r="E22" s="2039" t="s">
        <v>3502</v>
      </c>
      <c r="F22" s="407"/>
      <c r="G22" s="2039" t="s">
        <v>3502</v>
      </c>
      <c r="H22" s="407"/>
      <c r="I22" s="2039" t="s">
        <v>3502</v>
      </c>
      <c r="J22" s="407"/>
      <c r="K22" s="628"/>
      <c r="L22" s="2899"/>
      <c r="M22" s="2893"/>
      <c r="N22" s="2893"/>
      <c r="O22" s="2951"/>
      <c r="P22" s="3539"/>
      <c r="Q22" s="1486"/>
      <c r="R22" s="714"/>
      <c r="S22" s="715"/>
      <c r="T22" s="714"/>
      <c r="U22" s="715"/>
      <c r="V22" s="714"/>
      <c r="W22" s="715"/>
      <c r="X22" s="1489"/>
      <c r="Y22" s="3539"/>
      <c r="Z22" s="1490"/>
      <c r="AA22" s="1487">
        <v>1</v>
      </c>
      <c r="AB22" s="1487">
        <v>1</v>
      </c>
      <c r="AC22" s="1487">
        <v>1</v>
      </c>
    </row>
    <row r="23" spans="1:29" s="113" customFormat="1" ht="42.75">
      <c r="A23" s="605"/>
      <c r="B23" s="589" t="s">
        <v>2232</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3</v>
      </c>
      <c r="L23" s="2894"/>
      <c r="M23" s="2895"/>
      <c r="N23" s="2895"/>
      <c r="O23" s="2949"/>
      <c r="P23" s="3539"/>
      <c r="Q23" s="1477" t="str">
        <f t="shared" si="8"/>
        <v>公共配套设施</v>
      </c>
      <c r="R23" s="710" t="s">
        <v>17</v>
      </c>
      <c r="S23" s="711">
        <f>F23</f>
        <v>100</v>
      </c>
      <c r="T23" s="710" t="s">
        <v>17</v>
      </c>
      <c r="U23" s="711">
        <f>H23</f>
        <v>100</v>
      </c>
      <c r="V23" s="710" t="s">
        <v>17</v>
      </c>
      <c r="W23" s="711">
        <f>J23</f>
        <v>100</v>
      </c>
      <c r="X23" s="712"/>
      <c r="Y23" s="3539"/>
      <c r="Z23" s="55" t="str">
        <f>Q23</f>
        <v>公共配套设施</v>
      </c>
      <c r="AA23" s="1487">
        <f>D23/F23</f>
        <v>1</v>
      </c>
      <c r="AB23" s="1487">
        <f>D23/H23</f>
        <v>1</v>
      </c>
      <c r="AC23" s="1487">
        <f>D23/J23</f>
        <v>1</v>
      </c>
    </row>
    <row r="24" spans="1:29" s="113" customFormat="1" ht="15">
      <c r="A24" s="605"/>
      <c r="B24" s="588"/>
      <c r="C24" s="2113" t="s">
        <v>3502</v>
      </c>
      <c r="D24" s="407"/>
      <c r="E24" s="2113" t="s">
        <v>3502</v>
      </c>
      <c r="F24" s="407"/>
      <c r="G24" s="2113" t="s">
        <v>3502</v>
      </c>
      <c r="H24" s="407"/>
      <c r="I24" s="2113" t="s">
        <v>3502</v>
      </c>
      <c r="J24" s="407"/>
      <c r="K24" s="628"/>
      <c r="L24" s="2894"/>
      <c r="M24" s="2895"/>
      <c r="N24" s="2895"/>
      <c r="O24" s="2949"/>
      <c r="P24" s="3539"/>
      <c r="Q24" s="1477"/>
      <c r="R24" s="710"/>
      <c r="S24" s="711"/>
      <c r="T24" s="710"/>
      <c r="U24" s="711"/>
      <c r="V24" s="710"/>
      <c r="W24" s="711"/>
      <c r="X24" s="712"/>
      <c r="Y24" s="3539"/>
      <c r="Z24" s="55"/>
      <c r="AA24" s="713">
        <v>1</v>
      </c>
      <c r="AB24" s="713">
        <v>1</v>
      </c>
      <c r="AC24" s="713">
        <v>1</v>
      </c>
    </row>
    <row r="25" spans="1:29" s="113" customFormat="1" ht="28.5">
      <c r="A25" s="605"/>
      <c r="B25" s="589" t="s">
        <v>2233</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39"/>
      <c r="Q25" s="1477" t="str">
        <f t="shared" ref="Q25" si="9">B25</f>
        <v>基础设施水平</v>
      </c>
      <c r="R25" s="710" t="s">
        <v>17</v>
      </c>
      <c r="S25" s="711">
        <f>F25</f>
        <v>100</v>
      </c>
      <c r="T25" s="710" t="s">
        <v>17</v>
      </c>
      <c r="U25" s="711">
        <f>H25</f>
        <v>100</v>
      </c>
      <c r="V25" s="710" t="s">
        <v>17</v>
      </c>
      <c r="W25" s="711">
        <f>J25</f>
        <v>100</v>
      </c>
      <c r="X25" s="712"/>
      <c r="Y25" s="3539"/>
      <c r="Z25" s="55" t="str">
        <f>Q25</f>
        <v>基础设施水平</v>
      </c>
      <c r="AA25" s="1487">
        <f>D25/F25</f>
        <v>1</v>
      </c>
      <c r="AB25" s="1487">
        <f>D25/H25</f>
        <v>1</v>
      </c>
      <c r="AC25" s="1487">
        <f>D25/J25</f>
        <v>1</v>
      </c>
    </row>
    <row r="26" spans="1:29" s="113" customFormat="1" ht="15.75" thickBot="1">
      <c r="A26" s="605"/>
      <c r="B26" s="588"/>
      <c r="C26" s="2113" t="s">
        <v>3503</v>
      </c>
      <c r="D26" s="407"/>
      <c r="E26" s="2113" t="s">
        <v>3503</v>
      </c>
      <c r="F26" s="407"/>
      <c r="G26" s="2113" t="s">
        <v>3503</v>
      </c>
      <c r="H26" s="407"/>
      <c r="I26" s="2113" t="s">
        <v>3503</v>
      </c>
      <c r="J26" s="407"/>
      <c r="K26" s="628"/>
      <c r="L26" s="2894"/>
      <c r="M26" s="2895"/>
      <c r="N26" s="2895"/>
      <c r="O26" s="2949"/>
      <c r="P26" s="3539"/>
      <c r="Q26" s="1477"/>
      <c r="R26" s="710"/>
      <c r="S26" s="711"/>
      <c r="T26" s="710"/>
      <c r="U26" s="711"/>
      <c r="V26" s="710"/>
      <c r="W26" s="711"/>
      <c r="X26" s="712"/>
      <c r="Y26" s="3539"/>
      <c r="Z26" s="55"/>
      <c r="AA26" s="713">
        <v>1</v>
      </c>
      <c r="AB26" s="713">
        <v>1</v>
      </c>
      <c r="AC26" s="713">
        <v>1</v>
      </c>
    </row>
    <row r="27" spans="1:29" ht="15" hidden="1">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39"/>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39"/>
      <c r="Z27" s="1490" t="str">
        <f t="shared" ref="Z27:Z40" si="13">Q27</f>
        <v>临街状况</v>
      </c>
      <c r="AA27" s="1487">
        <f t="shared" si="3"/>
        <v>1</v>
      </c>
      <c r="AB27" s="1487">
        <f t="shared" si="4"/>
        <v>1</v>
      </c>
      <c r="AC27" s="1487">
        <f t="shared" si="5"/>
        <v>1</v>
      </c>
    </row>
    <row r="28" spans="1:29" ht="27" hidden="1">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39"/>
      <c r="Q28" s="1486" t="str">
        <f t="shared" si="8"/>
        <v>毗邻道路的类型与等级</v>
      </c>
      <c r="R28" s="714" t="s">
        <v>17</v>
      </c>
      <c r="S28" s="715">
        <f t="shared" si="10"/>
        <v>100</v>
      </c>
      <c r="T28" s="714" t="s">
        <v>17</v>
      </c>
      <c r="U28" s="715">
        <f t="shared" si="11"/>
        <v>100</v>
      </c>
      <c r="V28" s="714" t="s">
        <v>17</v>
      </c>
      <c r="W28" s="715">
        <f t="shared" si="12"/>
        <v>100</v>
      </c>
      <c r="X28" s="1489"/>
      <c r="Y28" s="3539"/>
      <c r="Z28" s="1490" t="str">
        <f t="shared" si="13"/>
        <v>毗邻道路的类型与等级</v>
      </c>
      <c r="AA28" s="1487">
        <f t="shared" si="3"/>
        <v>1</v>
      </c>
      <c r="AB28" s="1487">
        <f t="shared" si="4"/>
        <v>1</v>
      </c>
      <c r="AC28" s="1487">
        <f t="shared" si="5"/>
        <v>1</v>
      </c>
    </row>
    <row r="29" spans="1:29" ht="15" hidden="1">
      <c r="A29" s="387"/>
      <c r="B29" s="588"/>
      <c r="C29" s="406"/>
      <c r="D29" s="407"/>
      <c r="E29" s="2039"/>
      <c r="F29" s="407"/>
      <c r="G29" s="2039"/>
      <c r="H29" s="407"/>
      <c r="I29" s="2039"/>
      <c r="J29" s="407"/>
      <c r="K29" s="570"/>
      <c r="L29" s="2899"/>
      <c r="M29" s="2893"/>
      <c r="N29" s="2893"/>
      <c r="O29" s="2951"/>
      <c r="P29" s="3539"/>
      <c r="Q29" s="1486"/>
      <c r="R29" s="714"/>
      <c r="S29" s="715"/>
      <c r="T29" s="714"/>
      <c r="U29" s="715"/>
      <c r="V29" s="714"/>
      <c r="W29" s="715"/>
      <c r="X29" s="1489"/>
      <c r="Y29" s="3539"/>
      <c r="Z29" s="1490"/>
      <c r="AA29" s="1487">
        <v>1</v>
      </c>
      <c r="AB29" s="1487">
        <v>1</v>
      </c>
      <c r="AC29" s="1487">
        <v>1</v>
      </c>
    </row>
    <row r="30" spans="1:29" ht="15" hidden="1">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39"/>
      <c r="Q30" s="1486" t="str">
        <f t="shared" si="8"/>
        <v>土地级别</v>
      </c>
      <c r="R30" s="714" t="s">
        <v>17</v>
      </c>
      <c r="S30" s="715">
        <f t="shared" si="10"/>
        <v>100</v>
      </c>
      <c r="T30" s="714" t="s">
        <v>17</v>
      </c>
      <c r="U30" s="715">
        <f t="shared" si="11"/>
        <v>100</v>
      </c>
      <c r="V30" s="714" t="s">
        <v>17</v>
      </c>
      <c r="W30" s="715">
        <f t="shared" si="12"/>
        <v>100</v>
      </c>
      <c r="X30" s="1489"/>
      <c r="Y30" s="3539"/>
      <c r="Z30" s="1490" t="str">
        <f t="shared" si="13"/>
        <v>土地级别</v>
      </c>
      <c r="AA30" s="1487">
        <f t="shared" si="3"/>
        <v>1</v>
      </c>
      <c r="AB30" s="1487">
        <f t="shared" si="4"/>
        <v>1</v>
      </c>
      <c r="AC30" s="1487">
        <f t="shared" si="5"/>
        <v>1</v>
      </c>
    </row>
    <row r="31" spans="1:29" ht="15" hidden="1">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39"/>
      <c r="Q31" s="1486">
        <f t="shared" si="8"/>
        <v>111</v>
      </c>
      <c r="R31" s="714" t="s">
        <v>17</v>
      </c>
      <c r="S31" s="715">
        <f t="shared" si="10"/>
        <v>100</v>
      </c>
      <c r="T31" s="714" t="s">
        <v>17</v>
      </c>
      <c r="U31" s="715">
        <f t="shared" si="11"/>
        <v>100</v>
      </c>
      <c r="V31" s="714" t="s">
        <v>17</v>
      </c>
      <c r="W31" s="715">
        <f t="shared" si="12"/>
        <v>100</v>
      </c>
      <c r="X31" s="1489"/>
      <c r="Y31" s="3539"/>
      <c r="Z31" s="1490">
        <f t="shared" si="13"/>
        <v>111</v>
      </c>
      <c r="AA31" s="1487">
        <f t="shared" si="3"/>
        <v>1</v>
      </c>
      <c r="AB31" s="1487">
        <f t="shared" si="4"/>
        <v>1</v>
      </c>
      <c r="AC31" s="1487">
        <f t="shared" si="5"/>
        <v>1</v>
      </c>
    </row>
    <row r="32" spans="1:29" ht="15" hidden="1">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62" t="s">
        <v>2143</v>
      </c>
      <c r="Q32" s="1486">
        <f t="shared" si="8"/>
        <v>111</v>
      </c>
      <c r="R32" s="714" t="s">
        <v>17</v>
      </c>
      <c r="S32" s="715">
        <f t="shared" si="10"/>
        <v>100</v>
      </c>
      <c r="T32" s="714" t="s">
        <v>17</v>
      </c>
      <c r="U32" s="715">
        <f t="shared" si="11"/>
        <v>100</v>
      </c>
      <c r="V32" s="714" t="s">
        <v>17</v>
      </c>
      <c r="W32" s="715">
        <f t="shared" si="12"/>
        <v>100</v>
      </c>
      <c r="X32" s="1489"/>
      <c r="Y32" s="3543" t="s">
        <v>2143</v>
      </c>
      <c r="Z32" s="1490">
        <f t="shared" si="13"/>
        <v>111</v>
      </c>
      <c r="AA32" s="1487">
        <f t="shared" si="3"/>
        <v>1</v>
      </c>
      <c r="AB32" s="1487">
        <f t="shared" si="4"/>
        <v>1</v>
      </c>
      <c r="AC32" s="1487">
        <f t="shared" si="5"/>
        <v>1</v>
      </c>
    </row>
    <row r="33" spans="1:31" s="430" customFormat="1" ht="15.75" hidden="1"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43"/>
      <c r="Q33" s="1486">
        <f t="shared" si="8"/>
        <v>111</v>
      </c>
      <c r="R33" s="717" t="s">
        <v>17</v>
      </c>
      <c r="S33" s="718">
        <f t="shared" si="10"/>
        <v>100</v>
      </c>
      <c r="T33" s="717" t="s">
        <v>17</v>
      </c>
      <c r="U33" s="718">
        <f t="shared" si="11"/>
        <v>100</v>
      </c>
      <c r="V33" s="717" t="s">
        <v>17</v>
      </c>
      <c r="W33" s="718">
        <f t="shared" si="12"/>
        <v>100</v>
      </c>
      <c r="X33" s="719"/>
      <c r="Y33" s="3543"/>
      <c r="Z33" s="720">
        <f t="shared" si="13"/>
        <v>111</v>
      </c>
      <c r="AA33" s="1487">
        <f t="shared" si="3"/>
        <v>1</v>
      </c>
      <c r="AB33" s="1487">
        <f t="shared" si="4"/>
        <v>1</v>
      </c>
      <c r="AC33" s="1487">
        <f t="shared" si="5"/>
        <v>1</v>
      </c>
    </row>
    <row r="34" spans="1:31" ht="15">
      <c r="A34" s="399" t="s">
        <v>2141</v>
      </c>
      <c r="B34" s="415" t="s">
        <v>2329</v>
      </c>
      <c r="C34" s="635">
        <f>'数据-基础表'!A3</f>
        <v>119876.49</v>
      </c>
      <c r="D34" s="426">
        <v>100</v>
      </c>
      <c r="E34" s="635">
        <f>土地案例!G6</f>
        <v>20000</v>
      </c>
      <c r="F34" s="426">
        <f>LOOKUP(E34,108:108,109:109)-LOOKUP(C34,108:108,109:109)+100</f>
        <v>98</v>
      </c>
      <c r="G34" s="635">
        <f>土地案例!G3</f>
        <v>63922.57</v>
      </c>
      <c r="H34" s="426">
        <f>LOOKUP(G34,108:108,109:109)-LOOKUP(C34,108:108,109:109)+100</f>
        <v>99</v>
      </c>
      <c r="I34" s="487">
        <f>土地案例!G5</f>
        <v>65233.04</v>
      </c>
      <c r="J34" s="426">
        <f>LOOKUP(I34,108:108,109:109)-LOOKUP(C34,108:108,109:109)+100</f>
        <v>99</v>
      </c>
      <c r="K34" s="570"/>
      <c r="L34" s="2899"/>
      <c r="M34" s="2893"/>
      <c r="N34" s="2893"/>
      <c r="O34" s="2951"/>
      <c r="P34" s="3543"/>
      <c r="Q34" s="1486" t="str">
        <f>B34</f>
        <v>宗地面积</v>
      </c>
      <c r="R34" s="714" t="s">
        <v>17</v>
      </c>
      <c r="S34" s="715">
        <f t="shared" si="10"/>
        <v>98</v>
      </c>
      <c r="T34" s="714" t="s">
        <v>17</v>
      </c>
      <c r="U34" s="715">
        <f t="shared" si="11"/>
        <v>99</v>
      </c>
      <c r="V34" s="714" t="s">
        <v>17</v>
      </c>
      <c r="W34" s="715">
        <f t="shared" si="12"/>
        <v>99</v>
      </c>
      <c r="X34" s="1489"/>
      <c r="Y34" s="3543"/>
      <c r="Z34" s="1490" t="str">
        <f t="shared" si="13"/>
        <v>宗地面积</v>
      </c>
      <c r="AA34" s="1487">
        <f t="shared" si="3"/>
        <v>1.0204081632653061</v>
      </c>
      <c r="AB34" s="1487">
        <f t="shared" si="4"/>
        <v>1.0101010101010102</v>
      </c>
      <c r="AC34" s="1487">
        <f t="shared" si="5"/>
        <v>1.0101010101010102</v>
      </c>
    </row>
    <row r="35" spans="1:31" ht="15">
      <c r="A35" s="431"/>
      <c r="B35" s="381" t="s">
        <v>2330</v>
      </c>
      <c r="C35" s="2041" t="s">
        <v>3504</v>
      </c>
      <c r="D35" s="394">
        <v>100</v>
      </c>
      <c r="E35" s="2041" t="s">
        <v>3504</v>
      </c>
      <c r="F35" s="394">
        <f>SUMIF(110:110,E35,111:111)-SUMIF(110:110,C35,111:111)+100</f>
        <v>100</v>
      </c>
      <c r="G35" s="2041" t="s">
        <v>3504</v>
      </c>
      <c r="H35" s="394">
        <f>SUMIF(110:110,G35,111:111)-SUMIF(110:110,C35,111:111)+100</f>
        <v>100</v>
      </c>
      <c r="I35" s="2041" t="s">
        <v>3504</v>
      </c>
      <c r="J35" s="394">
        <f>SUMIF(110:110,I35,111:111)-SUMIF(110:110,C35,111:111)+100</f>
        <v>100</v>
      </c>
      <c r="K35" s="569">
        <v>1</v>
      </c>
      <c r="L35" s="2899"/>
      <c r="M35" s="2893"/>
      <c r="N35" s="2893"/>
      <c r="O35" s="2951"/>
      <c r="P35" s="3543"/>
      <c r="Q35" s="1486" t="str">
        <f t="shared" ref="Q35:Q40" si="14">B35</f>
        <v>宗地形状</v>
      </c>
      <c r="R35" s="714" t="s">
        <v>17</v>
      </c>
      <c r="S35" s="715">
        <f t="shared" si="10"/>
        <v>100</v>
      </c>
      <c r="T35" s="714" t="s">
        <v>17</v>
      </c>
      <c r="U35" s="715">
        <f t="shared" si="11"/>
        <v>100</v>
      </c>
      <c r="V35" s="714" t="s">
        <v>17</v>
      </c>
      <c r="W35" s="715">
        <f t="shared" si="12"/>
        <v>100</v>
      </c>
      <c r="X35" s="1489"/>
      <c r="Y35" s="3543"/>
      <c r="Z35" s="1490" t="str">
        <f t="shared" si="13"/>
        <v>宗地形状</v>
      </c>
      <c r="AA35" s="1487">
        <f t="shared" si="3"/>
        <v>1</v>
      </c>
      <c r="AB35" s="1487">
        <f t="shared" si="4"/>
        <v>1</v>
      </c>
      <c r="AC35" s="1487">
        <f t="shared" si="5"/>
        <v>1</v>
      </c>
    </row>
    <row r="36" spans="1:31" s="113" customFormat="1" ht="15">
      <c r="A36" s="432"/>
      <c r="B36" s="381" t="s">
        <v>2332</v>
      </c>
      <c r="C36" s="2115" t="s">
        <v>3665</v>
      </c>
      <c r="D36" s="132">
        <v>100</v>
      </c>
      <c r="E36" s="2115" t="s">
        <v>3508</v>
      </c>
      <c r="F36" s="394">
        <f>SUMIF(112:112,E36,113:113)-SUMIF(112:112,C36,113:113)+100</f>
        <v>99.5</v>
      </c>
      <c r="G36" s="2115" t="s">
        <v>3508</v>
      </c>
      <c r="H36" s="394">
        <f>SUMIF(112:112,G36,113:113)-SUMIF(112:112,C36,113:113)+100</f>
        <v>99.5</v>
      </c>
      <c r="I36" s="2115" t="s">
        <v>3508</v>
      </c>
      <c r="J36" s="394">
        <f>SUMIF(112:112,I36,113:113)-SUMIF(112:112,C36,113:113)+100</f>
        <v>99.5</v>
      </c>
      <c r="K36" s="569">
        <v>0.5</v>
      </c>
      <c r="L36" s="2894"/>
      <c r="M36" s="2895"/>
      <c r="N36" s="2895"/>
      <c r="O36" s="2949"/>
      <c r="P36" s="3543"/>
      <c r="Q36" s="1486" t="str">
        <f t="shared" si="14"/>
        <v>宗地开发程度</v>
      </c>
      <c r="R36" s="710" t="s">
        <v>17</v>
      </c>
      <c r="S36" s="711">
        <f t="shared" si="10"/>
        <v>99.5</v>
      </c>
      <c r="T36" s="710" t="s">
        <v>17</v>
      </c>
      <c r="U36" s="711">
        <f t="shared" si="11"/>
        <v>99.5</v>
      </c>
      <c r="V36" s="710" t="s">
        <v>17</v>
      </c>
      <c r="W36" s="711">
        <f t="shared" si="12"/>
        <v>99.5</v>
      </c>
      <c r="X36" s="712"/>
      <c r="Y36" s="3543"/>
      <c r="Z36" s="55" t="str">
        <f t="shared" si="13"/>
        <v>宗地开发程度</v>
      </c>
      <c r="AA36" s="713">
        <f t="shared" si="3"/>
        <v>1.0050251256281406</v>
      </c>
      <c r="AB36" s="713">
        <f t="shared" si="4"/>
        <v>1.0050251256281406</v>
      </c>
      <c r="AC36" s="713">
        <f t="shared" si="5"/>
        <v>1.0050251256281406</v>
      </c>
    </row>
    <row r="37" spans="1:31" ht="15.75" thickBot="1">
      <c r="A37" s="431"/>
      <c r="B37" s="381" t="s">
        <v>2333</v>
      </c>
      <c r="C37" s="2041" t="s">
        <v>3501</v>
      </c>
      <c r="D37" s="394">
        <v>100</v>
      </c>
      <c r="E37" s="2041" t="s">
        <v>3501</v>
      </c>
      <c r="F37" s="394">
        <f>SUMIF(114:114,E37,115:115)-SUMIF(114:114,C37,115:115)+100</f>
        <v>100</v>
      </c>
      <c r="G37" s="2041" t="s">
        <v>3501</v>
      </c>
      <c r="H37" s="394">
        <f>SUMIF(114:114,G37,115:115)-SUMIF(114:114,C37,115:115)+100</f>
        <v>100</v>
      </c>
      <c r="I37" s="2041" t="s">
        <v>3501</v>
      </c>
      <c r="J37" s="394">
        <f>SUMIF(114:114,I37,115:115)-SUMIF(114:114,C37,115:115)+100</f>
        <v>100</v>
      </c>
      <c r="K37" s="569">
        <v>1</v>
      </c>
      <c r="L37" s="2899"/>
      <c r="M37" s="2893"/>
      <c r="N37" s="2893"/>
      <c r="O37" s="2951"/>
      <c r="P37" s="3543" t="s">
        <v>2143</v>
      </c>
      <c r="Q37" s="1486" t="str">
        <f t="shared" si="14"/>
        <v>工程地质条件</v>
      </c>
      <c r="R37" s="714" t="s">
        <v>17</v>
      </c>
      <c r="S37" s="715">
        <f t="shared" si="10"/>
        <v>100</v>
      </c>
      <c r="T37" s="714" t="s">
        <v>17</v>
      </c>
      <c r="U37" s="715">
        <f t="shared" si="11"/>
        <v>100</v>
      </c>
      <c r="V37" s="714" t="s">
        <v>17</v>
      </c>
      <c r="W37" s="715">
        <f t="shared" si="12"/>
        <v>100</v>
      </c>
      <c r="X37" s="1489"/>
      <c r="Y37" s="3543" t="s">
        <v>2143</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43"/>
      <c r="Q38" s="1486">
        <f t="shared" si="14"/>
        <v>111</v>
      </c>
      <c r="R38" s="714" t="s">
        <v>17</v>
      </c>
      <c r="S38" s="715">
        <f t="shared" si="10"/>
        <v>100</v>
      </c>
      <c r="T38" s="714" t="s">
        <v>17</v>
      </c>
      <c r="U38" s="715">
        <f t="shared" si="11"/>
        <v>100</v>
      </c>
      <c r="V38" s="714" t="s">
        <v>17</v>
      </c>
      <c r="W38" s="715">
        <f t="shared" si="12"/>
        <v>100</v>
      </c>
      <c r="X38" s="1489"/>
      <c r="Y38" s="3543"/>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43"/>
      <c r="Q39" s="1486">
        <f t="shared" si="14"/>
        <v>111</v>
      </c>
      <c r="R39" s="714" t="s">
        <v>17</v>
      </c>
      <c r="S39" s="715">
        <f t="shared" si="10"/>
        <v>100</v>
      </c>
      <c r="T39" s="714" t="s">
        <v>17</v>
      </c>
      <c r="U39" s="715">
        <f t="shared" si="11"/>
        <v>100</v>
      </c>
      <c r="V39" s="714" t="s">
        <v>17</v>
      </c>
      <c r="W39" s="715">
        <f t="shared" si="12"/>
        <v>100</v>
      </c>
      <c r="X39" s="1489"/>
      <c r="Y39" s="3543"/>
      <c r="Z39" s="1490">
        <f t="shared" si="13"/>
        <v>111</v>
      </c>
      <c r="AA39" s="1487">
        <f t="shared" si="3"/>
        <v>1</v>
      </c>
      <c r="AB39" s="1487">
        <f t="shared" si="4"/>
        <v>1</v>
      </c>
      <c r="AC39" s="1487">
        <f t="shared" si="5"/>
        <v>1</v>
      </c>
    </row>
    <row r="40" spans="1:31" s="430" customFormat="1" ht="15.75" hidden="1"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43"/>
      <c r="Q40" s="1486">
        <f t="shared" si="14"/>
        <v>111</v>
      </c>
      <c r="R40" s="717" t="s">
        <v>17</v>
      </c>
      <c r="S40" s="718">
        <f t="shared" si="10"/>
        <v>100</v>
      </c>
      <c r="T40" s="717" t="s">
        <v>17</v>
      </c>
      <c r="U40" s="718">
        <f t="shared" si="11"/>
        <v>100</v>
      </c>
      <c r="V40" s="717" t="s">
        <v>17</v>
      </c>
      <c r="W40" s="718">
        <f t="shared" si="12"/>
        <v>100</v>
      </c>
      <c r="X40" s="719"/>
      <c r="Y40" s="3543"/>
      <c r="Z40" s="720">
        <f t="shared" si="13"/>
        <v>111</v>
      </c>
      <c r="AA40" s="1487">
        <f t="shared" si="3"/>
        <v>1</v>
      </c>
      <c r="AB40" s="1487">
        <f t="shared" si="4"/>
        <v>1</v>
      </c>
      <c r="AC40" s="1487">
        <f t="shared" si="5"/>
        <v>1</v>
      </c>
    </row>
    <row r="41" spans="1:31" ht="15">
      <c r="A41" s="438" t="s">
        <v>2298</v>
      </c>
      <c r="B41" s="2117" t="s">
        <v>3507</v>
      </c>
      <c r="C41" s="638" t="s">
        <v>1</v>
      </c>
      <c r="D41" s="440"/>
      <c r="E41" s="441">
        <f>土地案例!AD6</f>
        <v>2071</v>
      </c>
      <c r="F41" s="442"/>
      <c r="G41" s="443">
        <f>土地案例!AD3</f>
        <v>2045</v>
      </c>
      <c r="H41" s="444"/>
      <c r="I41" s="441">
        <f>土地案例!AD5</f>
        <v>2036</v>
      </c>
      <c r="J41" s="444"/>
      <c r="K41" s="723"/>
      <c r="L41" s="2901"/>
      <c r="M41" s="2893"/>
      <c r="N41" s="2893"/>
      <c r="O41" s="2902"/>
      <c r="P41" s="3536" t="str">
        <f>A41</f>
        <v>成交单价</v>
      </c>
      <c r="Q41" s="3536"/>
      <c r="R41" s="3531">
        <f>E41</f>
        <v>2071</v>
      </c>
      <c r="S41" s="3531"/>
      <c r="T41" s="3531">
        <f>G41</f>
        <v>2045</v>
      </c>
      <c r="U41" s="3531"/>
      <c r="V41" s="3531">
        <f>I41</f>
        <v>2036</v>
      </c>
      <c r="W41" s="3531"/>
      <c r="X41" s="699"/>
      <c r="Y41" s="721"/>
      <c r="Z41" s="699"/>
      <c r="AA41" s="699"/>
      <c r="AB41" s="699"/>
      <c r="AC41" s="699"/>
    </row>
    <row r="42" spans="1:31" ht="15.75" thickBot="1">
      <c r="A42" s="445" t="s">
        <v>2247</v>
      </c>
      <c r="B42" s="639"/>
      <c r="C42" s="448">
        <f>R43</f>
        <v>1802</v>
      </c>
      <c r="D42" s="2487" t="s">
        <v>2636</v>
      </c>
      <c r="E42" s="448">
        <f>R42</f>
        <v>1785</v>
      </c>
      <c r="F42" s="2488"/>
      <c r="G42" s="447">
        <f>T42</f>
        <v>1806</v>
      </c>
      <c r="H42" s="2488"/>
      <c r="I42" s="448">
        <f>V42</f>
        <v>1816</v>
      </c>
      <c r="J42" s="2488"/>
      <c r="K42" s="2490">
        <f>F42+H42+J42</f>
        <v>0</v>
      </c>
      <c r="L42" s="2901"/>
      <c r="M42" s="2893"/>
      <c r="N42" s="2893"/>
      <c r="O42" s="2902"/>
      <c r="P42" s="3536" t="str">
        <f>A42</f>
        <v>比较价值（元/平方米）</v>
      </c>
      <c r="Q42" s="3536"/>
      <c r="R42" s="3564">
        <f>ROUND(PRODUCT(R41,AA7:AA40),0)</f>
        <v>1785</v>
      </c>
      <c r="S42" s="3564"/>
      <c r="T42" s="3564">
        <f>ROUND(PRODUCT(T41,AB7:AB40),0)</f>
        <v>1806</v>
      </c>
      <c r="U42" s="3564"/>
      <c r="V42" s="3564">
        <f>ROUND(PRODUCT(V41,AC7:AC40),0)</f>
        <v>1816</v>
      </c>
      <c r="W42" s="3564"/>
      <c r="X42" s="699"/>
      <c r="Y42" s="699"/>
      <c r="Z42" s="699"/>
      <c r="AA42" s="699"/>
      <c r="AB42" s="699"/>
      <c r="AC42" s="699"/>
    </row>
    <row r="43" spans="1:31" ht="15.75" thickBot="1">
      <c r="A43" s="449" t="s">
        <v>2248</v>
      </c>
      <c r="B43" s="450"/>
      <c r="C43" s="451">
        <f>R43</f>
        <v>1802</v>
      </c>
      <c r="D43" s="451"/>
      <c r="E43" s="451"/>
      <c r="F43" s="451"/>
      <c r="G43" s="451"/>
      <c r="H43" s="451"/>
      <c r="I43" s="451"/>
      <c r="J43" s="451"/>
      <c r="K43" s="724"/>
      <c r="L43" s="2901"/>
      <c r="M43" s="2893"/>
      <c r="N43" s="2893"/>
      <c r="O43" s="2902"/>
      <c r="P43" s="3533" t="str">
        <f>A43</f>
        <v>估价对象XX用房的比较价值（楼面单价，元/平方米）</v>
      </c>
      <c r="Q43" s="3534"/>
      <c r="R43" s="3565">
        <f>ROUND(IF(D42="简单平均",AVERAGE(R42:W42),R42*F42+T42*H42+V42*J42),0)</f>
        <v>1802</v>
      </c>
      <c r="S43" s="3565"/>
      <c r="T43" s="3565"/>
      <c r="U43" s="3565"/>
      <c r="V43" s="3565"/>
      <c r="W43" s="3565"/>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f>IF(E41&lt;E42,E42/E41-1,E41/E42-1)</f>
        <v>0.16022408963585444</v>
      </c>
      <c r="F46" s="457" t="str">
        <f>IF(OR(E46&gt;=0.3,E46&lt;=-0.3),"超过30%","")</f>
        <v/>
      </c>
      <c r="G46" s="456">
        <f>IF(G41&lt;G42,G42/G41-1,G41/G42-1)</f>
        <v>0.13233665559246965</v>
      </c>
      <c r="H46" s="457" t="str">
        <f>IF(OR(G46&gt;=0.3,G46&lt;=-0.3),"超过30%","")</f>
        <v/>
      </c>
      <c r="I46" s="456">
        <f>IF(I41&lt;I42,I42/I41-1,I41/I42-1)</f>
        <v>0.12114537444933915</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f>IF(E42&lt;G42,G42/E42-1,E42/G42-1)</f>
        <v>1.1764705882352899E-2</v>
      </c>
      <c r="F47" s="457" t="str">
        <f>IF(OR(E47&gt;=0.2,E47&lt;=-0.2),"超过20%","")</f>
        <v/>
      </c>
      <c r="G47" s="456">
        <f>IF(G42&lt;I42,I42/G42-1,G42/I42-1)</f>
        <v>5.5370985603544476E-3</v>
      </c>
      <c r="H47" s="457" t="str">
        <f>IF(OR(G47&gt;=0.2,G47&lt;=-0.2),"超过20%","")</f>
        <v/>
      </c>
      <c r="I47" s="456">
        <f>IF(I42&lt;E42,E42/I42-1,I42/E42-1)</f>
        <v>1.7366946778711423E-2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f>IF(E41&lt;G41,G41/E41-1,E41/G41-1)</f>
        <v>1.2713936430317929E-2</v>
      </c>
      <c r="F48" s="457" t="str">
        <f>IF(OR(E48&gt;=0.3,E48&lt;=-0.3),"超过30%","")</f>
        <v/>
      </c>
      <c r="G48" s="456">
        <f>IF(G41&lt;I41,I41/G41-1,G41/I41-1)</f>
        <v>4.4204322200391832E-3</v>
      </c>
      <c r="H48" s="457" t="str">
        <f>IF(OR(G48&gt;=0.3,G48&lt;=-0.3),"超过30%","")</f>
        <v/>
      </c>
      <c r="I48" s="456">
        <f>IF(I41&lt;E41,E41/I41-1,I41/E41-1)</f>
        <v>1.7190569744597317E-2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519" t="s">
        <v>2342</v>
      </c>
      <c r="H50" s="3566"/>
      <c r="I50" s="1490" t="s">
        <v>2377</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f>C43</f>
        <v>1802</v>
      </c>
      <c r="C51" s="646">
        <v>1</v>
      </c>
      <c r="D51" s="1056">
        <v>1</v>
      </c>
      <c r="E51" s="646">
        <f>'数据-汇总表'!E8+'数据-汇总表'!E9</f>
        <v>175962.71000000002</v>
      </c>
      <c r="F51" s="647">
        <f t="shared" ref="F51:F60" si="15">ROUND(B51*E51/10000,0)</f>
        <v>31708</v>
      </c>
      <c r="G51" s="3518"/>
      <c r="H51" s="3536"/>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f>ROUND($C$43*C52*D52,0)</f>
        <v>225</v>
      </c>
      <c r="C52" s="176">
        <f t="shared" ref="C52:C60" si="16">IF($C$50="北京市系数",I52,J52)</f>
        <v>0.5</v>
      </c>
      <c r="D52" s="1057">
        <v>0.25</v>
      </c>
      <c r="E52" s="650"/>
      <c r="F52" s="647">
        <f t="shared" si="15"/>
        <v>0</v>
      </c>
      <c r="G52" s="3226" t="s">
        <v>2347</v>
      </c>
      <c r="H52" s="999" t="str">
        <f>项目基本情况!B37</f>
        <v>十级</v>
      </c>
      <c r="I52" s="860">
        <f>SUMIF(修正!A57:A68,H52,修正!B57:B68)</f>
        <v>0.5</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f t="shared" ref="B53:B60" si="17">ROUND($C$43*C53*D53,0)</f>
        <v>90</v>
      </c>
      <c r="C53" s="176">
        <f t="shared" si="16"/>
        <v>0.2</v>
      </c>
      <c r="D53" s="1057">
        <v>0.25</v>
      </c>
      <c r="E53" s="650"/>
      <c r="F53" s="647">
        <f t="shared" si="15"/>
        <v>0</v>
      </c>
      <c r="G53" s="3227"/>
      <c r="H53" s="999" t="str">
        <f>项目基本情况!B37</f>
        <v>十级</v>
      </c>
      <c r="I53" s="860">
        <f>SUMIF(修正!A57:A68,H53,修正!C57:C68)</f>
        <v>0.2</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f t="shared" si="17"/>
        <v>90</v>
      </c>
      <c r="C54" s="176">
        <f t="shared" si="16"/>
        <v>0.2</v>
      </c>
      <c r="D54" s="1057">
        <v>0.25</v>
      </c>
      <c r="E54" s="650"/>
      <c r="F54" s="647">
        <f t="shared" si="15"/>
        <v>0</v>
      </c>
      <c r="G54" s="3227"/>
      <c r="H54" s="999" t="str">
        <f>项目基本情况!B37</f>
        <v>十级</v>
      </c>
      <c r="I54" s="860">
        <f>SUMIF(修正!A57:A68,H54,修正!D57:D68)</f>
        <v>0.2</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f t="shared" si="17"/>
        <v>90</v>
      </c>
      <c r="C56" s="176">
        <f t="shared" si="16"/>
        <v>0.2</v>
      </c>
      <c r="D56" s="1057">
        <v>0.25</v>
      </c>
      <c r="E56" s="223">
        <f>'数据-汇总表'!E11</f>
        <v>0</v>
      </c>
      <c r="F56" s="647">
        <f t="shared" si="15"/>
        <v>0</v>
      </c>
      <c r="G56" s="2122" t="s">
        <v>2351</v>
      </c>
      <c r="H56" s="999" t="str">
        <f>项目基本情况!C37</f>
        <v>十级</v>
      </c>
      <c r="I56" s="860">
        <f>SUMIF(修正!A57:A68,H56,修正!E57:E68)</f>
        <v>0.2</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f t="shared" si="17"/>
        <v>90</v>
      </c>
      <c r="C57" s="176">
        <f t="shared" si="16"/>
        <v>0.2</v>
      </c>
      <c r="D57" s="1057">
        <v>0.25</v>
      </c>
      <c r="E57" s="223">
        <f>'数据-汇总表'!E12</f>
        <v>28385.21</v>
      </c>
      <c r="F57" s="647">
        <f t="shared" si="15"/>
        <v>255</v>
      </c>
      <c r="G57" s="1004" t="s">
        <v>2353</v>
      </c>
      <c r="H57" s="999" t="str">
        <f>IF(G57="商业",项目基本情况!B37,IF(G57="办公",项目基本情况!C37,IF(G57="住宅",项目基本情况!D37,项目基本情况!E37)))</f>
        <v>十级</v>
      </c>
      <c r="I57" s="860">
        <f>SUMIF(修正!A57:A68,H57,修正!F57:F68)</f>
        <v>0.2</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f t="shared" si="17"/>
        <v>45</v>
      </c>
      <c r="C58" s="176">
        <f t="shared" si="16"/>
        <v>0.1</v>
      </c>
      <c r="D58" s="1057">
        <v>0.25</v>
      </c>
      <c r="E58" s="223">
        <f>'数据-汇总表'!E13</f>
        <v>30257.699999999997</v>
      </c>
      <c r="F58" s="647">
        <f t="shared" si="15"/>
        <v>136</v>
      </c>
      <c r="G58" s="1004" t="s">
        <v>2355</v>
      </c>
      <c r="H58" s="999" t="str">
        <f>IF(G58="商业",项目基本情况!B37,IF(G58="办公",项目基本情况!C37,IF(G58="住宅",项目基本情况!D37,项目基本情况!E37)))</f>
        <v>十级</v>
      </c>
      <c r="I58" s="860">
        <f>SUMIF(修正!A57:A68,H58,修正!G57:G68)</f>
        <v>0.1</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f t="shared" si="17"/>
        <v>45</v>
      </c>
      <c r="C59" s="176">
        <f t="shared" si="16"/>
        <v>0.1</v>
      </c>
      <c r="D59" s="1057">
        <v>0.25</v>
      </c>
      <c r="E59" s="223">
        <f>'数据-汇总表'!E14</f>
        <v>0</v>
      </c>
      <c r="F59" s="647">
        <f t="shared" si="15"/>
        <v>0</v>
      </c>
      <c r="G59" s="2122" t="s">
        <v>2347</v>
      </c>
      <c r="H59" s="999" t="str">
        <f>项目基本情况!B37</f>
        <v>十级</v>
      </c>
      <c r="I59" s="860">
        <f>SUMIF(修正!A57:A68,H59,修正!G57:G68)</f>
        <v>0.1</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f t="shared" si="17"/>
        <v>45</v>
      </c>
      <c r="C60" s="176">
        <f t="shared" si="16"/>
        <v>0.1</v>
      </c>
      <c r="D60" s="1057">
        <v>0.25</v>
      </c>
      <c r="E60" s="223">
        <f>'数据-汇总表'!E15</f>
        <v>0</v>
      </c>
      <c r="F60" s="647">
        <f t="shared" si="15"/>
        <v>0</v>
      </c>
      <c r="G60" s="2123" t="s">
        <v>2351</v>
      </c>
      <c r="H60" s="1009" t="str">
        <f>项目基本情况!C37</f>
        <v>十级</v>
      </c>
      <c r="I60" s="860">
        <f>SUMIF(修正!A57:A68,H60,修正!G57:G68)</f>
        <v>0.1</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234605.62</v>
      </c>
      <c r="F61" s="653">
        <f>IF(B41="楼面地价",SUM(F51:F60),ROUND(C43*E61/10000,0))</f>
        <v>32099</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v>43647</v>
      </c>
      <c r="O63" s="701">
        <v>43466</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2019-3</v>
      </c>
      <c r="O65" s="1296" t="str">
        <f t="shared" si="19"/>
        <v>2019-1</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f>C66-0.2</f>
        <v>99.8</v>
      </c>
      <c r="E66" s="552">
        <f t="shared" ref="E66:O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M66-0.4</f>
        <v>97.599999999999966</v>
      </c>
      <c r="O66" s="552">
        <f>N66-0.4</f>
        <v>97.19999999999996</v>
      </c>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3248" t="s">
        <v>3478</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0.5</v>
      </c>
      <c r="E75" s="506">
        <v>1</v>
      </c>
      <c r="F75" s="506">
        <v>1.5</v>
      </c>
      <c r="G75" s="506">
        <v>2</v>
      </c>
      <c r="H75" s="506">
        <v>2.5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95</v>
      </c>
      <c r="E84" s="501">
        <f>D84-$K15</f>
        <v>90</v>
      </c>
      <c r="F84" s="501">
        <f>E84-$K15</f>
        <v>85</v>
      </c>
      <c r="G84" s="501">
        <f>F84-$K15</f>
        <v>80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95</v>
      </c>
      <c r="E86" s="501">
        <f>D86-$K17</f>
        <v>90</v>
      </c>
      <c r="F86" s="501">
        <f>E86-$K17</f>
        <v>85</v>
      </c>
      <c r="G86" s="501">
        <f>F86-$K17</f>
        <v>80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2141</v>
      </c>
      <c r="B107" s="485" t="s">
        <v>2368</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3" t="str">
        <f t="shared" si="26"/>
        <v>(含)-</v>
      </c>
      <c r="L107" s="1453" t="str">
        <f t="shared" si="26"/>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100</v>
      </c>
      <c r="D109" s="548">
        <f>C109+1</f>
        <v>101</v>
      </c>
      <c r="E109" s="548">
        <f t="shared" ref="E109:F109" si="27">D109+1</f>
        <v>102</v>
      </c>
      <c r="F109" s="548">
        <f t="shared" si="27"/>
        <v>103</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3253" t="s">
        <v>3505</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8">C111-$K35</f>
        <v>99</v>
      </c>
      <c r="E111" s="501">
        <f t="shared" si="28"/>
        <v>98</v>
      </c>
      <c r="F111" s="501">
        <f t="shared" si="28"/>
        <v>97</v>
      </c>
      <c r="G111" s="501">
        <f t="shared" si="28"/>
        <v>96</v>
      </c>
      <c r="H111" s="501">
        <f t="shared" si="28"/>
        <v>95</v>
      </c>
      <c r="I111" s="501">
        <f t="shared" si="28"/>
        <v>94</v>
      </c>
      <c r="J111" s="501">
        <f t="shared" si="28"/>
        <v>93</v>
      </c>
      <c r="K111" s="501">
        <f t="shared" si="28"/>
        <v>92</v>
      </c>
      <c r="L111" s="501">
        <f t="shared" si="28"/>
        <v>91</v>
      </c>
      <c r="M111" s="502">
        <f t="shared" si="28"/>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3249" t="s">
        <v>3479</v>
      </c>
      <c r="D112" s="3249" t="s">
        <v>3480</v>
      </c>
      <c r="E112" s="3249" t="s">
        <v>3481</v>
      </c>
      <c r="F112" s="3249" t="s">
        <v>3482</v>
      </c>
      <c r="G112" s="3249" t="s">
        <v>3483</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9">C113-$K36</f>
        <v>99.5</v>
      </c>
      <c r="E113" s="501">
        <f t="shared" si="29"/>
        <v>99</v>
      </c>
      <c r="F113" s="501">
        <f t="shared" si="29"/>
        <v>98.5</v>
      </c>
      <c r="G113" s="501">
        <f t="shared" si="29"/>
        <v>98</v>
      </c>
      <c r="H113" s="501">
        <f t="shared" si="29"/>
        <v>97.5</v>
      </c>
      <c r="I113" s="501">
        <f t="shared" si="29"/>
        <v>97</v>
      </c>
      <c r="J113" s="501">
        <f t="shared" si="29"/>
        <v>96.5</v>
      </c>
      <c r="K113" s="501">
        <f t="shared" si="29"/>
        <v>96</v>
      </c>
      <c r="L113" s="501">
        <f t="shared" si="29"/>
        <v>95.5</v>
      </c>
      <c r="M113" s="502">
        <f t="shared" si="29"/>
        <v>95</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3249" t="s">
        <v>3506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30">C115-$K37</f>
        <v>99</v>
      </c>
      <c r="E115" s="501">
        <f t="shared" si="30"/>
        <v>98</v>
      </c>
      <c r="F115" s="501">
        <f t="shared" si="30"/>
        <v>97</v>
      </c>
      <c r="G115" s="501">
        <f t="shared" si="30"/>
        <v>96</v>
      </c>
      <c r="H115" s="501">
        <f t="shared" si="30"/>
        <v>95</v>
      </c>
      <c r="I115" s="501">
        <f t="shared" si="30"/>
        <v>94</v>
      </c>
      <c r="J115" s="501">
        <f t="shared" si="30"/>
        <v>93</v>
      </c>
      <c r="K115" s="501">
        <f t="shared" si="30"/>
        <v>92</v>
      </c>
      <c r="L115" s="501">
        <f t="shared" si="30"/>
        <v>91</v>
      </c>
      <c r="M115" s="502">
        <f t="shared" si="30"/>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t="str">
        <f>IF(E2="商业",项目基本情况!B37,IF(E2="办公",项目基本情况!C37,IF(E2="住宅",项目基本情况!D37,项目基本情况!E37)))</f>
        <v>十级</v>
      </c>
      <c r="H2" s="2135" t="s">
        <v>2392</v>
      </c>
      <c r="I2" s="2137" t="str">
        <f>IF(E2="商业",项目基本情况!B38,IF(E2="办公",项目基本情况!C38,IF(E2="住宅",项目基本情况!D38,项目基本情况!E38)))</f>
        <v>Ⅹ-房2</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1.47</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90"/>
      <c r="B4" s="3591"/>
      <c r="C4" s="3591"/>
      <c r="D4" s="3592"/>
      <c r="E4" s="3592"/>
      <c r="F4" s="3592"/>
      <c r="G4" s="3592"/>
      <c r="H4" s="3592"/>
      <c r="I4" s="3592"/>
      <c r="J4" s="3593"/>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71"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t="e">
        <f t="shared" si="0"/>
        <v>#DIV/0!</v>
      </c>
      <c r="U7" s="1327"/>
      <c r="V7" s="1326" t="e">
        <f t="shared" si="1"/>
        <v>#DIV/0!</v>
      </c>
      <c r="W7" s="1492" t="s">
        <v>2411</v>
      </c>
      <c r="X7" s="1328" t="str">
        <f>G2</f>
        <v>十级</v>
      </c>
      <c r="Y7" s="1328" t="s">
        <v>2412</v>
      </c>
      <c r="Z7" s="1329">
        <f>G3</f>
        <v>1.47</v>
      </c>
      <c r="AA7" s="1330"/>
      <c r="AB7" s="1330"/>
      <c r="AC7" s="1331"/>
      <c r="AD7" s="1332"/>
      <c r="AE7" s="1332"/>
      <c r="AF7" s="1332"/>
      <c r="AG7" s="1332"/>
      <c r="AH7" s="1332"/>
      <c r="AI7" s="1332"/>
      <c r="AJ7" s="1333"/>
    </row>
    <row r="8" spans="1:36" ht="15">
      <c r="A8" s="3594"/>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87" t="s">
        <v>2416</v>
      </c>
      <c r="X8" s="3588"/>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94"/>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89"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94"/>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8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94"/>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89" t="s">
        <v>2440</v>
      </c>
      <c r="X11" s="1338" t="s">
        <v>2441</v>
      </c>
      <c r="Y11" s="1339">
        <f>$G$3</f>
        <v>1.47</v>
      </c>
      <c r="Z11" s="1339">
        <f t="shared" ref="Z11:AJ11" si="3">$G$3</f>
        <v>1.47</v>
      </c>
      <c r="AA11" s="1339">
        <f t="shared" si="3"/>
        <v>1.47</v>
      </c>
      <c r="AB11" s="1339">
        <f t="shared" si="3"/>
        <v>1.47</v>
      </c>
      <c r="AC11" s="1339">
        <f t="shared" si="3"/>
        <v>1.47</v>
      </c>
      <c r="AD11" s="1339">
        <f t="shared" si="3"/>
        <v>1.47</v>
      </c>
      <c r="AE11" s="1339">
        <f t="shared" si="3"/>
        <v>1.47</v>
      </c>
      <c r="AF11" s="1339">
        <f t="shared" si="3"/>
        <v>1.47</v>
      </c>
      <c r="AG11" s="1339">
        <f t="shared" si="3"/>
        <v>1.47</v>
      </c>
      <c r="AH11" s="1339">
        <f t="shared" si="3"/>
        <v>1.47</v>
      </c>
      <c r="AI11" s="1339">
        <f t="shared" si="3"/>
        <v>1.47</v>
      </c>
      <c r="AJ11" s="1339">
        <f t="shared" si="3"/>
        <v>1.47</v>
      </c>
    </row>
    <row r="12" spans="1:36" ht="25.5" thickBot="1">
      <c r="A12" s="3571"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89"/>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95"/>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89"/>
      <c r="X13" s="1340"/>
      <c r="Y13" s="1337">
        <f>(-0.163*(Y12^2)-0.59*Y12+7617)*(10^(-4))/Y11</f>
        <v>0.51816326530612244</v>
      </c>
      <c r="Z13" s="1337">
        <f t="shared" ref="Z13:AJ13" si="5">(-0.163*(Z12^2)-0.59*Z12+7617)*(10^(-4))/Z11</f>
        <v>0.51816326530612244</v>
      </c>
      <c r="AA13" s="1337">
        <f t="shared" si="5"/>
        <v>0.51816326530612244</v>
      </c>
      <c r="AB13" s="1337">
        <f t="shared" si="5"/>
        <v>0.51816326530612244</v>
      </c>
      <c r="AC13" s="1337">
        <f t="shared" si="5"/>
        <v>0.51816326530612244</v>
      </c>
      <c r="AD13" s="1337">
        <f t="shared" si="5"/>
        <v>0.51816326530612244</v>
      </c>
      <c r="AE13" s="1337">
        <f t="shared" si="5"/>
        <v>0.51816326530612244</v>
      </c>
      <c r="AF13" s="1337">
        <f t="shared" si="5"/>
        <v>0.51816326530612244</v>
      </c>
      <c r="AG13" s="1337">
        <f t="shared" si="5"/>
        <v>0.51816326530612244</v>
      </c>
      <c r="AH13" s="1337">
        <f t="shared" si="5"/>
        <v>0.51816326530612244</v>
      </c>
      <c r="AI13" s="1337">
        <f t="shared" si="5"/>
        <v>0.51816326530612244</v>
      </c>
      <c r="AJ13" s="1337">
        <f t="shared" si="5"/>
        <v>0.51816326530612244</v>
      </c>
    </row>
    <row r="14" spans="1:36" ht="15">
      <c r="A14" s="3595"/>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96"/>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71" t="s">
        <v>2459</v>
      </c>
      <c r="B16" s="2158" t="s">
        <v>2460</v>
      </c>
      <c r="C16" s="2320" t="e">
        <f>ROUND(IF(F17="与级别开发程度一致",0,(G17-E17)/C17),0)</f>
        <v>#DIV/0!</v>
      </c>
      <c r="D16" s="3584" t="s">
        <v>2464</v>
      </c>
      <c r="E16" s="3585"/>
      <c r="F16" s="3584" t="s">
        <v>2461</v>
      </c>
      <c r="G16" s="3585"/>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72"/>
      <c r="B17" s="2331" t="s">
        <v>2463</v>
      </c>
      <c r="C17" s="2332">
        <f>SUMPRODUCT((修正!A2:A7=E2)*(修正!B1:M1=G2)*(修正!B2:M7))</f>
        <v>0</v>
      </c>
      <c r="D17" s="193" t="str">
        <f>IF(OR(G2="八级",G2="九级",G2="十级",G2="十一级",G2="十二级"),"五通一平","七通一平")</f>
        <v>五通一平</v>
      </c>
      <c r="E17" s="2321">
        <f>SUMPRODUCT((修正!B1:M1=G2)*(修正!B17:M17))</f>
        <v>185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44769</v>
      </c>
      <c r="H19" s="2201"/>
      <c r="I19" s="848" t="str">
        <f>IF(H19="季度增幅（自定义）",SUMIF(N21:N24,E2,O21:O24),"")</f>
        <v/>
      </c>
      <c r="J19" s="2198"/>
      <c r="K19" s="1240"/>
      <c r="L19" s="2202" t="s">
        <v>2470</v>
      </c>
      <c r="M19" s="1448">
        <f>ROUND(SUMIF(地价!B2:F2,E2,地价!B37:F37),0)</f>
        <v>0</v>
      </c>
      <c r="N19" s="2203"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存贷款利率!E21/100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0.56079999999999997</v>
      </c>
      <c r="E22" s="837">
        <f>ROUNDDOWN(G3,1)</f>
        <v>1.4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81"/>
      <c r="B33" s="2261" t="s">
        <v>2506</v>
      </c>
      <c r="C33" s="180" t="e">
        <f>ROUND(D5*C19*C20*C24*F33,0)</f>
        <v>#DIV/0!</v>
      </c>
      <c r="D33" s="2245"/>
      <c r="E33" s="176" t="e">
        <f>ROUND(C33*D33/10000,0)</f>
        <v>#DIV/0!</v>
      </c>
      <c r="F33" s="176">
        <f>SUMIF(修正!A57:A68,G2,修正!B57:B68)</f>
        <v>0.5</v>
      </c>
      <c r="G33" s="176" t="e">
        <f t="shared" ref="G33" si="6">ROUND(IF(E2="工业",C33*$M$39,C33*$M$38),0)</f>
        <v>#DIV/0!</v>
      </c>
      <c r="H33" s="176">
        <f>D33</f>
        <v>0</v>
      </c>
      <c r="I33" s="176" t="e">
        <f>ROUND(G33*H33/10000,0)</f>
        <v>#DIV/0!</v>
      </c>
      <c r="J33" s="3586"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82"/>
      <c r="B34" s="2178" t="s">
        <v>2507</v>
      </c>
      <c r="C34" s="180" t="e">
        <f>ROUND(D5*C19*C20*C24*F34,0)</f>
        <v>#DIV/0!</v>
      </c>
      <c r="D34" s="2245"/>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8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82"/>
      <c r="B35" s="2178" t="s">
        <v>2508</v>
      </c>
      <c r="C35" s="180" t="e">
        <f>ROUND(D5*C19*C20*C24*F35,0)</f>
        <v>#DIV/0!</v>
      </c>
      <c r="D35" s="2245"/>
      <c r="E35" s="176" t="e">
        <f t="shared" si="7"/>
        <v>#DIV/0!</v>
      </c>
      <c r="F35" s="176">
        <f>SUMIF(修正!A57:A68,G2,修正!D57:D68)</f>
        <v>0.2</v>
      </c>
      <c r="G35" s="176" t="e">
        <f>ROUND(IF(E2="工业",C35*$M$39,C35*$M$38),0)</f>
        <v>#DIV/0!</v>
      </c>
      <c r="H35" s="176">
        <f t="shared" si="8"/>
        <v>0</v>
      </c>
      <c r="I35" s="176" t="e">
        <f t="shared" si="9"/>
        <v>#DIV/0!</v>
      </c>
      <c r="J35" s="358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83"/>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83"/>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0.2</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0.2</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0.1</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2175</v>
      </c>
      <c r="K80" s="560" t="s">
        <v>2176</v>
      </c>
      <c r="L80" s="560" t="s">
        <v>2177</v>
      </c>
      <c r="M80" s="560" t="s">
        <v>2178</v>
      </c>
      <c r="N80" s="560" t="s">
        <v>2179</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73" t="s">
        <v>2547</v>
      </c>
      <c r="B90" s="3573"/>
      <c r="C90" s="3573"/>
      <c r="D90" s="3573"/>
      <c r="E90" s="3573"/>
      <c r="F90" s="3573"/>
      <c r="G90" s="3573"/>
      <c r="H90" s="3573"/>
      <c r="I90" s="3573"/>
      <c r="J90" s="3573"/>
      <c r="K90" s="2292"/>
      <c r="L90" s="2292"/>
      <c r="M90" s="2292"/>
      <c r="N90" s="2292"/>
    </row>
    <row r="91" spans="1:37">
      <c r="A91" s="3575" t="s">
        <v>2548</v>
      </c>
      <c r="B91" s="3575" t="s">
        <v>2549</v>
      </c>
      <c r="C91" s="2246" t="s">
        <v>2550</v>
      </c>
      <c r="D91" s="2247"/>
      <c r="E91" s="2247"/>
      <c r="F91" s="2247"/>
      <c r="G91" s="2247"/>
      <c r="H91" s="2247"/>
      <c r="I91" s="2247"/>
      <c r="J91" s="2293"/>
      <c r="K91" s="2294"/>
      <c r="L91" s="2294"/>
      <c r="M91" s="2294"/>
      <c r="N91" s="2294"/>
    </row>
    <row r="92" spans="1:37">
      <c r="A92" s="3575"/>
      <c r="B92" s="3575"/>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76"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77"/>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77"/>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77"/>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77"/>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77"/>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77"/>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8"/>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76" t="s">
        <v>2552</v>
      </c>
      <c r="B101" s="2299" t="s">
        <v>2553</v>
      </c>
      <c r="C101" s="2300">
        <f>$G$3</f>
        <v>1.47</v>
      </c>
      <c r="D101" s="2300">
        <f t="shared" ref="D101:N101" si="31">$G$3</f>
        <v>1.47</v>
      </c>
      <c r="E101" s="2300">
        <f t="shared" si="31"/>
        <v>1.47</v>
      </c>
      <c r="F101" s="2300">
        <f t="shared" si="31"/>
        <v>1.47</v>
      </c>
      <c r="G101" s="2300">
        <f t="shared" si="31"/>
        <v>1.47</v>
      </c>
      <c r="H101" s="2300">
        <f t="shared" si="31"/>
        <v>1.47</v>
      </c>
      <c r="I101" s="2300">
        <f t="shared" si="31"/>
        <v>1.47</v>
      </c>
      <c r="J101" s="2300">
        <f t="shared" si="31"/>
        <v>1.47</v>
      </c>
      <c r="K101" s="2300">
        <f t="shared" si="31"/>
        <v>1.47</v>
      </c>
      <c r="L101" s="2300">
        <f t="shared" si="31"/>
        <v>1.47</v>
      </c>
      <c r="M101" s="2300">
        <f t="shared" si="31"/>
        <v>1.47</v>
      </c>
      <c r="N101" s="2300">
        <f t="shared" si="31"/>
        <v>1.47</v>
      </c>
    </row>
    <row r="102" spans="1:14">
      <c r="A102" s="3577"/>
      <c r="B102" s="2295">
        <v>1</v>
      </c>
      <c r="C102" s="2296">
        <f>1.9362/C101</f>
        <v>1.3171428571428572</v>
      </c>
      <c r="D102" s="2296">
        <f>1.9362/D101</f>
        <v>1.3171428571428572</v>
      </c>
      <c r="E102" s="2296">
        <f>1.8629/E101</f>
        <v>1.2672789115646259</v>
      </c>
      <c r="F102" s="2296">
        <f>1.8629/F101</f>
        <v>1.2672789115646259</v>
      </c>
      <c r="G102" s="2296">
        <f>1.8629/G101</f>
        <v>1.2672789115646259</v>
      </c>
      <c r="H102" s="2296">
        <f>1.8629/H101</f>
        <v>1.2672789115646259</v>
      </c>
      <c r="I102" s="2296">
        <f>1.8629/I101</f>
        <v>1.2672789115646259</v>
      </c>
      <c r="J102" s="2296">
        <f>1.942/J101</f>
        <v>1.3210884353741497</v>
      </c>
      <c r="K102" s="2296">
        <f>1.942/K101</f>
        <v>1.3210884353741497</v>
      </c>
      <c r="L102" s="2296">
        <f>1.942/L101</f>
        <v>1.3210884353741497</v>
      </c>
      <c r="M102" s="2296">
        <f>1.942/M101</f>
        <v>1.3210884353741497</v>
      </c>
      <c r="N102" s="2296">
        <f>1.942/N101</f>
        <v>1.3210884353741497</v>
      </c>
    </row>
    <row r="103" spans="1:14">
      <c r="A103" s="3577"/>
      <c r="B103" s="2295">
        <v>2</v>
      </c>
      <c r="C103" s="2296">
        <f>1.4198/C101</f>
        <v>0.96585034013605442</v>
      </c>
      <c r="D103" s="2296">
        <f>1.4198/D101</f>
        <v>0.96585034013605442</v>
      </c>
      <c r="E103" s="2296">
        <f>1.3372/E101</f>
        <v>0.90965986394557818</v>
      </c>
      <c r="F103" s="2296">
        <f>1.3372/F101</f>
        <v>0.90965986394557818</v>
      </c>
      <c r="G103" s="2296">
        <f>1.3372/G101</f>
        <v>0.90965986394557818</v>
      </c>
      <c r="H103" s="2296">
        <f>1.3372/H101</f>
        <v>0.90965986394557818</v>
      </c>
      <c r="I103" s="2296">
        <f>1.3372/I101</f>
        <v>0.90965986394557818</v>
      </c>
      <c r="J103" s="2296">
        <f>1.2799/J101</f>
        <v>0.87068027210884358</v>
      </c>
      <c r="K103" s="2296">
        <f>1.2799/K101</f>
        <v>0.87068027210884358</v>
      </c>
      <c r="L103" s="2296">
        <f>1.2799/L101</f>
        <v>0.87068027210884358</v>
      </c>
      <c r="M103" s="2296">
        <f>1.2799/M101</f>
        <v>0.87068027210884358</v>
      </c>
      <c r="N103" s="2296">
        <f>1.2799/N101</f>
        <v>0.87068027210884358</v>
      </c>
    </row>
    <row r="104" spans="1:14">
      <c r="A104" s="3577"/>
      <c r="B104" s="2295">
        <v>3</v>
      </c>
      <c r="C104" s="2296">
        <f>1.1594/C101</f>
        <v>0.78870748299319726</v>
      </c>
      <c r="D104" s="2296">
        <f>1.1594/D101</f>
        <v>0.78870748299319726</v>
      </c>
      <c r="E104" s="2296">
        <f>1.0788/E101</f>
        <v>0.73387755102040819</v>
      </c>
      <c r="F104" s="2296">
        <f>1.0788/F101</f>
        <v>0.73387755102040819</v>
      </c>
      <c r="G104" s="2296">
        <f>1.0788/G101</f>
        <v>0.73387755102040819</v>
      </c>
      <c r="H104" s="2296">
        <f>1.0788/H101</f>
        <v>0.73387755102040819</v>
      </c>
      <c r="I104" s="2296">
        <f>1.0788/I101</f>
        <v>0.73387755102040819</v>
      </c>
      <c r="J104" s="2296">
        <f>1.0072/J101</f>
        <v>0.68517006802721092</v>
      </c>
      <c r="K104" s="2296">
        <f>1.0072/K101</f>
        <v>0.68517006802721092</v>
      </c>
      <c r="L104" s="2296">
        <f>1.0072/L101</f>
        <v>0.68517006802721092</v>
      </c>
      <c r="M104" s="2296">
        <f>1.0072/M101</f>
        <v>0.68517006802721092</v>
      </c>
      <c r="N104" s="2296">
        <f>1.0072/N101</f>
        <v>0.68517006802721092</v>
      </c>
    </row>
    <row r="105" spans="1:14">
      <c r="A105" s="3577"/>
      <c r="B105" s="2295">
        <v>4</v>
      </c>
      <c r="C105" s="2296">
        <f>0.9622/C101</f>
        <v>0.6545578231292517</v>
      </c>
      <c r="D105" s="2296">
        <f>0.9622/D101</f>
        <v>0.6545578231292517</v>
      </c>
      <c r="E105" s="2296">
        <f>0.8656/E101</f>
        <v>0.58884353741496598</v>
      </c>
      <c r="F105" s="2296">
        <f>0.8656/F101</f>
        <v>0.58884353741496598</v>
      </c>
      <c r="G105" s="2296">
        <f>0.8656/G101</f>
        <v>0.58884353741496598</v>
      </c>
      <c r="H105" s="2296">
        <f>0.8656/H101</f>
        <v>0.58884353741496598</v>
      </c>
      <c r="I105" s="2296">
        <f>0.8656/I101</f>
        <v>0.58884353741496598</v>
      </c>
      <c r="J105" s="2296">
        <f>0.7525/J101</f>
        <v>0.51190476190476186</v>
      </c>
      <c r="K105" s="2296">
        <f>0.7525/K101</f>
        <v>0.51190476190476186</v>
      </c>
      <c r="L105" s="2296">
        <f>0.7525/L101</f>
        <v>0.51190476190476186</v>
      </c>
      <c r="M105" s="2296">
        <f>0.7525/M101</f>
        <v>0.51190476190476186</v>
      </c>
      <c r="N105" s="2296">
        <f>0.7525/N101</f>
        <v>0.51190476190476186</v>
      </c>
    </row>
    <row r="106" spans="1:14">
      <c r="A106" s="3577"/>
      <c r="B106" s="2295">
        <v>5</v>
      </c>
      <c r="C106" s="2296">
        <f>0.8417/C101</f>
        <v>0.5725850340136055</v>
      </c>
      <c r="D106" s="2296">
        <f>0.8417/D101</f>
        <v>0.5725850340136055</v>
      </c>
      <c r="E106" s="2296">
        <f>0.7371/E101</f>
        <v>0.50142857142857145</v>
      </c>
      <c r="F106" s="2296">
        <f>0.7371/F101</f>
        <v>0.50142857142857145</v>
      </c>
      <c r="G106" s="2296">
        <f>0.7371/G101</f>
        <v>0.50142857142857145</v>
      </c>
      <c r="H106" s="2296">
        <f>0.7371/H101</f>
        <v>0.50142857142857145</v>
      </c>
      <c r="I106" s="2296">
        <f>0.7371/I101</f>
        <v>0.50142857142857145</v>
      </c>
      <c r="J106" s="2296">
        <f>0.5659/J101</f>
        <v>0.38496598639455781</v>
      </c>
      <c r="K106" s="2296">
        <f>0.5659/K101</f>
        <v>0.38496598639455781</v>
      </c>
      <c r="L106" s="2296">
        <f>0.5659/L101</f>
        <v>0.38496598639455781</v>
      </c>
      <c r="M106" s="2296">
        <f>0.5659/M101</f>
        <v>0.38496598639455781</v>
      </c>
      <c r="N106" s="2296">
        <f>0.5659/N101</f>
        <v>0.38496598639455781</v>
      </c>
    </row>
    <row r="107" spans="1:14">
      <c r="A107" s="3577"/>
      <c r="B107" s="2295">
        <v>6</v>
      </c>
      <c r="C107" s="2296">
        <f>0.7608/C101</f>
        <v>0.51755102040816325</v>
      </c>
      <c r="D107" s="2296">
        <f>0.7608/D101</f>
        <v>0.51755102040816325</v>
      </c>
      <c r="E107" s="2296">
        <f>0.6482/E101</f>
        <v>0.44095238095238098</v>
      </c>
      <c r="F107" s="2296">
        <f>0.6482/F101</f>
        <v>0.44095238095238098</v>
      </c>
      <c r="G107" s="2296">
        <f>0.6482/G101</f>
        <v>0.44095238095238098</v>
      </c>
      <c r="H107" s="2296">
        <f>0.6482/H101</f>
        <v>0.44095238095238098</v>
      </c>
      <c r="I107" s="2296">
        <f>0.6482/I101</f>
        <v>0.44095238095238098</v>
      </c>
      <c r="J107" s="2296">
        <f>0.4525/J101</f>
        <v>0.30782312925170069</v>
      </c>
      <c r="K107" s="2296">
        <f>0.4525/K101</f>
        <v>0.30782312925170069</v>
      </c>
      <c r="L107" s="2296">
        <f>0.4525/L101</f>
        <v>0.30782312925170069</v>
      </c>
      <c r="M107" s="2296">
        <f>0.4525/M101</f>
        <v>0.30782312925170069</v>
      </c>
      <c r="N107" s="2296">
        <f>0.4525/N101</f>
        <v>0.30782312925170069</v>
      </c>
    </row>
    <row r="108" spans="1:14">
      <c r="A108" s="3577"/>
      <c r="B108" s="3579"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8"/>
      <c r="B109" s="3580"/>
      <c r="C109" s="2298">
        <f>(-0.163*(C108^2)-0.59*C108+7617)*(10^(-4))/C101</f>
        <v>0.51816326530612244</v>
      </c>
      <c r="D109" s="2298">
        <f>(-0.163*(D108^2)-0.59*D108+7617)*(10^(-4))/D101</f>
        <v>0.51816326530612244</v>
      </c>
      <c r="E109" s="2298">
        <f>(-0.161*(E108^2)-7.509*E108+6533)*(10^(-4))/E101</f>
        <v>0.44442176870748301</v>
      </c>
      <c r="F109" s="2298">
        <f>(-0.161*(F108^2)-7.509*F108+6533)*(10^(-4))/F101</f>
        <v>0.44442176870748301</v>
      </c>
      <c r="G109" s="2298">
        <f>(-0.161*(G108^2)-7.509*G108+6533)*(10^(-4))/G101</f>
        <v>0.44442176870748301</v>
      </c>
      <c r="H109" s="2298">
        <f>(-0.161*(H108^2)-7.509*H108+6533)*(10^(-4))/H101</f>
        <v>0.44442176870748301</v>
      </c>
      <c r="I109" s="2298">
        <f>(-0.161*(I108^2)-7.509*I108+6533)*(10^(-4))/I101</f>
        <v>0.44442176870748301</v>
      </c>
      <c r="J109" s="2298">
        <f>(-0.214*(J108^2)-21.991*J108+4665)*(10^(-4))/J101</f>
        <v>0.31734693877551023</v>
      </c>
      <c r="K109" s="2298">
        <f>(-0.214*(K108^2)-21.991*K108+4665)*(10^(-4))/K101</f>
        <v>0.31734693877551023</v>
      </c>
      <c r="L109" s="2298">
        <f>(-0.214*(L108^2)-21.991*L108+4665)*(10^(-4))/L101</f>
        <v>0.31734693877551023</v>
      </c>
      <c r="M109" s="2298">
        <f>(-0.214*(M108^2)-21.991*M108+4665)*(10^(-4))/M101</f>
        <v>0.31734693877551023</v>
      </c>
      <c r="N109" s="2298">
        <f>(-0.214*(N108^2)-21.991*N108+4665)*(10^(-4))/N101</f>
        <v>0.31734693877551023</v>
      </c>
    </row>
    <row r="110" spans="1:14">
      <c r="A110" s="3574" t="s">
        <v>2555</v>
      </c>
      <c r="B110" s="3574"/>
      <c r="C110" s="3574"/>
      <c r="D110" s="3574"/>
      <c r="E110" s="3574"/>
      <c r="F110" s="3574"/>
      <c r="G110" s="3574"/>
      <c r="H110" s="3574"/>
      <c r="I110" s="3574"/>
      <c r="J110" s="3574"/>
      <c r="K110" s="2301"/>
      <c r="L110" s="2301"/>
      <c r="M110" s="2301"/>
      <c r="N110" s="2301"/>
    </row>
    <row r="112" spans="1:14" ht="13.5" thickBot="1"/>
    <row r="113" spans="1:13" ht="25.5" thickBot="1">
      <c r="A113" s="824" t="s">
        <v>2556</v>
      </c>
      <c r="B113" s="1178">
        <f>G3</f>
        <v>1.47</v>
      </c>
      <c r="C113" s="825" t="s">
        <v>2557</v>
      </c>
      <c r="D113" s="826">
        <f>SUMPRODUCT((A115:A118=F113)*(B114:M114=H113)*B115:M118)</f>
        <v>0</v>
      </c>
      <c r="E113" s="2137" t="s">
        <v>2390</v>
      </c>
      <c r="F113" s="2303">
        <f>E2</f>
        <v>0</v>
      </c>
      <c r="G113" s="2137" t="s">
        <v>2391</v>
      </c>
      <c r="H113" s="2303" t="str">
        <f>G2</f>
        <v>十级</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0.91969999999999996</v>
      </c>
      <c r="C115" s="831">
        <f>B115</f>
        <v>0.91969999999999996</v>
      </c>
      <c r="D115" s="831">
        <f>ROUND(0.8331-0.0109*B113,4)</f>
        <v>0.81710000000000005</v>
      </c>
      <c r="E115" s="831">
        <f>D115</f>
        <v>0.81710000000000005</v>
      </c>
      <c r="F115" s="831">
        <f>E115</f>
        <v>0.81710000000000005</v>
      </c>
      <c r="G115" s="831">
        <f>F115</f>
        <v>0.81710000000000005</v>
      </c>
      <c r="H115" s="831">
        <f>G115</f>
        <v>0.81710000000000005</v>
      </c>
      <c r="I115" s="831">
        <f>ROUND(0.689-0.0155*B113,4)</f>
        <v>0.66620000000000001</v>
      </c>
      <c r="J115" s="831">
        <f t="shared" ref="J115:M118" si="33">I115</f>
        <v>0.66620000000000001</v>
      </c>
      <c r="K115" s="831">
        <f t="shared" si="33"/>
        <v>0.66620000000000001</v>
      </c>
      <c r="L115" s="831">
        <f t="shared" si="33"/>
        <v>0.66620000000000001</v>
      </c>
      <c r="M115" s="832">
        <f t="shared" si="33"/>
        <v>0.66620000000000001</v>
      </c>
    </row>
    <row r="116" spans="1:13">
      <c r="A116" s="830" t="s">
        <v>2456</v>
      </c>
      <c r="B116" s="831">
        <f>ROUND(0.949-0.012*B113,4)</f>
        <v>0.93140000000000001</v>
      </c>
      <c r="C116" s="831">
        <f>B116</f>
        <v>0.93140000000000001</v>
      </c>
      <c r="D116" s="831">
        <f>ROUND(0.8567-0.013*B113,4)</f>
        <v>0.83760000000000001</v>
      </c>
      <c r="E116" s="831">
        <f t="shared" ref="E116:H117" si="34">D116</f>
        <v>0.83760000000000001</v>
      </c>
      <c r="F116" s="831">
        <f t="shared" si="34"/>
        <v>0.83760000000000001</v>
      </c>
      <c r="G116" s="831">
        <f t="shared" si="34"/>
        <v>0.83760000000000001</v>
      </c>
      <c r="H116" s="831">
        <f t="shared" si="34"/>
        <v>0.83760000000000001</v>
      </c>
      <c r="I116" s="831">
        <f>ROUND(0.7694-0.014*B113,4)</f>
        <v>0.74880000000000002</v>
      </c>
      <c r="J116" s="831">
        <f t="shared" si="33"/>
        <v>0.74880000000000002</v>
      </c>
      <c r="K116" s="831">
        <f t="shared" si="33"/>
        <v>0.74880000000000002</v>
      </c>
      <c r="L116" s="831">
        <f t="shared" si="33"/>
        <v>0.74880000000000002</v>
      </c>
      <c r="M116" s="832">
        <f t="shared" si="33"/>
        <v>0.74880000000000002</v>
      </c>
    </row>
    <row r="117" spans="1:13">
      <c r="A117" s="830" t="s">
        <v>2457</v>
      </c>
      <c r="B117" s="831">
        <f>ROUND(0.8808-0.006*B113,4)</f>
        <v>0.872</v>
      </c>
      <c r="C117" s="831">
        <f>B117</f>
        <v>0.872</v>
      </c>
      <c r="D117" s="831">
        <f>ROUND(0.8748-0.008*B113,4)</f>
        <v>0.86299999999999999</v>
      </c>
      <c r="E117" s="831">
        <f t="shared" si="34"/>
        <v>0.86299999999999999</v>
      </c>
      <c r="F117" s="831">
        <f t="shared" si="34"/>
        <v>0.86299999999999999</v>
      </c>
      <c r="G117" s="831">
        <f t="shared" si="34"/>
        <v>0.86299999999999999</v>
      </c>
      <c r="H117" s="831">
        <f t="shared" si="34"/>
        <v>0.86299999999999999</v>
      </c>
      <c r="I117" s="831">
        <f>ROUND(0.7412-0.0095*B113,4)</f>
        <v>0.72719999999999996</v>
      </c>
      <c r="J117" s="831">
        <f t="shared" si="33"/>
        <v>0.72719999999999996</v>
      </c>
      <c r="K117" s="831">
        <f t="shared" si="33"/>
        <v>0.72719999999999996</v>
      </c>
      <c r="L117" s="831">
        <f t="shared" si="33"/>
        <v>0.72719999999999996</v>
      </c>
      <c r="M117" s="832">
        <f t="shared" si="33"/>
        <v>0.72719999999999996</v>
      </c>
    </row>
    <row r="118" spans="1:13" ht="13.5" thickBot="1">
      <c r="A118" s="670" t="s">
        <v>2458</v>
      </c>
      <c r="B118" s="833">
        <f>ROUND(0.7275-0.01*B113,4)</f>
        <v>0.71279999999999999</v>
      </c>
      <c r="C118" s="833">
        <f>B118</f>
        <v>0.71279999999999999</v>
      </c>
      <c r="D118" s="833">
        <f>ROUND(0.7043-0.012*B113,4)</f>
        <v>0.68669999999999998</v>
      </c>
      <c r="E118" s="833">
        <f>D118</f>
        <v>0.68669999999999998</v>
      </c>
      <c r="F118" s="833">
        <f>E118</f>
        <v>0.68669999999999998</v>
      </c>
      <c r="G118" s="833">
        <f>ROUND(0.6299-0.0122*B113,4)</f>
        <v>0.61199999999999999</v>
      </c>
      <c r="H118" s="833">
        <f>G118</f>
        <v>0.61199999999999999</v>
      </c>
      <c r="I118" s="833">
        <f>ROUND(0.5667-0.0136*B113,4)</f>
        <v>0.54669999999999996</v>
      </c>
      <c r="J118" s="833">
        <f t="shared" si="33"/>
        <v>0.54669999999999996</v>
      </c>
      <c r="K118" s="833">
        <f t="shared" si="33"/>
        <v>0.54669999999999996</v>
      </c>
      <c r="L118" s="833">
        <f t="shared" si="33"/>
        <v>0.54669999999999996</v>
      </c>
      <c r="M118" s="834">
        <f t="shared" si="33"/>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604" t="s">
        <v>2952</v>
      </c>
      <c r="B20" s="3597" t="s">
        <v>2953</v>
      </c>
      <c r="C20" s="3211" t="s">
        <v>2954</v>
      </c>
      <c r="D20" s="3212"/>
      <c r="E20" s="3213">
        <v>1</v>
      </c>
      <c r="F20" s="3214" t="s">
        <v>2955</v>
      </c>
      <c r="G20" s="807"/>
      <c r="H20" s="801"/>
      <c r="I20" s="801"/>
    </row>
    <row r="21" spans="1:13" s="808" customFormat="1" ht="19.5" customHeight="1">
      <c r="A21" s="3605"/>
      <c r="B21" s="3598"/>
      <c r="C21" s="805" t="s">
        <v>2956</v>
      </c>
      <c r="D21" s="806"/>
      <c r="E21" s="3215">
        <v>1</v>
      </c>
      <c r="F21" s="3214" t="s">
        <v>2957</v>
      </c>
      <c r="G21" s="807"/>
      <c r="H21" s="801"/>
      <c r="I21" s="801"/>
    </row>
    <row r="22" spans="1:13" s="808" customFormat="1" ht="19.5" customHeight="1">
      <c r="A22" s="3605"/>
      <c r="B22" s="3598"/>
      <c r="C22" s="805" t="s">
        <v>2958</v>
      </c>
      <c r="D22" s="806"/>
      <c r="E22" s="3215">
        <v>0.9</v>
      </c>
      <c r="F22" s="3214" t="s">
        <v>2959</v>
      </c>
      <c r="G22" s="807"/>
      <c r="H22" s="801"/>
      <c r="I22" s="801"/>
    </row>
    <row r="23" spans="1:13" s="808" customFormat="1" ht="19.5" customHeight="1">
      <c r="A23" s="3605"/>
      <c r="B23" s="3598"/>
      <c r="C23" s="805" t="s">
        <v>2960</v>
      </c>
      <c r="D23" s="806"/>
      <c r="E23" s="3215">
        <v>0.9</v>
      </c>
      <c r="F23" s="3214" t="s">
        <v>2961</v>
      </c>
      <c r="G23" s="807"/>
      <c r="H23" s="801"/>
      <c r="I23" s="801"/>
    </row>
    <row r="24" spans="1:13" s="808" customFormat="1" ht="19.5" customHeight="1">
      <c r="A24" s="3605"/>
      <c r="B24" s="3598"/>
      <c r="C24" s="805" t="s">
        <v>2962</v>
      </c>
      <c r="D24" s="806"/>
      <c r="E24" s="3215">
        <v>0.8</v>
      </c>
      <c r="F24" s="3214" t="s">
        <v>2963</v>
      </c>
      <c r="G24" s="807"/>
      <c r="H24" s="801"/>
      <c r="I24" s="801"/>
    </row>
    <row r="25" spans="1:13" s="808" customFormat="1" ht="19.5" customHeight="1" thickBot="1">
      <c r="A25" s="3606"/>
      <c r="B25" s="3599"/>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600" t="s">
        <v>2969</v>
      </c>
      <c r="B27" s="3597" t="s">
        <v>2969</v>
      </c>
      <c r="C27" s="3211" t="s">
        <v>2970</v>
      </c>
      <c r="D27" s="3212"/>
      <c r="E27" s="3213">
        <v>1</v>
      </c>
      <c r="F27" s="3214" t="s">
        <v>2971</v>
      </c>
      <c r="G27" s="807"/>
      <c r="H27" s="801"/>
      <c r="I27" s="801"/>
    </row>
    <row r="28" spans="1:13" s="808" customFormat="1" ht="19.5" customHeight="1">
      <c r="A28" s="3601"/>
      <c r="B28" s="3598"/>
      <c r="C28" s="805" t="s">
        <v>2972</v>
      </c>
      <c r="D28" s="806"/>
      <c r="E28" s="3215">
        <v>1</v>
      </c>
      <c r="F28" s="3214" t="s">
        <v>2973</v>
      </c>
      <c r="G28" s="807"/>
      <c r="H28" s="801"/>
      <c r="I28" s="801"/>
    </row>
    <row r="29" spans="1:13" s="808" customFormat="1" ht="19.5" customHeight="1">
      <c r="A29" s="3601"/>
      <c r="B29" s="3598"/>
      <c r="C29" s="805" t="s">
        <v>2974</v>
      </c>
      <c r="D29" s="806"/>
      <c r="E29" s="3215">
        <v>0.8</v>
      </c>
      <c r="F29" s="3214" t="s">
        <v>2975</v>
      </c>
      <c r="G29" s="807"/>
      <c r="H29" s="801"/>
      <c r="I29" s="801"/>
    </row>
    <row r="30" spans="1:13" s="808" customFormat="1" ht="19.5" customHeight="1">
      <c r="A30" s="3601"/>
      <c r="B30" s="3598"/>
      <c r="C30" s="805" t="s">
        <v>2976</v>
      </c>
      <c r="D30" s="806"/>
      <c r="E30" s="3215">
        <v>0.8</v>
      </c>
      <c r="F30" s="3214" t="s">
        <v>2977</v>
      </c>
      <c r="G30" s="807"/>
      <c r="H30" s="801"/>
      <c r="I30" s="801"/>
    </row>
    <row r="31" spans="1:13" s="808" customFormat="1" ht="19.5" customHeight="1">
      <c r="A31" s="3601"/>
      <c r="B31" s="3598"/>
      <c r="C31" s="805" t="s">
        <v>2978</v>
      </c>
      <c r="D31" s="806"/>
      <c r="E31" s="3215">
        <v>0.8</v>
      </c>
      <c r="F31" s="3214" t="s">
        <v>2979</v>
      </c>
      <c r="G31" s="807"/>
      <c r="H31" s="801"/>
      <c r="I31" s="801"/>
    </row>
    <row r="32" spans="1:13" s="808" customFormat="1" ht="19.5" customHeight="1">
      <c r="A32" s="3601"/>
      <c r="B32" s="3598"/>
      <c r="C32" s="805" t="s">
        <v>2980</v>
      </c>
      <c r="D32" s="806"/>
      <c r="E32" s="3215">
        <v>0.7</v>
      </c>
      <c r="F32" s="3214" t="s">
        <v>2981</v>
      </c>
      <c r="G32" s="807"/>
      <c r="H32" s="801"/>
      <c r="I32" s="801"/>
    </row>
    <row r="33" spans="1:9" s="808" customFormat="1" ht="19.5" customHeight="1">
      <c r="A33" s="3601"/>
      <c r="B33" s="3598"/>
      <c r="C33" s="805" t="s">
        <v>2982</v>
      </c>
      <c r="D33" s="806"/>
      <c r="E33" s="3215">
        <v>0.8</v>
      </c>
      <c r="F33" s="3214" t="s">
        <v>2983</v>
      </c>
      <c r="G33" s="807"/>
      <c r="H33" s="801"/>
      <c r="I33" s="801"/>
    </row>
    <row r="34" spans="1:9" s="808" customFormat="1" ht="19.5" customHeight="1">
      <c r="A34" s="3601"/>
      <c r="B34" s="3598"/>
      <c r="C34" s="805" t="s">
        <v>2984</v>
      </c>
      <c r="D34" s="806"/>
      <c r="E34" s="3215">
        <v>0.6</v>
      </c>
      <c r="F34" s="3214" t="s">
        <v>2985</v>
      </c>
      <c r="G34" s="807"/>
      <c r="H34" s="801"/>
      <c r="I34" s="801"/>
    </row>
    <row r="35" spans="1:9" s="808" customFormat="1" ht="19.5" customHeight="1">
      <c r="A35" s="3601"/>
      <c r="B35" s="3598"/>
      <c r="C35" s="805" t="s">
        <v>2986</v>
      </c>
      <c r="D35" s="806"/>
      <c r="E35" s="3215">
        <v>0.2</v>
      </c>
      <c r="F35" s="3214" t="s">
        <v>2987</v>
      </c>
      <c r="G35" s="807"/>
      <c r="H35" s="801"/>
      <c r="I35" s="801"/>
    </row>
    <row r="36" spans="1:9" s="808" customFormat="1" ht="19.5" customHeight="1">
      <c r="A36" s="3601"/>
      <c r="B36" s="3598"/>
      <c r="C36" s="805" t="s">
        <v>2988</v>
      </c>
      <c r="D36" s="806"/>
      <c r="E36" s="3215">
        <v>0.2</v>
      </c>
      <c r="F36" s="3214" t="s">
        <v>2989</v>
      </c>
      <c r="G36" s="807"/>
      <c r="H36" s="801"/>
      <c r="I36" s="801"/>
    </row>
    <row r="37" spans="1:9" s="808" customFormat="1" ht="19.5" customHeight="1">
      <c r="A37" s="3601"/>
      <c r="B37" s="3603" t="s">
        <v>2990</v>
      </c>
      <c r="C37" s="805" t="s">
        <v>2991</v>
      </c>
      <c r="D37" s="806"/>
      <c r="E37" s="3215">
        <v>0.6</v>
      </c>
      <c r="F37" s="3214" t="s">
        <v>2992</v>
      </c>
      <c r="G37" s="807"/>
      <c r="H37" s="801"/>
      <c r="I37" s="801"/>
    </row>
    <row r="38" spans="1:9" s="808" customFormat="1" ht="19.5" customHeight="1">
      <c r="A38" s="3601"/>
      <c r="B38" s="3598"/>
      <c r="C38" s="805" t="s">
        <v>2993</v>
      </c>
      <c r="D38" s="806"/>
      <c r="E38" s="3215">
        <v>0.6</v>
      </c>
      <c r="F38" s="3214" t="s">
        <v>2994</v>
      </c>
      <c r="G38" s="807"/>
      <c r="H38" s="801"/>
      <c r="I38" s="801"/>
    </row>
    <row r="39" spans="1:9" s="808" customFormat="1" ht="19.5" customHeight="1" thickBot="1">
      <c r="A39" s="3602"/>
      <c r="B39" s="3599"/>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604" t="s">
        <v>3000</v>
      </c>
      <c r="B41" s="3597" t="s">
        <v>3001</v>
      </c>
      <c r="C41" s="3211" t="s">
        <v>3002</v>
      </c>
      <c r="D41" s="3212"/>
      <c r="E41" s="3213">
        <v>1</v>
      </c>
      <c r="F41" s="3214" t="s">
        <v>3003</v>
      </c>
      <c r="G41" s="807"/>
      <c r="H41" s="801"/>
      <c r="I41" s="801"/>
    </row>
    <row r="42" spans="1:9" s="808" customFormat="1" ht="19.5" customHeight="1">
      <c r="A42" s="3605"/>
      <c r="B42" s="3598"/>
      <c r="C42" s="805" t="s">
        <v>3004</v>
      </c>
      <c r="D42" s="806"/>
      <c r="E42" s="3215">
        <v>1</v>
      </c>
      <c r="F42" s="3214" t="s">
        <v>3005</v>
      </c>
      <c r="G42" s="807"/>
      <c r="H42" s="801"/>
      <c r="I42" s="801"/>
    </row>
    <row r="43" spans="1:9" s="808" customFormat="1" ht="19.5" customHeight="1">
      <c r="A43" s="3605"/>
      <c r="B43" s="3607"/>
      <c r="C43" s="805" t="s">
        <v>3006</v>
      </c>
      <c r="D43" s="806"/>
      <c r="E43" s="3215">
        <v>1.5</v>
      </c>
      <c r="F43" s="3214" t="s">
        <v>3007</v>
      </c>
      <c r="G43" s="807"/>
      <c r="H43" s="801"/>
      <c r="I43" s="801"/>
    </row>
    <row r="44" spans="1:9" s="808" customFormat="1" ht="19.5" customHeight="1">
      <c r="A44" s="3605"/>
      <c r="B44" s="3224" t="s">
        <v>2969</v>
      </c>
      <c r="C44" s="805" t="s">
        <v>3008</v>
      </c>
      <c r="D44" s="806"/>
      <c r="E44" s="3215">
        <v>2</v>
      </c>
      <c r="F44" s="3214" t="s">
        <v>3009</v>
      </c>
      <c r="G44" s="807"/>
      <c r="H44" s="801"/>
      <c r="I44" s="801"/>
    </row>
    <row r="45" spans="1:9" s="808" customFormat="1" ht="19.5" customHeight="1">
      <c r="A45" s="3605"/>
      <c r="B45" s="3603" t="s">
        <v>3010</v>
      </c>
      <c r="C45" s="805" t="s">
        <v>3011</v>
      </c>
      <c r="D45" s="806"/>
      <c r="E45" s="3215">
        <v>1</v>
      </c>
      <c r="F45" s="3214" t="s">
        <v>3012</v>
      </c>
      <c r="G45" s="807"/>
      <c r="H45" s="801"/>
      <c r="I45" s="801"/>
    </row>
    <row r="46" spans="1:9" s="808" customFormat="1" ht="19.5" customHeight="1">
      <c r="A46" s="3605"/>
      <c r="B46" s="3598"/>
      <c r="C46" s="805" t="s">
        <v>3013</v>
      </c>
      <c r="D46" s="806"/>
      <c r="E46" s="3215">
        <v>1</v>
      </c>
      <c r="F46" s="3214" t="s">
        <v>3014</v>
      </c>
      <c r="G46" s="807"/>
      <c r="H46" s="801"/>
      <c r="I46" s="801"/>
    </row>
    <row r="47" spans="1:9" s="808" customFormat="1" ht="19.5" customHeight="1">
      <c r="A47" s="3605"/>
      <c r="B47" s="3598"/>
      <c r="C47" s="805" t="s">
        <v>3015</v>
      </c>
      <c r="D47" s="806"/>
      <c r="E47" s="3215">
        <v>1</v>
      </c>
      <c r="F47" s="3214" t="s">
        <v>3016</v>
      </c>
      <c r="G47" s="807"/>
      <c r="H47" s="801"/>
      <c r="I47" s="801"/>
    </row>
    <row r="48" spans="1:9" s="808" customFormat="1" ht="19.5" customHeight="1">
      <c r="A48" s="3605"/>
      <c r="B48" s="3598"/>
      <c r="C48" s="805" t="s">
        <v>3017</v>
      </c>
      <c r="D48" s="806"/>
      <c r="E48" s="3215">
        <v>1</v>
      </c>
      <c r="F48" s="3214" t="s">
        <v>3018</v>
      </c>
      <c r="G48" s="807"/>
      <c r="H48" s="801"/>
      <c r="I48" s="801"/>
    </row>
    <row r="49" spans="1:9" s="808" customFormat="1" ht="19.5" customHeight="1">
      <c r="A49" s="3605"/>
      <c r="B49" s="3598"/>
      <c r="C49" s="805" t="s">
        <v>3019</v>
      </c>
      <c r="D49" s="806"/>
      <c r="E49" s="3215">
        <v>1</v>
      </c>
      <c r="F49" s="3214" t="s">
        <v>3020</v>
      </c>
      <c r="G49" s="807"/>
      <c r="H49" s="801"/>
      <c r="I49" s="801"/>
    </row>
    <row r="50" spans="1:9" s="808" customFormat="1" ht="19.5" customHeight="1">
      <c r="A50" s="3605"/>
      <c r="B50" s="3598"/>
      <c r="C50" s="805" t="s">
        <v>3021</v>
      </c>
      <c r="D50" s="806"/>
      <c r="E50" s="3215">
        <v>1</v>
      </c>
      <c r="F50" s="3214" t="s">
        <v>3022</v>
      </c>
      <c r="G50" s="807"/>
      <c r="H50" s="801"/>
      <c r="I50" s="801"/>
    </row>
    <row r="51" spans="1:9" s="808" customFormat="1" ht="19.5" customHeight="1" thickBot="1">
      <c r="A51" s="3606"/>
      <c r="B51" s="3599"/>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603" t="s">
        <v>3026</v>
      </c>
      <c r="C73" s="3204" t="s">
        <v>3027</v>
      </c>
      <c r="D73" s="3204" t="s">
        <v>3028</v>
      </c>
      <c r="E73" s="3225">
        <v>0.2</v>
      </c>
      <c r="F73" s="3224">
        <v>25</v>
      </c>
    </row>
    <row r="74" spans="1:7" s="801" customFormat="1" ht="24">
      <c r="A74" s="3224">
        <v>2</v>
      </c>
      <c r="B74" s="3598"/>
      <c r="C74" s="3204" t="s">
        <v>3029</v>
      </c>
      <c r="D74" s="3204" t="s">
        <v>3030</v>
      </c>
      <c r="E74" s="3225">
        <v>0.2</v>
      </c>
      <c r="F74" s="3224">
        <v>25</v>
      </c>
    </row>
    <row r="75" spans="1:7" s="801" customFormat="1" ht="24">
      <c r="A75" s="3224">
        <v>3</v>
      </c>
      <c r="B75" s="3598"/>
      <c r="C75" s="3204" t="s">
        <v>3031</v>
      </c>
      <c r="D75" s="3204" t="s">
        <v>3032</v>
      </c>
      <c r="E75" s="3225">
        <v>0.2</v>
      </c>
      <c r="F75" s="3224">
        <v>25</v>
      </c>
    </row>
    <row r="76" spans="1:7" s="801" customFormat="1" ht="13.5">
      <c r="A76" s="3224">
        <v>4</v>
      </c>
      <c r="B76" s="3598"/>
      <c r="C76" s="3204" t="s">
        <v>3033</v>
      </c>
      <c r="D76" s="3204" t="s">
        <v>3034</v>
      </c>
      <c r="E76" s="3225">
        <v>0.15</v>
      </c>
      <c r="F76" s="3224">
        <v>20</v>
      </c>
    </row>
    <row r="77" spans="1:7" s="801" customFormat="1" ht="24">
      <c r="A77" s="3224">
        <v>5</v>
      </c>
      <c r="B77" s="3598"/>
      <c r="C77" s="3204" t="s">
        <v>3035</v>
      </c>
      <c r="D77" s="3204" t="s">
        <v>3036</v>
      </c>
      <c r="E77" s="3225">
        <v>0.15</v>
      </c>
      <c r="F77" s="3224">
        <v>20</v>
      </c>
    </row>
    <row r="78" spans="1:7" s="801" customFormat="1" ht="24">
      <c r="A78" s="3224">
        <v>6</v>
      </c>
      <c r="B78" s="3598"/>
      <c r="C78" s="3204" t="s">
        <v>3037</v>
      </c>
      <c r="D78" s="3204" t="s">
        <v>3038</v>
      </c>
      <c r="E78" s="3225">
        <v>0.15</v>
      </c>
      <c r="F78" s="3224">
        <v>20</v>
      </c>
    </row>
    <row r="79" spans="1:7" s="801" customFormat="1" ht="24">
      <c r="A79" s="3224">
        <v>7</v>
      </c>
      <c r="B79" s="3598"/>
      <c r="C79" s="3204" t="s">
        <v>3039</v>
      </c>
      <c r="D79" s="3204" t="s">
        <v>3040</v>
      </c>
      <c r="E79" s="3225">
        <v>0.15</v>
      </c>
      <c r="F79" s="3224">
        <v>20</v>
      </c>
    </row>
    <row r="80" spans="1:7" s="801" customFormat="1" ht="24">
      <c r="A80" s="3224">
        <v>8</v>
      </c>
      <c r="B80" s="3598"/>
      <c r="C80" s="3204" t="s">
        <v>3041</v>
      </c>
      <c r="D80" s="3204" t="s">
        <v>3042</v>
      </c>
      <c r="E80" s="3225">
        <v>0.1</v>
      </c>
      <c r="F80" s="3224">
        <v>15</v>
      </c>
    </row>
    <row r="81" spans="1:6" s="801" customFormat="1" ht="24">
      <c r="A81" s="3224">
        <v>9</v>
      </c>
      <c r="B81" s="3598"/>
      <c r="C81" s="3204" t="s">
        <v>3043</v>
      </c>
      <c r="D81" s="3204" t="s">
        <v>3044</v>
      </c>
      <c r="E81" s="3225">
        <v>0.1</v>
      </c>
      <c r="F81" s="3224">
        <v>15</v>
      </c>
    </row>
    <row r="82" spans="1:6" s="801" customFormat="1" ht="24">
      <c r="A82" s="3224">
        <v>10</v>
      </c>
      <c r="B82" s="3598"/>
      <c r="C82" s="3204" t="s">
        <v>3045</v>
      </c>
      <c r="D82" s="3204" t="s">
        <v>3046</v>
      </c>
      <c r="E82" s="3225">
        <v>0.1</v>
      </c>
      <c r="F82" s="3224">
        <v>15</v>
      </c>
    </row>
    <row r="83" spans="1:6" s="801" customFormat="1" ht="24">
      <c r="A83" s="3224">
        <v>11</v>
      </c>
      <c r="B83" s="3598"/>
      <c r="C83" s="3204" t="s">
        <v>3047</v>
      </c>
      <c r="D83" s="3204" t="s">
        <v>3048</v>
      </c>
      <c r="E83" s="3225">
        <v>0.1</v>
      </c>
      <c r="F83" s="3224">
        <v>15</v>
      </c>
    </row>
    <row r="84" spans="1:6" s="801" customFormat="1" ht="24">
      <c r="A84" s="3224">
        <v>12</v>
      </c>
      <c r="B84" s="3598"/>
      <c r="C84" s="3204" t="s">
        <v>3049</v>
      </c>
      <c r="D84" s="3204" t="s">
        <v>3050</v>
      </c>
      <c r="E84" s="3225">
        <v>0.1</v>
      </c>
      <c r="F84" s="3224">
        <v>15</v>
      </c>
    </row>
    <row r="85" spans="1:6" s="801" customFormat="1" ht="13.5">
      <c r="A85" s="3224">
        <v>13</v>
      </c>
      <c r="B85" s="3598"/>
      <c r="C85" s="3204" t="s">
        <v>3051</v>
      </c>
      <c r="D85" s="3204" t="s">
        <v>3052</v>
      </c>
      <c r="E85" s="3225">
        <v>0.1</v>
      </c>
      <c r="F85" s="3224">
        <v>15</v>
      </c>
    </row>
    <row r="86" spans="1:6" s="801" customFormat="1" ht="13.5">
      <c r="A86" s="3224">
        <v>14</v>
      </c>
      <c r="B86" s="3598"/>
      <c r="C86" s="3204" t="s">
        <v>3053</v>
      </c>
      <c r="D86" s="3204" t="s">
        <v>3054</v>
      </c>
      <c r="E86" s="3225">
        <v>0.1</v>
      </c>
      <c r="F86" s="3224">
        <v>15</v>
      </c>
    </row>
    <row r="87" spans="1:6" s="801" customFormat="1" ht="13.5">
      <c r="A87" s="3224">
        <v>15</v>
      </c>
      <c r="B87" s="3598"/>
      <c r="C87" s="3204" t="s">
        <v>3055</v>
      </c>
      <c r="D87" s="3204" t="s">
        <v>3056</v>
      </c>
      <c r="E87" s="3225">
        <v>0.1</v>
      </c>
      <c r="F87" s="3224">
        <v>15</v>
      </c>
    </row>
    <row r="88" spans="1:6" s="801" customFormat="1" ht="24">
      <c r="A88" s="3224">
        <v>16</v>
      </c>
      <c r="B88" s="3598"/>
      <c r="C88" s="3204" t="s">
        <v>3057</v>
      </c>
      <c r="D88" s="3204" t="s">
        <v>3058</v>
      </c>
      <c r="E88" s="3225">
        <v>0.1</v>
      </c>
      <c r="F88" s="3224">
        <v>15</v>
      </c>
    </row>
    <row r="89" spans="1:6" s="801" customFormat="1" ht="24">
      <c r="A89" s="3224">
        <v>17</v>
      </c>
      <c r="B89" s="3607"/>
      <c r="C89" s="3204" t="s">
        <v>3059</v>
      </c>
      <c r="D89" s="3204" t="s">
        <v>3060</v>
      </c>
      <c r="E89" s="3225">
        <v>0.1</v>
      </c>
      <c r="F89" s="3224">
        <v>15</v>
      </c>
    </row>
    <row r="90" spans="1:6" s="801" customFormat="1" ht="13.5">
      <c r="A90" s="3224">
        <v>18</v>
      </c>
      <c r="B90" s="3603" t="s">
        <v>3061</v>
      </c>
      <c r="C90" s="3204" t="s">
        <v>3062</v>
      </c>
      <c r="D90" s="3204" t="s">
        <v>3063</v>
      </c>
      <c r="E90" s="3225">
        <v>0.2</v>
      </c>
      <c r="F90" s="3224">
        <v>25</v>
      </c>
    </row>
    <row r="91" spans="1:6" s="801" customFormat="1" ht="24">
      <c r="A91" s="3224">
        <v>19</v>
      </c>
      <c r="B91" s="3598"/>
      <c r="C91" s="3204" t="s">
        <v>3064</v>
      </c>
      <c r="D91" s="3204" t="s">
        <v>3065</v>
      </c>
      <c r="E91" s="3225">
        <v>0.2</v>
      </c>
      <c r="F91" s="3224">
        <v>25</v>
      </c>
    </row>
    <row r="92" spans="1:6" s="801" customFormat="1" ht="13.5">
      <c r="A92" s="3224">
        <v>20</v>
      </c>
      <c r="B92" s="3598"/>
      <c r="C92" s="3204" t="s">
        <v>3066</v>
      </c>
      <c r="D92" s="3204" t="s">
        <v>3067</v>
      </c>
      <c r="E92" s="3225">
        <v>0.15</v>
      </c>
      <c r="F92" s="3224">
        <v>20</v>
      </c>
    </row>
    <row r="93" spans="1:6" s="801" customFormat="1" ht="24">
      <c r="A93" s="3224">
        <v>21</v>
      </c>
      <c r="B93" s="3598"/>
      <c r="C93" s="3204" t="s">
        <v>3068</v>
      </c>
      <c r="D93" s="3204" t="s">
        <v>3069</v>
      </c>
      <c r="E93" s="3225">
        <v>0.15</v>
      </c>
      <c r="F93" s="3224">
        <v>20</v>
      </c>
    </row>
    <row r="94" spans="1:6" s="801" customFormat="1" ht="24">
      <c r="A94" s="3224">
        <v>22</v>
      </c>
      <c r="B94" s="3598"/>
      <c r="C94" s="3204" t="s">
        <v>3070</v>
      </c>
      <c r="D94" s="3204" t="s">
        <v>3071</v>
      </c>
      <c r="E94" s="3225">
        <v>0.15</v>
      </c>
      <c r="F94" s="3224">
        <v>20</v>
      </c>
    </row>
    <row r="95" spans="1:6" s="801" customFormat="1" ht="36">
      <c r="A95" s="3224">
        <v>23</v>
      </c>
      <c r="B95" s="3598"/>
      <c r="C95" s="3204" t="s">
        <v>3072</v>
      </c>
      <c r="D95" s="3204" t="s">
        <v>3073</v>
      </c>
      <c r="E95" s="3225">
        <v>0.15</v>
      </c>
      <c r="F95" s="3224">
        <v>20</v>
      </c>
    </row>
    <row r="96" spans="1:6" s="801" customFormat="1" ht="13.5">
      <c r="A96" s="3224">
        <v>24</v>
      </c>
      <c r="B96" s="3598"/>
      <c r="C96" s="3204" t="s">
        <v>3074</v>
      </c>
      <c r="D96" s="3204" t="s">
        <v>3075</v>
      </c>
      <c r="E96" s="3225">
        <v>0.1</v>
      </c>
      <c r="F96" s="3224">
        <v>15</v>
      </c>
    </row>
    <row r="97" spans="1:6" s="801" customFormat="1" ht="24">
      <c r="A97" s="3224">
        <v>25</v>
      </c>
      <c r="B97" s="3598"/>
      <c r="C97" s="3204" t="s">
        <v>3076</v>
      </c>
      <c r="D97" s="3204" t="s">
        <v>3077</v>
      </c>
      <c r="E97" s="3225">
        <v>0.1</v>
      </c>
      <c r="F97" s="3224">
        <v>15</v>
      </c>
    </row>
    <row r="98" spans="1:6" s="801" customFormat="1" ht="24">
      <c r="A98" s="3224">
        <v>26</v>
      </c>
      <c r="B98" s="3598"/>
      <c r="C98" s="3204" t="s">
        <v>3078</v>
      </c>
      <c r="D98" s="3204" t="s">
        <v>3079</v>
      </c>
      <c r="E98" s="3225">
        <v>0.1</v>
      </c>
      <c r="F98" s="3224">
        <v>15</v>
      </c>
    </row>
    <row r="99" spans="1:6" s="801" customFormat="1" ht="24">
      <c r="A99" s="3224">
        <v>27</v>
      </c>
      <c r="B99" s="3598"/>
      <c r="C99" s="3204" t="s">
        <v>3080</v>
      </c>
      <c r="D99" s="3204" t="s">
        <v>3081</v>
      </c>
      <c r="E99" s="3225">
        <v>0.1</v>
      </c>
      <c r="F99" s="3224">
        <v>15</v>
      </c>
    </row>
    <row r="100" spans="1:6" s="801" customFormat="1" ht="24">
      <c r="A100" s="3224">
        <v>28</v>
      </c>
      <c r="B100" s="3598"/>
      <c r="C100" s="3204" t="s">
        <v>3082</v>
      </c>
      <c r="D100" s="3204" t="s">
        <v>3083</v>
      </c>
      <c r="E100" s="3225">
        <v>0.1</v>
      </c>
      <c r="F100" s="3224">
        <v>15</v>
      </c>
    </row>
    <row r="101" spans="1:6" s="801" customFormat="1" ht="24">
      <c r="A101" s="3224">
        <v>29</v>
      </c>
      <c r="B101" s="3598"/>
      <c r="C101" s="3204" t="s">
        <v>3084</v>
      </c>
      <c r="D101" s="3204" t="s">
        <v>3085</v>
      </c>
      <c r="E101" s="3225">
        <v>0.1</v>
      </c>
      <c r="F101" s="3224">
        <v>15</v>
      </c>
    </row>
    <row r="102" spans="1:6" s="801" customFormat="1" ht="24">
      <c r="A102" s="3224">
        <v>30</v>
      </c>
      <c r="B102" s="3598"/>
      <c r="C102" s="3204" t="s">
        <v>3086</v>
      </c>
      <c r="D102" s="3204" t="s">
        <v>3087</v>
      </c>
      <c r="E102" s="3225">
        <v>0.1</v>
      </c>
      <c r="F102" s="3224">
        <v>15</v>
      </c>
    </row>
    <row r="103" spans="1:6" s="801" customFormat="1" ht="24">
      <c r="A103" s="3224">
        <v>31</v>
      </c>
      <c r="B103" s="3598"/>
      <c r="C103" s="3204" t="s">
        <v>3088</v>
      </c>
      <c r="D103" s="3204" t="s">
        <v>3089</v>
      </c>
      <c r="E103" s="3225">
        <v>0.1</v>
      </c>
      <c r="F103" s="3224">
        <v>15</v>
      </c>
    </row>
    <row r="104" spans="1:6" s="801" customFormat="1" ht="24">
      <c r="A104" s="3224">
        <v>32</v>
      </c>
      <c r="B104" s="3598"/>
      <c r="C104" s="3204" t="s">
        <v>3090</v>
      </c>
      <c r="D104" s="3204" t="s">
        <v>3091</v>
      </c>
      <c r="E104" s="3225">
        <v>0.1</v>
      </c>
      <c r="F104" s="3224">
        <v>15</v>
      </c>
    </row>
    <row r="105" spans="1:6" s="801" customFormat="1" ht="24">
      <c r="A105" s="3224">
        <v>33</v>
      </c>
      <c r="B105" s="3598"/>
      <c r="C105" s="3204" t="s">
        <v>3092</v>
      </c>
      <c r="D105" s="3204" t="s">
        <v>3093</v>
      </c>
      <c r="E105" s="3225">
        <v>0.1</v>
      </c>
      <c r="F105" s="3224">
        <v>15</v>
      </c>
    </row>
    <row r="106" spans="1:6" s="801" customFormat="1" ht="24">
      <c r="A106" s="3224">
        <v>34</v>
      </c>
      <c r="B106" s="3607"/>
      <c r="C106" s="3204" t="s">
        <v>3094</v>
      </c>
      <c r="D106" s="3204" t="s">
        <v>3095</v>
      </c>
      <c r="E106" s="3225">
        <v>0.1</v>
      </c>
      <c r="F106" s="3224">
        <v>15</v>
      </c>
    </row>
    <row r="107" spans="1:6" s="801" customFormat="1" ht="24">
      <c r="A107" s="3224">
        <v>35</v>
      </c>
      <c r="B107" s="3603" t="s">
        <v>3096</v>
      </c>
      <c r="C107" s="3224" t="s">
        <v>3097</v>
      </c>
      <c r="D107" s="3204" t="s">
        <v>3098</v>
      </c>
      <c r="E107" s="3225">
        <v>0.15</v>
      </c>
      <c r="F107" s="3224">
        <v>20</v>
      </c>
    </row>
    <row r="108" spans="1:6" s="801" customFormat="1" ht="24">
      <c r="A108" s="3224">
        <v>36</v>
      </c>
      <c r="B108" s="3598"/>
      <c r="C108" s="3224" t="s">
        <v>3099</v>
      </c>
      <c r="D108" s="3204" t="s">
        <v>3100</v>
      </c>
      <c r="E108" s="3225">
        <v>0.15</v>
      </c>
      <c r="F108" s="3224">
        <v>20</v>
      </c>
    </row>
    <row r="109" spans="1:6" s="801" customFormat="1" ht="24">
      <c r="A109" s="3224">
        <v>37</v>
      </c>
      <c r="B109" s="3598"/>
      <c r="C109" s="3224" t="s">
        <v>3101</v>
      </c>
      <c r="D109" s="3204" t="s">
        <v>3102</v>
      </c>
      <c r="E109" s="3225">
        <v>0.15</v>
      </c>
      <c r="F109" s="3224">
        <v>20</v>
      </c>
    </row>
    <row r="110" spans="1:6" s="801" customFormat="1" ht="13.5">
      <c r="A110" s="3224">
        <v>38</v>
      </c>
      <c r="B110" s="3598"/>
      <c r="C110" s="3224" t="s">
        <v>3103</v>
      </c>
      <c r="D110" s="3204" t="s">
        <v>3104</v>
      </c>
      <c r="E110" s="3225">
        <v>0.1</v>
      </c>
      <c r="F110" s="3224">
        <v>15</v>
      </c>
    </row>
    <row r="111" spans="1:6" s="801" customFormat="1" ht="24">
      <c r="A111" s="3224">
        <v>39</v>
      </c>
      <c r="B111" s="3598"/>
      <c r="C111" s="3224" t="s">
        <v>3105</v>
      </c>
      <c r="D111" s="3204" t="s">
        <v>3106</v>
      </c>
      <c r="E111" s="3225">
        <v>0.1</v>
      </c>
      <c r="F111" s="3224">
        <v>15</v>
      </c>
    </row>
    <row r="112" spans="1:6" s="801" customFormat="1" ht="24">
      <c r="A112" s="3224">
        <v>40</v>
      </c>
      <c r="B112" s="3607"/>
      <c r="C112" s="3224" t="s">
        <v>3107</v>
      </c>
      <c r="D112" s="3204" t="s">
        <v>3108</v>
      </c>
      <c r="E112" s="3225">
        <v>0.1</v>
      </c>
      <c r="F112" s="3224">
        <v>15</v>
      </c>
    </row>
    <row r="113" spans="1:6" s="801" customFormat="1" ht="24">
      <c r="A113" s="3224">
        <v>41</v>
      </c>
      <c r="B113" s="3608" t="s">
        <v>3109</v>
      </c>
      <c r="C113" s="3224" t="s">
        <v>3110</v>
      </c>
      <c r="D113" s="3204" t="s">
        <v>3111</v>
      </c>
      <c r="E113" s="3225">
        <v>0.1</v>
      </c>
      <c r="F113" s="3224">
        <v>15</v>
      </c>
    </row>
    <row r="114" spans="1:6" s="801" customFormat="1" ht="13.5">
      <c r="A114" s="3224">
        <v>42</v>
      </c>
      <c r="B114" s="3608"/>
      <c r="C114" s="3224" t="s">
        <v>3112</v>
      </c>
      <c r="D114" s="3204" t="s">
        <v>3113</v>
      </c>
      <c r="E114" s="3225">
        <v>0.1</v>
      </c>
      <c r="F114" s="3224">
        <v>15</v>
      </c>
    </row>
    <row r="115" spans="1:6" s="801" customFormat="1" ht="24">
      <c r="A115" s="3224">
        <v>43</v>
      </c>
      <c r="B115" s="3608"/>
      <c r="C115" s="3224" t="s">
        <v>3114</v>
      </c>
      <c r="D115" s="3204" t="s">
        <v>3115</v>
      </c>
      <c r="E115" s="3225">
        <v>0.1</v>
      </c>
      <c r="F115" s="3224">
        <v>15</v>
      </c>
    </row>
    <row r="116" spans="1:6" s="801" customFormat="1" ht="24">
      <c r="A116" s="3224">
        <v>44</v>
      </c>
      <c r="B116" s="3603" t="s">
        <v>3116</v>
      </c>
      <c r="C116" s="3224" t="s">
        <v>3117</v>
      </c>
      <c r="D116" s="3204" t="s">
        <v>3118</v>
      </c>
      <c r="E116" s="3225">
        <v>0.1</v>
      </c>
      <c r="F116" s="3224">
        <v>15</v>
      </c>
    </row>
    <row r="117" spans="1:6" s="801" customFormat="1" ht="24">
      <c r="A117" s="3224">
        <v>45</v>
      </c>
      <c r="B117" s="3607"/>
      <c r="C117" s="3204" t="s">
        <v>3119</v>
      </c>
      <c r="D117" s="3204" t="s">
        <v>3120</v>
      </c>
      <c r="E117" s="3225">
        <v>0.1</v>
      </c>
      <c r="F117" s="3224">
        <v>15</v>
      </c>
    </row>
    <row r="118" spans="1:6" s="801" customFormat="1" ht="24">
      <c r="A118" s="3224">
        <v>46</v>
      </c>
      <c r="B118" s="3603" t="s">
        <v>3121</v>
      </c>
      <c r="C118" s="3224" t="s">
        <v>3122</v>
      </c>
      <c r="D118" s="3204" t="s">
        <v>3123</v>
      </c>
      <c r="E118" s="3225">
        <v>0.1</v>
      </c>
      <c r="F118" s="3224">
        <v>15</v>
      </c>
    </row>
    <row r="119" spans="1:6" s="801" customFormat="1" ht="24">
      <c r="A119" s="3224">
        <v>47</v>
      </c>
      <c r="B119" s="3607"/>
      <c r="C119" s="3224" t="s">
        <v>3124</v>
      </c>
      <c r="D119" s="3204" t="s">
        <v>3125</v>
      </c>
      <c r="E119" s="3225">
        <v>0.1</v>
      </c>
      <c r="F119" s="3224">
        <v>15</v>
      </c>
    </row>
    <row r="120" spans="1:6" s="801" customFormat="1" ht="24">
      <c r="A120" s="3224">
        <v>48</v>
      </c>
      <c r="B120" s="3603" t="s">
        <v>3126</v>
      </c>
      <c r="C120" s="3224" t="s">
        <v>3127</v>
      </c>
      <c r="D120" s="3204" t="s">
        <v>3128</v>
      </c>
      <c r="E120" s="3225">
        <v>0.1</v>
      </c>
      <c r="F120" s="3224">
        <v>15</v>
      </c>
    </row>
    <row r="121" spans="1:6" s="801" customFormat="1" ht="13.5">
      <c r="A121" s="3224">
        <v>49</v>
      </c>
      <c r="B121" s="3607"/>
      <c r="C121" s="3224" t="s">
        <v>3129</v>
      </c>
      <c r="D121" s="3204" t="s">
        <v>3130</v>
      </c>
      <c r="E121" s="3225">
        <v>0.1</v>
      </c>
      <c r="F121" s="3224">
        <v>15</v>
      </c>
    </row>
    <row r="122" spans="1:6" s="801" customFormat="1" ht="24">
      <c r="A122" s="3224">
        <v>50</v>
      </c>
      <c r="B122" s="3608" t="s">
        <v>3131</v>
      </c>
      <c r="C122" s="3224" t="s">
        <v>3132</v>
      </c>
      <c r="D122" s="3204" t="s">
        <v>3133</v>
      </c>
      <c r="E122" s="3225">
        <v>0.1</v>
      </c>
      <c r="F122" s="3224">
        <v>15</v>
      </c>
    </row>
    <row r="123" spans="1:6" s="801" customFormat="1" ht="24">
      <c r="A123" s="3224">
        <v>51</v>
      </c>
      <c r="B123" s="3608"/>
      <c r="C123" s="3224" t="s">
        <v>3134</v>
      </c>
      <c r="D123" s="3204" t="s">
        <v>3135</v>
      </c>
      <c r="E123" s="3225">
        <v>0.1</v>
      </c>
      <c r="F123" s="3224">
        <v>15</v>
      </c>
    </row>
    <row r="124" spans="1:6" s="801" customFormat="1" ht="24">
      <c r="A124" s="3224">
        <v>52</v>
      </c>
      <c r="B124" s="3608" t="s">
        <v>3136</v>
      </c>
      <c r="C124" s="3224" t="s">
        <v>3137</v>
      </c>
      <c r="D124" s="3204" t="s">
        <v>3138</v>
      </c>
      <c r="E124" s="3225">
        <v>0.1</v>
      </c>
      <c r="F124" s="3224">
        <v>15</v>
      </c>
    </row>
    <row r="125" spans="1:6" s="801" customFormat="1" ht="24">
      <c r="A125" s="3224">
        <v>53</v>
      </c>
      <c r="B125" s="3608"/>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608" t="s">
        <v>3144</v>
      </c>
      <c r="C127" s="3224" t="s">
        <v>3145</v>
      </c>
      <c r="D127" s="3204" t="s">
        <v>3146</v>
      </c>
      <c r="E127" s="3225">
        <v>0.1</v>
      </c>
      <c r="F127" s="3224">
        <v>15</v>
      </c>
    </row>
    <row r="128" spans="1:6" ht="13.5">
      <c r="A128" s="3224">
        <v>56</v>
      </c>
      <c r="B128" s="3608"/>
      <c r="C128" s="3224" t="s">
        <v>3147</v>
      </c>
      <c r="D128" s="3204" t="s">
        <v>3148</v>
      </c>
      <c r="E128" s="3225">
        <v>0.1</v>
      </c>
      <c r="F128" s="3224">
        <v>15</v>
      </c>
    </row>
    <row r="129" spans="1:6" ht="24">
      <c r="A129" s="3224">
        <v>57</v>
      </c>
      <c r="B129" s="3608"/>
      <c r="C129" s="3224" t="s">
        <v>3149</v>
      </c>
      <c r="D129" s="3204" t="s">
        <v>3150</v>
      </c>
      <c r="E129" s="3225">
        <v>0.1</v>
      </c>
      <c r="F129" s="3224">
        <v>15</v>
      </c>
    </row>
    <row r="130" spans="1:6" ht="24">
      <c r="A130" s="3224">
        <v>58</v>
      </c>
      <c r="B130" s="3608" t="s">
        <v>3151</v>
      </c>
      <c r="C130" s="3224" t="s">
        <v>3152</v>
      </c>
      <c r="D130" s="3204" t="s">
        <v>3153</v>
      </c>
      <c r="E130" s="3225">
        <v>0.1</v>
      </c>
      <c r="F130" s="3224">
        <v>15</v>
      </c>
    </row>
    <row r="131" spans="1:6" ht="24">
      <c r="A131" s="3224">
        <v>59</v>
      </c>
      <c r="B131" s="3608"/>
      <c r="C131" s="3224" t="s">
        <v>3154</v>
      </c>
      <c r="D131" s="3204" t="s">
        <v>3155</v>
      </c>
      <c r="E131" s="3225">
        <v>0.1</v>
      </c>
      <c r="F131" s="3224">
        <v>15</v>
      </c>
    </row>
    <row r="132" spans="1:6" ht="24">
      <c r="A132" s="3224">
        <v>60</v>
      </c>
      <c r="B132" s="3603" t="s">
        <v>3156</v>
      </c>
      <c r="C132" s="3224" t="s">
        <v>3157</v>
      </c>
      <c r="D132" s="3204" t="s">
        <v>3158</v>
      </c>
      <c r="E132" s="3225">
        <v>0.1</v>
      </c>
      <c r="F132" s="3224">
        <v>15</v>
      </c>
    </row>
    <row r="133" spans="1:6" ht="24">
      <c r="A133" s="3224">
        <v>61</v>
      </c>
      <c r="B133" s="3607"/>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608" t="s">
        <v>3164</v>
      </c>
      <c r="C135" s="3224" t="s">
        <v>3165</v>
      </c>
      <c r="D135" s="3204" t="s">
        <v>3166</v>
      </c>
      <c r="E135" s="3225">
        <v>0.1</v>
      </c>
      <c r="F135" s="3224">
        <v>15</v>
      </c>
    </row>
    <row r="136" spans="1:6" ht="13.5">
      <c r="A136" s="3224">
        <v>64</v>
      </c>
      <c r="B136" s="3608"/>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1.1200000000000001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v>
      </c>
      <c r="B3" s="3282"/>
      <c r="C3" s="3282"/>
      <c r="D3" s="3282"/>
      <c r="E3" s="3282"/>
    </row>
    <row r="4" spans="1:5" ht="19.5" thickBot="1">
      <c r="A4" s="1628"/>
      <c r="B4" s="3280" t="s">
        <v>1354</v>
      </c>
      <c r="C4" s="3280"/>
      <c r="D4" s="3280"/>
      <c r="E4" s="1628"/>
    </row>
    <row r="5" spans="1:5" ht="16.5" thickTop="1">
      <c r="A5" s="1626"/>
      <c r="B5" s="3278" t="s">
        <v>1346</v>
      </c>
      <c r="C5" s="1629" t="s">
        <v>1347</v>
      </c>
      <c r="D5" s="940">
        <f ca="1">结果表!H101</f>
        <v>164078</v>
      </c>
      <c r="E5" s="1626"/>
    </row>
    <row r="6" spans="1:5" ht="15.75">
      <c r="A6" s="1626"/>
      <c r="B6" s="3278"/>
      <c r="C6" s="1629" t="s">
        <v>1348</v>
      </c>
      <c r="D6" s="940" t="str">
        <f ca="1">NUMBERSTRING(INT(D5*10000),2)&amp;"元整"</f>
        <v>壹拾陆亿肆仟零柒拾捌万元整</v>
      </c>
      <c r="E6" s="1626"/>
    </row>
    <row r="7" spans="1:5" ht="15.75">
      <c r="A7" s="1626"/>
      <c r="B7" s="3283"/>
      <c r="C7" s="1630" t="s">
        <v>1349</v>
      </c>
      <c r="D7" s="941">
        <f ca="1">结果表!H102</f>
        <v>6765</v>
      </c>
      <c r="E7" s="1626"/>
    </row>
    <row r="8" spans="1:5" ht="15.75">
      <c r="A8" s="1626"/>
      <c r="B8" s="3284" t="str">
        <f>结果表!E103</f>
        <v>2.估价师知悉的法定优先受偿款</v>
      </c>
      <c r="C8" s="1631" t="s">
        <v>1350</v>
      </c>
      <c r="D8" s="941">
        <f>结果表!H103</f>
        <v>0</v>
      </c>
      <c r="E8" s="1626"/>
    </row>
    <row r="9" spans="1:5" ht="15.75">
      <c r="A9" s="1626"/>
      <c r="B9" s="3286"/>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7" t="str">
        <f>结果表!E107</f>
        <v>3.房地产抵押价值</v>
      </c>
      <c r="C13" s="1634" t="s">
        <v>1347</v>
      </c>
      <c r="D13" s="943">
        <f ca="1">结果表!H107</f>
        <v>164078</v>
      </c>
      <c r="E13" s="1626"/>
    </row>
    <row r="14" spans="1:5" ht="15.75">
      <c r="A14" s="1626"/>
      <c r="B14" s="3278"/>
      <c r="C14" s="1629" t="s">
        <v>1348</v>
      </c>
      <c r="D14" s="940" t="str">
        <f ca="1">NUMBERSTRING(INT(D13*10000),2)&amp;"元整"</f>
        <v>壹拾陆亿肆仟零柒拾捌万元整</v>
      </c>
      <c r="E14" s="1626"/>
    </row>
    <row r="15" spans="1:5" ht="15">
      <c r="A15" s="1626"/>
      <c r="B15" s="3283"/>
      <c r="C15" s="1630" t="s">
        <v>1358</v>
      </c>
      <c r="D15" s="949">
        <f ca="1">结果表!H108</f>
        <v>6765</v>
      </c>
      <c r="E15" s="1626"/>
    </row>
    <row r="16" spans="1:5" ht="15">
      <c r="A16" s="1626"/>
      <c r="B16" s="3284" t="str">
        <f>结果表!E109</f>
        <v>——</v>
      </c>
      <c r="C16" s="1634" t="s">
        <v>1359</v>
      </c>
      <c r="D16" s="1635" t="str">
        <f>结果表!H109</f>
        <v>——</v>
      </c>
      <c r="E16" s="1626"/>
    </row>
    <row r="17" spans="1:5" ht="15.75">
      <c r="A17" s="1626"/>
      <c r="B17" s="3285"/>
      <c r="C17" s="1629" t="s">
        <v>1360</v>
      </c>
      <c r="D17" s="940" t="e">
        <f>NUMBERSTRING(INT(D16*10000),2)&amp;"元整"</f>
        <v>#VALUE!</v>
      </c>
      <c r="E17" s="1626"/>
    </row>
    <row r="18" spans="1:5" ht="15">
      <c r="A18" s="1626"/>
      <c r="B18" s="3286"/>
      <c r="C18" s="1630" t="s">
        <v>1349</v>
      </c>
      <c r="D18" s="949" t="str">
        <f>结果表!H110</f>
        <v>——</v>
      </c>
      <c r="E18" s="1626"/>
    </row>
    <row r="19" spans="1:5" ht="15.75">
      <c r="A19" s="1626"/>
      <c r="B19" s="3277" t="str">
        <f>结果表!E111</f>
        <v>——</v>
      </c>
      <c r="C19" s="1634" t="s">
        <v>1347</v>
      </c>
      <c r="D19" s="941" t="str">
        <f>结果表!H111</f>
        <v>——</v>
      </c>
      <c r="E19" s="1626"/>
    </row>
    <row r="20" spans="1:5" ht="15.75">
      <c r="A20" s="1626"/>
      <c r="B20" s="3278"/>
      <c r="C20" s="1629" t="s">
        <v>1360</v>
      </c>
      <c r="D20" s="940" t="e">
        <f>NUMBERSTRING(INT(D19*10000),2)&amp;"元整"</f>
        <v>#VALUE!</v>
      </c>
      <c r="E20" s="1626"/>
    </row>
    <row r="21" spans="1:5" ht="15.75" thickBot="1">
      <c r="A21" s="1626"/>
      <c r="B21" s="3279"/>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H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14" t="s">
        <v>877</v>
      </c>
      <c r="C1" s="3614"/>
      <c r="D1" s="3614"/>
      <c r="E1" s="3614"/>
      <c r="F1" s="3614"/>
      <c r="G1" s="3610" t="s">
        <v>878</v>
      </c>
      <c r="H1" s="3610"/>
      <c r="I1" s="3610"/>
      <c r="J1" s="3610"/>
      <c r="K1" s="3610"/>
      <c r="L1" s="3610"/>
      <c r="N1" s="3610" t="s">
        <v>879</v>
      </c>
      <c r="O1" s="3610"/>
      <c r="P1" s="3610"/>
      <c r="Q1" s="3610"/>
      <c r="S1" s="3610" t="s">
        <v>880</v>
      </c>
      <c r="T1" s="3610"/>
      <c r="U1" s="3610"/>
      <c r="V1" s="3610"/>
      <c r="X1" s="3609" t="s">
        <v>881</v>
      </c>
      <c r="Y1" s="3610"/>
      <c r="Z1" s="3610"/>
      <c r="AA1" s="3610"/>
      <c r="AB1" s="3610"/>
      <c r="AD1" s="3609" t="s">
        <v>882</v>
      </c>
      <c r="AE1" s="3610"/>
      <c r="AF1" s="3610"/>
      <c r="AG1" s="3610"/>
      <c r="AH1" s="3610"/>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1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1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1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9"/>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5">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1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1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9"/>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5">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1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1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1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1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1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1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1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1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1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1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1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6">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7"/>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7"/>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8"/>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1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1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1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1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1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1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1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1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1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1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1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1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1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1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1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1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1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1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1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1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1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1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1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1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1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1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1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1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1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1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1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1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1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1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1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1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1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1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12">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13">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1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1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12">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13">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H14"/>
      <selection pane="bottomLeft" activeCell="C14" sqref="C14:H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23" t="s">
        <v>2581</v>
      </c>
      <c r="D1" s="3624"/>
      <c r="E1" s="3624"/>
      <c r="F1" s="3624"/>
      <c r="G1" s="3624"/>
      <c r="H1" s="3624"/>
      <c r="I1" s="3624"/>
      <c r="J1" s="3624"/>
      <c r="K1" s="3624"/>
      <c r="L1" s="3624"/>
      <c r="M1" s="3624"/>
      <c r="N1" s="3624"/>
      <c r="O1" s="3624"/>
      <c r="P1" s="3624"/>
      <c r="Q1" s="3624"/>
      <c r="R1" s="3624"/>
      <c r="S1" s="3625"/>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20" t="s">
        <v>33</v>
      </c>
      <c r="D22" s="3621"/>
      <c r="E22" s="3621"/>
      <c r="F22" s="3621"/>
      <c r="G22" s="3621"/>
      <c r="H22" s="3621"/>
      <c r="I22" s="3621"/>
      <c r="J22" s="3621"/>
      <c r="K22" s="3621"/>
      <c r="L22" s="3621"/>
      <c r="M22" s="3621"/>
      <c r="N22" s="3621"/>
      <c r="O22" s="3621"/>
      <c r="P22" s="3621"/>
      <c r="Q22" s="3622"/>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147370</v>
      </c>
      <c r="C2" s="2" t="s">
        <v>133</v>
      </c>
      <c r="D2" s="205"/>
      <c r="E2" s="205"/>
      <c r="F2" s="205"/>
      <c r="G2" s="205"/>
    </row>
    <row r="3" spans="1:7" s="206" customFormat="1" ht="18" customHeight="1" thickBot="1">
      <c r="A3" s="209" t="s">
        <v>85</v>
      </c>
      <c r="B3" s="210">
        <f ca="1">ROUND(B2*10000/'数据-汇总表'!E3,0)</f>
        <v>6076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4608</v>
      </c>
      <c r="D10" s="935">
        <f>'数据-汇总表'!E6</f>
        <v>242531.24</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3638</v>
      </c>
      <c r="D19" s="939">
        <f>'数据-汇总表'!E3</f>
        <v>242531.24</v>
      </c>
      <c r="E19" s="217">
        <f>'数据-取费表'!B31</f>
        <v>150</v>
      </c>
      <c r="F19" s="237"/>
      <c r="G19" s="1" t="s">
        <v>861</v>
      </c>
    </row>
    <row r="20" spans="1:7" s="220" customFormat="1" ht="13.5" customHeight="1">
      <c r="A20" s="866" t="s">
        <v>844</v>
      </c>
      <c r="B20" s="216" t="s">
        <v>104</v>
      </c>
      <c r="C20" s="238">
        <f>ROUND((C5+C19)*F20,0)</f>
        <v>485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3216</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478</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3215</v>
      </c>
      <c r="D27" s="241">
        <f>C29</f>
        <v>2.5999999999999999E-3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3215</v>
      </c>
      <c r="D28" s="241"/>
      <c r="E28" s="242"/>
      <c r="F28" s="252"/>
      <c r="G28" s="253"/>
    </row>
    <row r="29" spans="1:7" s="220" customFormat="1" ht="13.5" customHeight="1">
      <c r="A29" s="869" t="s">
        <v>611</v>
      </c>
      <c r="B29" s="254" t="s">
        <v>850</v>
      </c>
      <c r="C29" s="244">
        <f>ROUND(C21*F27*'数据-取费表'!B21/'数据-取费表'!B20,4)</f>
        <v>2.5999999999999999E-3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33738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88876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80035</v>
      </c>
      <c r="D34" s="223"/>
      <c r="E34" s="226"/>
      <c r="F34" s="263">
        <f>IF('数据-取费表'!B24=0,1,'数据-取费表'!N16)</f>
        <v>1</v>
      </c>
      <c r="G34" s="225" t="s">
        <v>116</v>
      </c>
    </row>
    <row r="35" spans="1:7" ht="13.5" customHeight="1">
      <c r="A35" s="869" t="s">
        <v>615</v>
      </c>
      <c r="B35" s="221" t="s">
        <v>60</v>
      </c>
      <c r="C35" s="226">
        <f>ROUND(C34*F35,0)</f>
        <v>4002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3638</v>
      </c>
      <c r="D37" s="223">
        <f>'数据-汇总表'!E3</f>
        <v>242531.24</v>
      </c>
      <c r="E37" s="255">
        <f>'数据-取费表'!B35</f>
        <v>150</v>
      </c>
      <c r="F37" s="265"/>
      <c r="G37" s="267" t="s">
        <v>119</v>
      </c>
    </row>
    <row r="38" spans="1:7" ht="13.5" customHeight="1">
      <c r="A38" s="869" t="s">
        <v>618</v>
      </c>
      <c r="B38" s="221" t="s">
        <v>63</v>
      </c>
      <c r="C38" s="226">
        <f>ROUND(C34*F38,0)</f>
        <v>1201</v>
      </c>
      <c r="D38" s="226"/>
      <c r="E38" s="226"/>
      <c r="F38" s="265">
        <f>'数据-取费表'!B36</f>
        <v>1.4999999999999999E-2</v>
      </c>
      <c r="G38" s="225" t="s">
        <v>117</v>
      </c>
    </row>
    <row r="39" spans="1:7" s="220" customFormat="1" ht="13.5" customHeight="1">
      <c r="A39" s="866" t="s">
        <v>602</v>
      </c>
      <c r="B39" s="216" t="s">
        <v>104</v>
      </c>
      <c r="C39" s="238">
        <f>ROUND(C33*F20,0)</f>
        <v>1778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5771</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5658</v>
      </c>
      <c r="D42" s="244"/>
      <c r="E42" s="244"/>
      <c r="F42" s="245"/>
      <c r="G42" s="3472" t="s">
        <v>121</v>
      </c>
    </row>
    <row r="43" spans="1:7" ht="13.5" customHeight="1">
      <c r="A43" s="869" t="s">
        <v>611</v>
      </c>
      <c r="B43" s="221" t="s">
        <v>851</v>
      </c>
      <c r="C43" s="244">
        <f ca="1">ROUND(IF('数据-取费表'!B22&lt;=1,C39*F22*'数据-取费表'!B21/2,C39*(POWER((1+F22),'数据-取费表'!B21/2)-1)),0)</f>
        <v>113</v>
      </c>
      <c r="D43" s="244"/>
      <c r="E43" s="244"/>
      <c r="F43" s="245"/>
      <c r="G43" s="3473"/>
    </row>
    <row r="44" spans="1:7" ht="13.5" customHeight="1">
      <c r="A44" s="869" t="s">
        <v>612</v>
      </c>
      <c r="B44" s="221" t="s">
        <v>853</v>
      </c>
      <c r="C44" s="244">
        <f ca="1">ROUND(IF('数据-取费表'!B22&lt;=1,C40*F22*'数据-取费表'!B21/2,C40*(POWER((1+F22),'数据-取费表'!B21/2)-1)),4)</f>
        <v>1.2999999999999999E-3</v>
      </c>
      <c r="D44" s="244"/>
      <c r="E44" s="244"/>
      <c r="F44" s="245"/>
      <c r="G44" s="3474"/>
    </row>
    <row r="45" spans="1:7" s="220" customFormat="1" ht="13.5" customHeight="1">
      <c r="A45" s="866" t="s">
        <v>605</v>
      </c>
      <c r="B45" s="250" t="s">
        <v>112</v>
      </c>
      <c r="C45" s="251">
        <f>C46</f>
        <v>11785</v>
      </c>
      <c r="D45" s="241">
        <f>C47</f>
        <v>2.5999999999999999E-3</v>
      </c>
      <c r="E45" s="242" t="s">
        <v>129</v>
      </c>
      <c r="F45" s="252"/>
      <c r="G45" s="253" t="s">
        <v>859</v>
      </c>
    </row>
    <row r="46" spans="1:7" s="220" customFormat="1" ht="13.5" customHeight="1">
      <c r="A46" s="869" t="s">
        <v>613</v>
      </c>
      <c r="B46" s="254" t="s">
        <v>852</v>
      </c>
      <c r="C46" s="255">
        <f>ROUND((C33+C39)*F27,0)</f>
        <v>11785</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117146</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113632</v>
      </c>
      <c r="D51" s="238"/>
      <c r="E51" s="238"/>
      <c r="F51" s="270"/>
      <c r="G51" s="240" t="s">
        <v>64</v>
      </c>
    </row>
    <row r="52" spans="1:7" s="214" customFormat="1" ht="16.5" thickBot="1">
      <c r="A52" s="271" t="s">
        <v>65</v>
      </c>
      <c r="B52" s="272"/>
      <c r="C52" s="273">
        <f ca="1">C31+C51</f>
        <v>147370</v>
      </c>
      <c r="D52" s="272"/>
      <c r="E52" s="272"/>
      <c r="F52" s="272"/>
      <c r="G52" s="274"/>
    </row>
    <row r="55" spans="1:7" ht="15">
      <c r="B55" s="276" t="s">
        <v>66</v>
      </c>
      <c r="C55" s="277"/>
    </row>
    <row r="56" spans="1:7">
      <c r="B56" s="279" t="s">
        <v>67</v>
      </c>
      <c r="C56" s="280">
        <f ca="1">ROUND(C51/C52,3)</f>
        <v>0.77100000000000002</v>
      </c>
    </row>
    <row r="57" spans="1:7">
      <c r="B57" s="279" t="s">
        <v>68</v>
      </c>
      <c r="C57" s="281">
        <f ca="1">1-C56</f>
        <v>0.22899999999999998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6" t="s">
        <v>156</v>
      </c>
      <c r="B1" s="3626"/>
      <c r="C1" s="3626"/>
      <c r="D1" s="3626"/>
      <c r="E1" s="3626"/>
      <c r="F1" s="362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7" t="s">
        <v>169</v>
      </c>
      <c r="B2" s="3627"/>
      <c r="C2" s="3627"/>
      <c r="D2" s="3627"/>
      <c r="E2" s="3627"/>
      <c r="F2" s="362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6" t="s">
        <v>658</v>
      </c>
      <c r="B1" s="362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44769</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2812</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workbookViewId="0">
      <selection activeCell="AC22" sqref="AC22"/>
    </sheetView>
  </sheetViews>
  <sheetFormatPr defaultRowHeight="12"/>
  <cols>
    <col min="1" max="1" width="20" style="3243" customWidth="1"/>
    <col min="2" max="2" width="13.75" style="3243" hidden="1" customWidth="1"/>
    <col min="3" max="4" width="20" style="3243" hidden="1" customWidth="1"/>
    <col min="5" max="5" width="20" style="3243" customWidth="1"/>
    <col min="6" max="6" width="20" style="3243" hidden="1" customWidth="1"/>
    <col min="7" max="7" width="13.375" style="3243" customWidth="1"/>
    <col min="8" max="8" width="12.375" style="3243" customWidth="1"/>
    <col min="9" max="9" width="6.75" style="3243" customWidth="1"/>
    <col min="10" max="10" width="20" style="3243" customWidth="1"/>
    <col min="11" max="11" width="13.375" style="3243" customWidth="1"/>
    <col min="12" max="13" width="20" style="3243" hidden="1" customWidth="1"/>
    <col min="14" max="14" width="20" style="3243" customWidth="1"/>
    <col min="15" max="15" width="12.125" style="3243" customWidth="1"/>
    <col min="16" max="16" width="12.125" style="3243" hidden="1" customWidth="1"/>
    <col min="17" max="17" width="12.125" style="3243" customWidth="1"/>
    <col min="18" max="18" width="12.125" style="3243" hidden="1" customWidth="1"/>
    <col min="19" max="19" width="14.5" style="3243" customWidth="1"/>
    <col min="20" max="21" width="20" style="3243" hidden="1" customWidth="1"/>
    <col min="22" max="22" width="10.125" style="3243" customWidth="1"/>
    <col min="23" max="23" width="12.25" style="3243" customWidth="1"/>
    <col min="24" max="28" width="20" style="3243" hidden="1" customWidth="1"/>
    <col min="29" max="29" width="20" style="3243" customWidth="1"/>
    <col min="30" max="16384" width="9" style="3243"/>
  </cols>
  <sheetData>
    <row r="1" spans="1:30" ht="13.5">
      <c r="A1" s="3243" t="s">
        <v>3260</v>
      </c>
      <c r="B1" s="3243" t="s">
        <v>3261</v>
      </c>
      <c r="C1" s="3243" t="s">
        <v>3262</v>
      </c>
      <c r="D1" s="3243" t="s">
        <v>3263</v>
      </c>
      <c r="E1" s="3243" t="s">
        <v>3264</v>
      </c>
      <c r="F1" s="3243" t="s">
        <v>3265</v>
      </c>
      <c r="G1" s="3243" t="s">
        <v>3266</v>
      </c>
      <c r="H1" s="3243" t="s">
        <v>3267</v>
      </c>
      <c r="I1" s="3243" t="s">
        <v>3268</v>
      </c>
      <c r="J1" s="3243" t="s">
        <v>3269</v>
      </c>
      <c r="K1" s="3243" t="s">
        <v>3270</v>
      </c>
      <c r="L1" s="3243" t="s">
        <v>3271</v>
      </c>
      <c r="M1" s="3243" t="s">
        <v>3272</v>
      </c>
      <c r="N1" s="3243" t="s">
        <v>3273</v>
      </c>
      <c r="O1" s="3243" t="s">
        <v>3274</v>
      </c>
      <c r="P1" s="3243" t="s">
        <v>3275</v>
      </c>
      <c r="Q1" s="3243" t="s">
        <v>3276</v>
      </c>
      <c r="R1" s="3243" t="s">
        <v>3277</v>
      </c>
      <c r="S1" s="3243" t="s">
        <v>3278</v>
      </c>
      <c r="T1" s="3243" t="s">
        <v>3279</v>
      </c>
      <c r="U1" s="3243" t="s">
        <v>3280</v>
      </c>
      <c r="V1" s="3243" t="s">
        <v>3281</v>
      </c>
      <c r="W1" s="3243" t="s">
        <v>3282</v>
      </c>
      <c r="X1" s="3243" t="s">
        <v>3283</v>
      </c>
      <c r="Y1" s="3243" t="s">
        <v>3284</v>
      </c>
      <c r="Z1" s="3243" t="s">
        <v>3285</v>
      </c>
      <c r="AA1" s="3243" t="s">
        <v>3286</v>
      </c>
      <c r="AB1" s="3243" t="s">
        <v>3287</v>
      </c>
      <c r="AC1" s="3247" t="s">
        <v>3476</v>
      </c>
      <c r="AD1" s="3243" t="s">
        <v>3477</v>
      </c>
    </row>
    <row r="2" spans="1:30" s="3250" customFormat="1" ht="13.5">
      <c r="A2" s="3250" t="s">
        <v>3288</v>
      </c>
      <c r="B2" s="3250" t="s">
        <v>3289</v>
      </c>
      <c r="C2" s="3250" t="s">
        <v>3290</v>
      </c>
      <c r="D2" s="3250" t="s">
        <v>3291</v>
      </c>
      <c r="E2" s="3250" t="s">
        <v>3292</v>
      </c>
      <c r="F2" s="3250" t="s">
        <v>3293</v>
      </c>
      <c r="G2" s="3250">
        <v>60631.73</v>
      </c>
      <c r="H2" s="3250">
        <v>60631</v>
      </c>
      <c r="I2" s="3250" t="s">
        <v>3294</v>
      </c>
      <c r="J2" s="3250" t="s">
        <v>3295</v>
      </c>
      <c r="K2" s="3251">
        <v>44433.000497685185</v>
      </c>
      <c r="L2" s="3250" t="s">
        <v>3289</v>
      </c>
      <c r="M2" s="3250" t="s">
        <v>3298</v>
      </c>
      <c r="N2" s="3250" t="s">
        <v>3299</v>
      </c>
      <c r="O2" s="3250">
        <v>9621.02</v>
      </c>
      <c r="P2" s="3250">
        <v>105.79</v>
      </c>
      <c r="Q2" s="3250">
        <v>105.79</v>
      </c>
      <c r="R2" s="3250">
        <v>1587</v>
      </c>
      <c r="S2" s="3250">
        <v>1587</v>
      </c>
      <c r="T2" s="3250" t="s">
        <v>3297</v>
      </c>
      <c r="U2" s="3250" t="s">
        <v>3297</v>
      </c>
      <c r="V2" s="3250">
        <v>0</v>
      </c>
      <c r="W2" s="3250" t="s">
        <v>3300</v>
      </c>
      <c r="X2" s="3250" t="s">
        <v>3296</v>
      </c>
      <c r="Y2" s="3250" t="s">
        <v>3296</v>
      </c>
      <c r="Z2" s="3250" t="s">
        <v>3297</v>
      </c>
      <c r="AA2" s="3250" t="s">
        <v>3297</v>
      </c>
      <c r="AB2" s="3250" t="s">
        <v>3297</v>
      </c>
      <c r="AC2" s="3631">
        <v>1.5192000000000001</v>
      </c>
      <c r="AD2" s="3250">
        <f>ROUND(S2*$AC$2,0)</f>
        <v>2411</v>
      </c>
    </row>
    <row r="3" spans="1:30" s="3245" customFormat="1">
      <c r="A3" s="3245" t="s">
        <v>3301</v>
      </c>
      <c r="B3" s="3245" t="s">
        <v>3302</v>
      </c>
      <c r="C3" s="3245" t="s">
        <v>3290</v>
      </c>
      <c r="D3" s="3245" t="s">
        <v>3297</v>
      </c>
      <c r="E3" s="3245" t="s">
        <v>3303</v>
      </c>
      <c r="F3" s="3245" t="s">
        <v>3293</v>
      </c>
      <c r="G3" s="3245">
        <v>63922.57</v>
      </c>
      <c r="H3" s="3245">
        <v>102276</v>
      </c>
      <c r="I3" s="3245" t="s">
        <v>3304</v>
      </c>
      <c r="J3" s="3245" t="s">
        <v>3305</v>
      </c>
      <c r="K3" s="3246">
        <v>44189.000497685185</v>
      </c>
      <c r="L3" s="3245" t="s">
        <v>3302</v>
      </c>
      <c r="M3" s="3245" t="s">
        <v>3298</v>
      </c>
      <c r="N3" s="3245" t="s">
        <v>3306</v>
      </c>
      <c r="O3" s="3245">
        <v>13766.35</v>
      </c>
      <c r="P3" s="3245">
        <v>143.57</v>
      </c>
      <c r="Q3" s="3245">
        <v>143.57</v>
      </c>
      <c r="R3" s="3245">
        <v>1346</v>
      </c>
      <c r="S3" s="3245">
        <v>1346</v>
      </c>
      <c r="T3" s="3245" t="s">
        <v>3297</v>
      </c>
      <c r="U3" s="3245" t="s">
        <v>3297</v>
      </c>
      <c r="V3" s="3245">
        <v>0</v>
      </c>
      <c r="W3" s="3245" t="s">
        <v>3300</v>
      </c>
      <c r="X3" s="3245" t="s">
        <v>3296</v>
      </c>
      <c r="Y3" s="3245" t="s">
        <v>3296</v>
      </c>
      <c r="Z3" s="3245" t="s">
        <v>3297</v>
      </c>
      <c r="AA3" s="3245" t="s">
        <v>3297</v>
      </c>
      <c r="AB3" s="3245" t="s">
        <v>3297</v>
      </c>
      <c r="AD3" s="3245">
        <f>ROUND(S3*$AC$2,0)</f>
        <v>2045</v>
      </c>
    </row>
    <row r="4" spans="1:30" s="3250" customFormat="1">
      <c r="A4" s="3250" t="s">
        <v>3307</v>
      </c>
      <c r="B4" s="3250" t="s">
        <v>3308</v>
      </c>
      <c r="C4" s="3250" t="s">
        <v>3290</v>
      </c>
      <c r="D4" s="3250" t="s">
        <v>3297</v>
      </c>
      <c r="E4" s="3250" t="s">
        <v>3309</v>
      </c>
      <c r="F4" s="3250" t="s">
        <v>3293</v>
      </c>
      <c r="G4" s="3250">
        <v>47600.14</v>
      </c>
      <c r="H4" s="3250">
        <v>57120.17</v>
      </c>
      <c r="I4" s="3250" t="s">
        <v>3310</v>
      </c>
      <c r="J4" s="3250" t="s">
        <v>3295</v>
      </c>
      <c r="K4" s="3251">
        <v>44172.000497685185</v>
      </c>
      <c r="L4" s="3250" t="s">
        <v>3308</v>
      </c>
      <c r="M4" s="3250" t="s">
        <v>3298</v>
      </c>
      <c r="N4" s="3250" t="s">
        <v>3311</v>
      </c>
      <c r="O4" s="3250">
        <v>11020.35</v>
      </c>
      <c r="P4" s="3250">
        <v>154.35</v>
      </c>
      <c r="Q4" s="3250">
        <v>154.35</v>
      </c>
      <c r="R4" s="3250">
        <v>1929</v>
      </c>
      <c r="S4" s="3250">
        <v>1929</v>
      </c>
      <c r="T4" s="3250" t="s">
        <v>3297</v>
      </c>
      <c r="U4" s="3250" t="s">
        <v>3297</v>
      </c>
      <c r="V4" s="3250">
        <v>0</v>
      </c>
      <c r="W4" s="3250" t="s">
        <v>3300</v>
      </c>
      <c r="X4" s="3250" t="s">
        <v>3296</v>
      </c>
      <c r="Y4" s="3250" t="s">
        <v>3296</v>
      </c>
      <c r="Z4" s="3250" t="s">
        <v>3297</v>
      </c>
      <c r="AA4" s="3250" t="s">
        <v>3297</v>
      </c>
      <c r="AB4" s="3250" t="s">
        <v>3297</v>
      </c>
      <c r="AD4" s="3250">
        <f t="shared" ref="AD4:AD6" si="0">ROUND(S4*$AC$2,0)</f>
        <v>2931</v>
      </c>
    </row>
    <row r="5" spans="1:30" s="3245" customFormat="1">
      <c r="A5" s="3245" t="s">
        <v>3312</v>
      </c>
      <c r="B5" s="3245" t="s">
        <v>3313</v>
      </c>
      <c r="C5" s="3245" t="s">
        <v>3290</v>
      </c>
      <c r="D5" s="3245" t="s">
        <v>3297</v>
      </c>
      <c r="E5" s="3245" t="s">
        <v>3314</v>
      </c>
      <c r="F5" s="3245" t="s">
        <v>3293</v>
      </c>
      <c r="G5" s="3245">
        <v>65233.04</v>
      </c>
      <c r="H5" s="3245">
        <v>96104</v>
      </c>
      <c r="I5" s="3245" t="s">
        <v>3304</v>
      </c>
      <c r="J5" s="3245" t="s">
        <v>3315</v>
      </c>
      <c r="K5" s="3246">
        <v>43664.000497685185</v>
      </c>
      <c r="L5" s="3245" t="s">
        <v>3313</v>
      </c>
      <c r="M5" s="3245" t="s">
        <v>3298</v>
      </c>
      <c r="N5" s="3245" t="s">
        <v>3306</v>
      </c>
      <c r="O5" s="3245">
        <v>12877.94</v>
      </c>
      <c r="P5" s="3245">
        <v>131.61000000000001</v>
      </c>
      <c r="Q5" s="3245">
        <v>131.61000000000001</v>
      </c>
      <c r="R5" s="3245">
        <v>1340</v>
      </c>
      <c r="S5" s="3245">
        <v>1340</v>
      </c>
      <c r="T5" s="3245" t="s">
        <v>3297</v>
      </c>
      <c r="U5" s="3245" t="s">
        <v>3297</v>
      </c>
      <c r="V5" s="3245">
        <v>0</v>
      </c>
      <c r="W5" s="3245" t="s">
        <v>3300</v>
      </c>
      <c r="X5" s="3245" t="s">
        <v>3296</v>
      </c>
      <c r="Y5" s="3245" t="s">
        <v>3296</v>
      </c>
      <c r="Z5" s="3245" t="s">
        <v>3297</v>
      </c>
      <c r="AA5" s="3245" t="s">
        <v>3297</v>
      </c>
      <c r="AB5" s="3245" t="s">
        <v>3297</v>
      </c>
      <c r="AD5" s="3245">
        <f t="shared" si="0"/>
        <v>2036</v>
      </c>
    </row>
    <row r="6" spans="1:30" s="3245" customFormat="1">
      <c r="A6" s="3245" t="s">
        <v>3316</v>
      </c>
      <c r="B6" s="3245" t="s">
        <v>3317</v>
      </c>
      <c r="C6" s="3245" t="s">
        <v>3290</v>
      </c>
      <c r="D6" s="3245" t="s">
        <v>3297</v>
      </c>
      <c r="E6" s="3245" t="s">
        <v>3318</v>
      </c>
      <c r="F6" s="3245" t="s">
        <v>3293</v>
      </c>
      <c r="G6" s="3245">
        <v>20000</v>
      </c>
      <c r="H6" s="3245">
        <v>24000</v>
      </c>
      <c r="I6" s="3245" t="s">
        <v>3319</v>
      </c>
      <c r="J6" s="3245" t="s">
        <v>3320</v>
      </c>
      <c r="K6" s="3246">
        <v>43476.000497685185</v>
      </c>
      <c r="L6" s="3245" t="s">
        <v>3317</v>
      </c>
      <c r="M6" s="3245" t="s">
        <v>3298</v>
      </c>
      <c r="N6" s="3245" t="s">
        <v>3321</v>
      </c>
      <c r="O6" s="3245">
        <v>3271.5</v>
      </c>
      <c r="P6" s="3245">
        <v>109.05</v>
      </c>
      <c r="Q6" s="3245">
        <v>109.05</v>
      </c>
      <c r="R6" s="3245">
        <v>1363</v>
      </c>
      <c r="S6" s="3245">
        <v>1363</v>
      </c>
      <c r="T6" s="3245" t="s">
        <v>3297</v>
      </c>
      <c r="U6" s="3245" t="s">
        <v>3297</v>
      </c>
      <c r="V6" s="3245">
        <v>0</v>
      </c>
      <c r="W6" s="3245" t="s">
        <v>3300</v>
      </c>
      <c r="X6" s="3245" t="s">
        <v>3296</v>
      </c>
      <c r="Y6" s="3245" t="s">
        <v>3296</v>
      </c>
      <c r="Z6" s="3245" t="s">
        <v>3297</v>
      </c>
      <c r="AA6" s="3245" t="s">
        <v>3297</v>
      </c>
      <c r="AB6" s="3245" t="s">
        <v>3297</v>
      </c>
      <c r="AD6" s="3245">
        <f t="shared" si="0"/>
        <v>2071</v>
      </c>
    </row>
    <row r="7" spans="1:30">
      <c r="A7" s="3243" t="s">
        <v>3322</v>
      </c>
      <c r="B7" s="3243" t="s">
        <v>3323</v>
      </c>
      <c r="C7" s="3243" t="s">
        <v>3290</v>
      </c>
      <c r="D7" s="3243" t="s">
        <v>3297</v>
      </c>
      <c r="E7" s="3243" t="s">
        <v>3318</v>
      </c>
      <c r="F7" s="3243" t="s">
        <v>3293</v>
      </c>
      <c r="G7" s="3243">
        <v>38375</v>
      </c>
      <c r="H7" s="3243">
        <v>46050</v>
      </c>
      <c r="I7" s="3243" t="s">
        <v>3319</v>
      </c>
      <c r="J7" s="3243" t="s">
        <v>3320</v>
      </c>
      <c r="K7" s="3244">
        <v>43469.000497685185</v>
      </c>
      <c r="L7" s="3243" t="s">
        <v>3323</v>
      </c>
      <c r="M7" s="3243" t="s">
        <v>3298</v>
      </c>
      <c r="N7" s="3243" t="s">
        <v>3324</v>
      </c>
      <c r="O7" s="3243">
        <v>10703.66</v>
      </c>
      <c r="P7" s="3243">
        <v>185.95</v>
      </c>
      <c r="Q7" s="3243">
        <v>185.95</v>
      </c>
      <c r="R7" s="3243">
        <v>2324</v>
      </c>
      <c r="S7" s="3243">
        <v>2324</v>
      </c>
      <c r="T7" s="3243" t="s">
        <v>3297</v>
      </c>
      <c r="U7" s="3243" t="s">
        <v>3297</v>
      </c>
      <c r="V7" s="3243">
        <v>0</v>
      </c>
      <c r="W7" s="3243" t="s">
        <v>3300</v>
      </c>
      <c r="X7" s="3243" t="s">
        <v>3296</v>
      </c>
      <c r="Y7" s="3243" t="s">
        <v>3296</v>
      </c>
      <c r="Z7" s="3243" t="s">
        <v>3297</v>
      </c>
      <c r="AA7" s="3243" t="s">
        <v>3297</v>
      </c>
      <c r="AB7" s="3243" t="s">
        <v>3297</v>
      </c>
    </row>
    <row r="8" spans="1:30">
      <c r="A8" s="3243" t="s">
        <v>3325</v>
      </c>
      <c r="B8" s="3243" t="s">
        <v>3326</v>
      </c>
      <c r="C8" s="3243" t="s">
        <v>3290</v>
      </c>
      <c r="D8" s="3243" t="s">
        <v>3297</v>
      </c>
      <c r="E8" s="3243" t="s">
        <v>3309</v>
      </c>
      <c r="F8" s="3243" t="s">
        <v>3293</v>
      </c>
      <c r="G8" s="3243">
        <v>55333.599999999999</v>
      </c>
      <c r="H8" s="3243">
        <v>66400</v>
      </c>
      <c r="I8" s="3243" t="s">
        <v>3310</v>
      </c>
      <c r="J8" s="3243" t="s">
        <v>3320</v>
      </c>
      <c r="K8" s="3244">
        <v>42817.000497685185</v>
      </c>
      <c r="L8" s="3243" t="s">
        <v>3326</v>
      </c>
      <c r="M8" s="3243" t="s">
        <v>3298</v>
      </c>
      <c r="N8" s="3243" t="s">
        <v>3327</v>
      </c>
      <c r="O8" s="3243">
        <v>9634</v>
      </c>
      <c r="P8" s="3243">
        <v>116.07</v>
      </c>
      <c r="Q8" s="3243">
        <v>116.07</v>
      </c>
      <c r="R8" s="3243">
        <v>1451</v>
      </c>
      <c r="S8" s="3243">
        <v>1451</v>
      </c>
      <c r="T8" s="3243" t="s">
        <v>3297</v>
      </c>
      <c r="U8" s="3243" t="s">
        <v>3297</v>
      </c>
      <c r="V8" s="3243">
        <v>0</v>
      </c>
      <c r="W8" s="3243" t="s">
        <v>3328</v>
      </c>
      <c r="X8" s="3243" t="s">
        <v>3296</v>
      </c>
      <c r="Y8" s="3243" t="s">
        <v>3296</v>
      </c>
      <c r="Z8" s="3243" t="s">
        <v>3297</v>
      </c>
      <c r="AA8" s="3243" t="s">
        <v>3297</v>
      </c>
      <c r="AB8" s="3243" t="s">
        <v>3297</v>
      </c>
    </row>
    <row r="9" spans="1:30">
      <c r="A9" s="3243" t="s">
        <v>3329</v>
      </c>
      <c r="B9" s="3243" t="s">
        <v>3330</v>
      </c>
      <c r="C9" s="3243" t="s">
        <v>3290</v>
      </c>
      <c r="D9" s="3243" t="s">
        <v>3297</v>
      </c>
      <c r="E9" s="3243" t="s">
        <v>3331</v>
      </c>
      <c r="F9" s="3243" t="s">
        <v>3293</v>
      </c>
      <c r="G9" s="3243">
        <v>57769</v>
      </c>
      <c r="H9" s="3243">
        <v>57769</v>
      </c>
      <c r="I9" s="3243" t="s">
        <v>3294</v>
      </c>
      <c r="J9" s="3243" t="s">
        <v>3295</v>
      </c>
      <c r="K9" s="3244">
        <v>42698.000497685185</v>
      </c>
      <c r="L9" s="3243" t="s">
        <v>3330</v>
      </c>
      <c r="M9" s="3243" t="s">
        <v>3298</v>
      </c>
      <c r="N9" s="3243" t="s">
        <v>3332</v>
      </c>
      <c r="O9" s="3243">
        <v>7505</v>
      </c>
      <c r="P9" s="3243">
        <v>86.61</v>
      </c>
      <c r="Q9" s="3243">
        <v>86.61</v>
      </c>
      <c r="R9" s="3243">
        <v>1299</v>
      </c>
      <c r="S9" s="3243">
        <v>1299</v>
      </c>
      <c r="T9" s="3243" t="s">
        <v>3297</v>
      </c>
      <c r="U9" s="3243" t="s">
        <v>3297</v>
      </c>
      <c r="V9" s="3243">
        <v>0</v>
      </c>
      <c r="W9" s="3243" t="s">
        <v>3328</v>
      </c>
      <c r="X9" s="3243" t="s">
        <v>3296</v>
      </c>
      <c r="Y9" s="3243" t="s">
        <v>3296</v>
      </c>
      <c r="Z9" s="3243" t="s">
        <v>3297</v>
      </c>
      <c r="AA9" s="3243" t="s">
        <v>3297</v>
      </c>
      <c r="AB9" s="3243" t="s">
        <v>3297</v>
      </c>
    </row>
    <row r="10" spans="1:30">
      <c r="A10" s="3243" t="s">
        <v>3333</v>
      </c>
      <c r="B10" s="3243" t="s">
        <v>3334</v>
      </c>
      <c r="C10" s="3243" t="s">
        <v>3290</v>
      </c>
      <c r="D10" s="3243" t="s">
        <v>3297</v>
      </c>
      <c r="E10" s="3243" t="s">
        <v>3335</v>
      </c>
      <c r="F10" s="3243" t="s">
        <v>3293</v>
      </c>
      <c r="G10" s="3243">
        <v>32779.72</v>
      </c>
      <c r="H10" s="3243">
        <v>39335.660000000003</v>
      </c>
      <c r="I10" s="3243" t="s">
        <v>3310</v>
      </c>
      <c r="J10" s="3243" t="s">
        <v>3295</v>
      </c>
      <c r="K10" s="3244">
        <v>42698.000497685185</v>
      </c>
      <c r="L10" s="3243" t="s">
        <v>3334</v>
      </c>
      <c r="M10" s="3243" t="s">
        <v>3298</v>
      </c>
      <c r="N10" s="3243" t="s">
        <v>3336</v>
      </c>
      <c r="O10" s="3243">
        <v>4456</v>
      </c>
      <c r="P10" s="3243">
        <v>90.63</v>
      </c>
      <c r="Q10" s="3243">
        <v>90.63</v>
      </c>
      <c r="R10" s="3243">
        <v>1133</v>
      </c>
      <c r="S10" s="3243">
        <v>1133</v>
      </c>
      <c r="T10" s="3243" t="s">
        <v>3297</v>
      </c>
      <c r="U10" s="3243" t="s">
        <v>3297</v>
      </c>
      <c r="V10" s="3243">
        <v>0</v>
      </c>
      <c r="W10" s="3243" t="s">
        <v>3328</v>
      </c>
      <c r="X10" s="3243" t="s">
        <v>3296</v>
      </c>
      <c r="Y10" s="3243" t="s">
        <v>3296</v>
      </c>
      <c r="Z10" s="3243" t="s">
        <v>3297</v>
      </c>
      <c r="AA10" s="3243" t="s">
        <v>3297</v>
      </c>
      <c r="AB10" s="3243" t="s">
        <v>3297</v>
      </c>
    </row>
    <row r="11" spans="1:30">
      <c r="A11" s="3243" t="s">
        <v>3337</v>
      </c>
      <c r="B11" s="3243" t="s">
        <v>3338</v>
      </c>
      <c r="C11" s="3243" t="s">
        <v>3290</v>
      </c>
      <c r="D11" s="3243" t="s">
        <v>3297</v>
      </c>
      <c r="E11" s="3243" t="s">
        <v>3309</v>
      </c>
      <c r="F11" s="3243" t="s">
        <v>3293</v>
      </c>
      <c r="G11" s="3243">
        <v>32326.54</v>
      </c>
      <c r="H11" s="3243">
        <v>38791.85</v>
      </c>
      <c r="I11" s="3243" t="s">
        <v>3310</v>
      </c>
      <c r="J11" s="3243" t="s">
        <v>3320</v>
      </c>
      <c r="K11" s="3244">
        <v>42401.000497685185</v>
      </c>
      <c r="L11" s="3243" t="s">
        <v>3338</v>
      </c>
      <c r="M11" s="3243" t="s">
        <v>3298</v>
      </c>
      <c r="N11" s="3243" t="s">
        <v>3339</v>
      </c>
      <c r="O11" s="3243">
        <v>4194</v>
      </c>
      <c r="P11" s="3243">
        <v>86.49</v>
      </c>
      <c r="Q11" s="3243">
        <v>86.49</v>
      </c>
      <c r="R11" s="3243">
        <v>1081</v>
      </c>
      <c r="S11" s="3243">
        <v>1081</v>
      </c>
      <c r="T11" s="3243" t="s">
        <v>3297</v>
      </c>
      <c r="U11" s="3243" t="s">
        <v>3297</v>
      </c>
      <c r="V11" s="3243">
        <v>0</v>
      </c>
      <c r="W11" s="3243" t="s">
        <v>3328</v>
      </c>
      <c r="X11" s="3243" t="s">
        <v>3296</v>
      </c>
      <c r="Y11" s="3243" t="s">
        <v>3296</v>
      </c>
      <c r="Z11" s="3243" t="s">
        <v>3297</v>
      </c>
      <c r="AA11" s="3243" t="s">
        <v>3297</v>
      </c>
      <c r="AB11" s="3243" t="s">
        <v>3297</v>
      </c>
    </row>
    <row r="12" spans="1:30">
      <c r="A12" s="3243" t="s">
        <v>3340</v>
      </c>
      <c r="B12" s="3243" t="s">
        <v>3341</v>
      </c>
      <c r="C12" s="3243" t="s">
        <v>3290</v>
      </c>
      <c r="D12" s="3243" t="s">
        <v>3297</v>
      </c>
      <c r="E12" s="3243" t="s">
        <v>3309</v>
      </c>
      <c r="F12" s="3243" t="s">
        <v>3293</v>
      </c>
      <c r="G12" s="3243">
        <v>31995.71</v>
      </c>
      <c r="H12" s="3243">
        <v>38394.85</v>
      </c>
      <c r="I12" s="3243" t="s">
        <v>3310</v>
      </c>
      <c r="J12" s="3243" t="s">
        <v>3320</v>
      </c>
      <c r="K12" s="3244">
        <v>42397.000497685185</v>
      </c>
      <c r="L12" s="3243" t="s">
        <v>3341</v>
      </c>
      <c r="M12" s="3243" t="s">
        <v>3298</v>
      </c>
      <c r="N12" s="3243" t="s">
        <v>3342</v>
      </c>
      <c r="O12" s="3243">
        <v>4151</v>
      </c>
      <c r="P12" s="3243">
        <v>86.49</v>
      </c>
      <c r="Q12" s="3243">
        <v>86.49</v>
      </c>
      <c r="R12" s="3243">
        <v>1081</v>
      </c>
      <c r="S12" s="3243">
        <v>1081</v>
      </c>
      <c r="T12" s="3243" t="s">
        <v>3297</v>
      </c>
      <c r="U12" s="3243" t="s">
        <v>3297</v>
      </c>
      <c r="V12" s="3243">
        <v>0</v>
      </c>
      <c r="W12" s="3243" t="s">
        <v>3328</v>
      </c>
      <c r="X12" s="3243" t="s">
        <v>3296</v>
      </c>
      <c r="Y12" s="3243" t="s">
        <v>3296</v>
      </c>
      <c r="Z12" s="3243" t="s">
        <v>3297</v>
      </c>
      <c r="AA12" s="3243" t="s">
        <v>3297</v>
      </c>
      <c r="AB12" s="3243" t="s">
        <v>3297</v>
      </c>
    </row>
    <row r="13" spans="1:30">
      <c r="A13" s="3243" t="s">
        <v>3343</v>
      </c>
      <c r="B13" s="3243" t="s">
        <v>3344</v>
      </c>
      <c r="C13" s="3243" t="s">
        <v>3290</v>
      </c>
      <c r="D13" s="3243" t="s">
        <v>3297</v>
      </c>
      <c r="E13" s="3243" t="s">
        <v>3345</v>
      </c>
      <c r="F13" s="3243" t="s">
        <v>3293</v>
      </c>
      <c r="G13" s="3243">
        <v>49749.07</v>
      </c>
      <c r="H13" s="3243">
        <v>49749.07</v>
      </c>
      <c r="I13" s="3243" t="s">
        <v>3294</v>
      </c>
      <c r="J13" s="3243" t="s">
        <v>3320</v>
      </c>
      <c r="K13" s="3244">
        <v>42394.000497685185</v>
      </c>
      <c r="L13" s="3243" t="s">
        <v>3344</v>
      </c>
      <c r="M13" s="3243" t="s">
        <v>3298</v>
      </c>
      <c r="N13" s="3243" t="s">
        <v>3346</v>
      </c>
      <c r="O13" s="3243">
        <v>6156</v>
      </c>
      <c r="P13" s="3243">
        <v>82.49</v>
      </c>
      <c r="Q13" s="3243">
        <v>82.49</v>
      </c>
      <c r="R13" s="3243">
        <v>1237</v>
      </c>
      <c r="S13" s="3243">
        <v>1237</v>
      </c>
      <c r="T13" s="3243" t="s">
        <v>3297</v>
      </c>
      <c r="U13" s="3243" t="s">
        <v>3297</v>
      </c>
      <c r="V13" s="3243">
        <v>0</v>
      </c>
      <c r="W13" s="3243" t="s">
        <v>3328</v>
      </c>
      <c r="X13" s="3243" t="s">
        <v>3296</v>
      </c>
      <c r="Y13" s="3243" t="s">
        <v>3296</v>
      </c>
      <c r="Z13" s="3243" t="s">
        <v>3297</v>
      </c>
      <c r="AA13" s="3243" t="s">
        <v>3297</v>
      </c>
      <c r="AB13" s="3243" t="s">
        <v>3297</v>
      </c>
    </row>
    <row r="14" spans="1:30">
      <c r="A14" s="3243" t="s">
        <v>3347</v>
      </c>
      <c r="B14" s="3243" t="s">
        <v>3348</v>
      </c>
      <c r="C14" s="3243" t="s">
        <v>3290</v>
      </c>
      <c r="D14" s="3243" t="s">
        <v>3297</v>
      </c>
      <c r="E14" s="3243" t="s">
        <v>3349</v>
      </c>
      <c r="F14" s="3243" t="s">
        <v>3293</v>
      </c>
      <c r="G14" s="3243">
        <v>10121</v>
      </c>
      <c r="H14" s="3243">
        <v>10121</v>
      </c>
      <c r="I14" s="3243" t="s">
        <v>3350</v>
      </c>
      <c r="J14" s="3243" t="s">
        <v>3320</v>
      </c>
      <c r="K14" s="3244">
        <v>42362.000497685185</v>
      </c>
      <c r="L14" s="3243" t="s">
        <v>3348</v>
      </c>
      <c r="M14" s="3243" t="s">
        <v>3298</v>
      </c>
      <c r="N14" s="3243" t="s">
        <v>3351</v>
      </c>
      <c r="O14" s="3243">
        <v>926</v>
      </c>
      <c r="P14" s="3243">
        <v>61</v>
      </c>
      <c r="Q14" s="3243">
        <v>61</v>
      </c>
      <c r="R14" s="3243">
        <v>915</v>
      </c>
      <c r="S14" s="3243">
        <v>915</v>
      </c>
      <c r="T14" s="3243" t="s">
        <v>3297</v>
      </c>
      <c r="U14" s="3243" t="s">
        <v>3297</v>
      </c>
      <c r="V14" s="3243">
        <v>0</v>
      </c>
      <c r="W14" s="3243" t="s">
        <v>3328</v>
      </c>
      <c r="X14" s="3243" t="s">
        <v>3296</v>
      </c>
      <c r="Y14" s="3243" t="s">
        <v>3296</v>
      </c>
      <c r="Z14" s="3243" t="s">
        <v>3297</v>
      </c>
      <c r="AA14" s="3243" t="s">
        <v>3297</v>
      </c>
      <c r="AB14" s="3243" t="s">
        <v>3297</v>
      </c>
    </row>
    <row r="15" spans="1:30">
      <c r="A15" s="3243" t="s">
        <v>3352</v>
      </c>
      <c r="B15" s="3243" t="s">
        <v>3353</v>
      </c>
      <c r="C15" s="3243" t="s">
        <v>3290</v>
      </c>
      <c r="D15" s="3243" t="s">
        <v>3297</v>
      </c>
      <c r="E15" s="3243" t="s">
        <v>3292</v>
      </c>
      <c r="F15" s="3243" t="s">
        <v>3293</v>
      </c>
      <c r="G15" s="3243">
        <v>25137.72</v>
      </c>
      <c r="H15" s="3243">
        <v>25137.72</v>
      </c>
      <c r="I15" s="3243" t="s">
        <v>3354</v>
      </c>
      <c r="J15" s="3243" t="s">
        <v>3320</v>
      </c>
      <c r="K15" s="3244">
        <v>42263.000497685185</v>
      </c>
      <c r="L15" s="3243" t="s">
        <v>3353</v>
      </c>
      <c r="M15" s="3243" t="s">
        <v>3298</v>
      </c>
      <c r="N15" s="3243" t="s">
        <v>3355</v>
      </c>
      <c r="O15" s="3243">
        <v>2984</v>
      </c>
      <c r="P15" s="3243">
        <v>79.14</v>
      </c>
      <c r="Q15" s="3243">
        <v>79.14</v>
      </c>
      <c r="R15" s="3243">
        <v>1187</v>
      </c>
      <c r="S15" s="3243">
        <v>1187</v>
      </c>
      <c r="T15" s="3243" t="s">
        <v>3297</v>
      </c>
      <c r="U15" s="3243" t="s">
        <v>3297</v>
      </c>
      <c r="V15" s="3243">
        <v>0</v>
      </c>
      <c r="W15" s="3243" t="s">
        <v>3328</v>
      </c>
      <c r="X15" s="3243" t="s">
        <v>3296</v>
      </c>
      <c r="Y15" s="3243" t="s">
        <v>3296</v>
      </c>
      <c r="Z15" s="3243" t="s">
        <v>3297</v>
      </c>
      <c r="AA15" s="3243" t="s">
        <v>3297</v>
      </c>
      <c r="AB15" s="3243" t="s">
        <v>3297</v>
      </c>
    </row>
    <row r="16" spans="1:30">
      <c r="A16" s="3243" t="s">
        <v>3356</v>
      </c>
      <c r="B16" s="3243" t="s">
        <v>3357</v>
      </c>
      <c r="C16" s="3243" t="s">
        <v>3290</v>
      </c>
      <c r="D16" s="3243" t="s">
        <v>3297</v>
      </c>
      <c r="E16" s="3243" t="s">
        <v>3292</v>
      </c>
      <c r="F16" s="3243" t="s">
        <v>3293</v>
      </c>
      <c r="G16" s="3243">
        <v>12530</v>
      </c>
      <c r="H16" s="3243">
        <v>12530</v>
      </c>
      <c r="I16" s="3243" t="s">
        <v>3354</v>
      </c>
      <c r="J16" s="3243" t="s">
        <v>3320</v>
      </c>
      <c r="K16" s="3244">
        <v>42263.000497685185</v>
      </c>
      <c r="L16" s="3243" t="s">
        <v>3357</v>
      </c>
      <c r="M16" s="3243" t="s">
        <v>3298</v>
      </c>
      <c r="N16" s="3243" t="s">
        <v>3355</v>
      </c>
      <c r="O16" s="3243">
        <v>1488</v>
      </c>
      <c r="P16" s="3243">
        <v>79.17</v>
      </c>
      <c r="Q16" s="3243">
        <v>79.17</v>
      </c>
      <c r="R16" s="3243">
        <v>1188</v>
      </c>
      <c r="S16" s="3243">
        <v>1188</v>
      </c>
      <c r="T16" s="3243" t="s">
        <v>3297</v>
      </c>
      <c r="U16" s="3243" t="s">
        <v>3297</v>
      </c>
      <c r="V16" s="3243">
        <v>0</v>
      </c>
      <c r="W16" s="3243" t="s">
        <v>3328</v>
      </c>
      <c r="X16" s="3243" t="s">
        <v>3296</v>
      </c>
      <c r="Y16" s="3243" t="s">
        <v>3296</v>
      </c>
      <c r="Z16" s="3243" t="s">
        <v>3297</v>
      </c>
      <c r="AA16" s="3243" t="s">
        <v>3297</v>
      </c>
      <c r="AB16" s="3243" t="s">
        <v>3297</v>
      </c>
    </row>
    <row r="17" spans="1:28">
      <c r="A17" s="3243" t="s">
        <v>3358</v>
      </c>
      <c r="B17" s="3243" t="s">
        <v>3359</v>
      </c>
      <c r="C17" s="3243" t="s">
        <v>3290</v>
      </c>
      <c r="D17" s="3243" t="s">
        <v>3297</v>
      </c>
      <c r="E17" s="3243" t="s">
        <v>3309</v>
      </c>
      <c r="F17" s="3243" t="s">
        <v>3293</v>
      </c>
      <c r="G17" s="3243">
        <v>69999.3</v>
      </c>
      <c r="H17" s="3243">
        <v>83999.16</v>
      </c>
      <c r="I17" s="3243" t="s">
        <v>3319</v>
      </c>
      <c r="J17" s="3243" t="s">
        <v>3320</v>
      </c>
      <c r="K17" s="3244">
        <v>41745.000497685185</v>
      </c>
      <c r="L17" s="3243" t="s">
        <v>3359</v>
      </c>
      <c r="M17" s="3243" t="s">
        <v>3298</v>
      </c>
      <c r="N17" s="3243" t="s">
        <v>3360</v>
      </c>
      <c r="O17" s="3243">
        <v>11315</v>
      </c>
      <c r="P17" s="3243">
        <v>107.76</v>
      </c>
      <c r="Q17" s="3243">
        <v>107.76</v>
      </c>
      <c r="R17" s="3243">
        <v>1347</v>
      </c>
      <c r="S17" s="3243">
        <v>1347</v>
      </c>
      <c r="T17" s="3243" t="s">
        <v>3297</v>
      </c>
      <c r="U17" s="3243" t="s">
        <v>3297</v>
      </c>
      <c r="V17" s="3243">
        <v>0</v>
      </c>
      <c r="W17" s="3243" t="s">
        <v>3328</v>
      </c>
      <c r="X17" s="3243" t="s">
        <v>3296</v>
      </c>
      <c r="Y17" s="3243" t="s">
        <v>3296</v>
      </c>
      <c r="Z17" s="3243" t="s">
        <v>3297</v>
      </c>
      <c r="AA17" s="3243" t="s">
        <v>3297</v>
      </c>
      <c r="AB17" s="3243" t="s">
        <v>3297</v>
      </c>
    </row>
    <row r="18" spans="1:28">
      <c r="A18" s="3243" t="s">
        <v>3361</v>
      </c>
      <c r="B18" s="3243" t="s">
        <v>3362</v>
      </c>
      <c r="C18" s="3243" t="s">
        <v>3290</v>
      </c>
      <c r="D18" s="3243" t="s">
        <v>3297</v>
      </c>
      <c r="E18" s="3243" t="s">
        <v>3363</v>
      </c>
      <c r="F18" s="3243" t="s">
        <v>3293</v>
      </c>
      <c r="G18" s="3243">
        <v>60631</v>
      </c>
      <c r="H18" s="3243">
        <v>60631</v>
      </c>
      <c r="I18" s="3243" t="s">
        <v>3364</v>
      </c>
      <c r="J18" s="3243" t="s">
        <v>3320</v>
      </c>
      <c r="K18" s="3244">
        <v>41740.000497685185</v>
      </c>
      <c r="L18" s="3243" t="s">
        <v>3362</v>
      </c>
      <c r="M18" s="3243" t="s">
        <v>3298</v>
      </c>
      <c r="N18" s="3243" t="s">
        <v>3365</v>
      </c>
      <c r="O18" s="3243">
        <v>6579</v>
      </c>
      <c r="P18" s="3243">
        <v>72.34</v>
      </c>
      <c r="Q18" s="3243">
        <v>72.34</v>
      </c>
      <c r="R18" s="3243">
        <v>1085</v>
      </c>
      <c r="S18" s="3243">
        <v>1085</v>
      </c>
      <c r="T18" s="3243" t="s">
        <v>3297</v>
      </c>
      <c r="U18" s="3243" t="s">
        <v>3297</v>
      </c>
      <c r="V18" s="3243">
        <v>0</v>
      </c>
      <c r="W18" s="3243" t="s">
        <v>3328</v>
      </c>
      <c r="X18" s="3243" t="s">
        <v>3296</v>
      </c>
      <c r="Y18" s="3243" t="s">
        <v>3296</v>
      </c>
      <c r="Z18" s="3243" t="s">
        <v>3297</v>
      </c>
      <c r="AA18" s="3243" t="s">
        <v>3297</v>
      </c>
      <c r="AB18" s="3243" t="s">
        <v>3297</v>
      </c>
    </row>
    <row r="19" spans="1:28">
      <c r="A19" s="3243" t="s">
        <v>3366</v>
      </c>
      <c r="B19" s="3243" t="s">
        <v>3367</v>
      </c>
      <c r="C19" s="3243" t="s">
        <v>3290</v>
      </c>
      <c r="D19" s="3243" t="s">
        <v>3297</v>
      </c>
      <c r="E19" s="3243" t="s">
        <v>3309</v>
      </c>
      <c r="F19" s="3243" t="s">
        <v>3293</v>
      </c>
      <c r="G19" s="3243">
        <v>16666.78</v>
      </c>
      <c r="H19" s="3243">
        <v>20000.14</v>
      </c>
      <c r="I19" s="3243" t="s">
        <v>3319</v>
      </c>
      <c r="J19" s="3243" t="s">
        <v>3320</v>
      </c>
      <c r="K19" s="3244">
        <v>41738.000497685185</v>
      </c>
      <c r="L19" s="3243" t="s">
        <v>3367</v>
      </c>
      <c r="M19" s="3243" t="s">
        <v>3298</v>
      </c>
      <c r="N19" s="3243" t="s">
        <v>3368</v>
      </c>
      <c r="O19" s="3243">
        <v>2695</v>
      </c>
      <c r="P19" s="3243">
        <v>107.8</v>
      </c>
      <c r="Q19" s="3243">
        <v>107.8</v>
      </c>
      <c r="R19" s="3243">
        <v>1347</v>
      </c>
      <c r="S19" s="3243">
        <v>1347</v>
      </c>
      <c r="T19" s="3243" t="s">
        <v>3297</v>
      </c>
      <c r="U19" s="3243" t="s">
        <v>3297</v>
      </c>
      <c r="V19" s="3243">
        <v>0</v>
      </c>
      <c r="W19" s="3243" t="s">
        <v>3328</v>
      </c>
      <c r="X19" s="3243" t="s">
        <v>3296</v>
      </c>
      <c r="Y19" s="3243" t="s">
        <v>3296</v>
      </c>
      <c r="Z19" s="3243" t="s">
        <v>3297</v>
      </c>
      <c r="AA19" s="3243" t="s">
        <v>3297</v>
      </c>
      <c r="AB19" s="3243" t="s">
        <v>3297</v>
      </c>
    </row>
    <row r="20" spans="1:28">
      <c r="A20" s="3243" t="s">
        <v>3369</v>
      </c>
      <c r="B20" s="3243" t="s">
        <v>3370</v>
      </c>
      <c r="C20" s="3243" t="s">
        <v>3290</v>
      </c>
      <c r="D20" s="3243" t="s">
        <v>3297</v>
      </c>
      <c r="E20" s="3243" t="s">
        <v>3363</v>
      </c>
      <c r="F20" s="3243" t="s">
        <v>3293</v>
      </c>
      <c r="G20" s="3243">
        <v>41557</v>
      </c>
      <c r="H20" s="3243">
        <v>41557</v>
      </c>
      <c r="I20" s="3243" t="s">
        <v>3364</v>
      </c>
      <c r="J20" s="3243" t="s">
        <v>3320</v>
      </c>
      <c r="K20" s="3244">
        <v>41737.000497685185</v>
      </c>
      <c r="L20" s="3243" t="s">
        <v>3370</v>
      </c>
      <c r="M20" s="3243" t="s">
        <v>3298</v>
      </c>
      <c r="N20" s="3243" t="s">
        <v>3371</v>
      </c>
      <c r="O20" s="3243">
        <v>4509</v>
      </c>
      <c r="P20" s="3243">
        <v>72.33</v>
      </c>
      <c r="Q20" s="3243">
        <v>72.33</v>
      </c>
      <c r="R20" s="3243">
        <v>1085</v>
      </c>
      <c r="S20" s="3243">
        <v>1085</v>
      </c>
      <c r="T20" s="3243" t="s">
        <v>3297</v>
      </c>
      <c r="U20" s="3243" t="s">
        <v>3297</v>
      </c>
      <c r="V20" s="3243">
        <v>0</v>
      </c>
      <c r="W20" s="3243" t="s">
        <v>3328</v>
      </c>
      <c r="X20" s="3243" t="s">
        <v>3296</v>
      </c>
      <c r="Y20" s="3243" t="s">
        <v>3296</v>
      </c>
      <c r="Z20" s="3243" t="s">
        <v>3297</v>
      </c>
      <c r="AA20" s="3243" t="s">
        <v>3297</v>
      </c>
      <c r="AB20" s="3243" t="s">
        <v>3297</v>
      </c>
    </row>
    <row r="21" spans="1:28">
      <c r="A21" s="3243" t="s">
        <v>3372</v>
      </c>
      <c r="B21" s="3243" t="s">
        <v>3373</v>
      </c>
      <c r="C21" s="3243" t="s">
        <v>3290</v>
      </c>
      <c r="D21" s="3243" t="s">
        <v>3297</v>
      </c>
      <c r="E21" s="3243" t="s">
        <v>3309</v>
      </c>
      <c r="F21" s="3243" t="s">
        <v>3293</v>
      </c>
      <c r="G21" s="3243">
        <v>24075.919999999998</v>
      </c>
      <c r="H21" s="3243">
        <v>20063.27</v>
      </c>
      <c r="I21" s="3243" t="s">
        <v>3374</v>
      </c>
      <c r="J21" s="3243" t="s">
        <v>3320</v>
      </c>
      <c r="K21" s="3244">
        <v>41737.000497685185</v>
      </c>
      <c r="L21" s="3243" t="s">
        <v>3373</v>
      </c>
      <c r="M21" s="3243" t="s">
        <v>3298</v>
      </c>
      <c r="N21" s="3243" t="s">
        <v>3375</v>
      </c>
      <c r="O21" s="3243">
        <v>3244</v>
      </c>
      <c r="P21" s="3243">
        <v>89.83</v>
      </c>
      <c r="Q21" s="3243">
        <v>89.83</v>
      </c>
      <c r="R21" s="3243">
        <v>1617</v>
      </c>
      <c r="S21" s="3243">
        <v>1617</v>
      </c>
      <c r="T21" s="3243" t="s">
        <v>3297</v>
      </c>
      <c r="U21" s="3243" t="s">
        <v>3297</v>
      </c>
      <c r="V21" s="3243">
        <v>0</v>
      </c>
      <c r="W21" s="3243" t="s">
        <v>3328</v>
      </c>
      <c r="X21" s="3243" t="s">
        <v>3296</v>
      </c>
      <c r="Y21" s="3243" t="s">
        <v>3296</v>
      </c>
      <c r="Z21" s="3243" t="s">
        <v>3297</v>
      </c>
      <c r="AA21" s="3243" t="s">
        <v>3297</v>
      </c>
      <c r="AB21" s="3243" t="s">
        <v>3297</v>
      </c>
    </row>
    <row r="22" spans="1:28">
      <c r="A22" s="3243" t="s">
        <v>3376</v>
      </c>
      <c r="B22" s="3243" t="s">
        <v>3377</v>
      </c>
      <c r="C22" s="3243" t="s">
        <v>3290</v>
      </c>
      <c r="D22" s="3243" t="s">
        <v>3297</v>
      </c>
      <c r="E22" s="3243" t="s">
        <v>3309</v>
      </c>
      <c r="F22" s="3243" t="s">
        <v>3293</v>
      </c>
      <c r="G22" s="3243">
        <v>23332.67</v>
      </c>
      <c r="H22" s="3243">
        <v>27999.200000000001</v>
      </c>
      <c r="I22" s="3243" t="s">
        <v>3319</v>
      </c>
      <c r="J22" s="3243" t="s">
        <v>3320</v>
      </c>
      <c r="K22" s="3244">
        <v>41732.000497685185</v>
      </c>
      <c r="L22" s="3243" t="s">
        <v>3377</v>
      </c>
      <c r="M22" s="3243" t="s">
        <v>3298</v>
      </c>
      <c r="N22" s="3243" t="s">
        <v>3378</v>
      </c>
      <c r="O22" s="3243">
        <v>3772</v>
      </c>
      <c r="P22" s="3243">
        <v>107.77</v>
      </c>
      <c r="Q22" s="3243">
        <v>107.77</v>
      </c>
      <c r="R22" s="3243">
        <v>1347</v>
      </c>
      <c r="S22" s="3243">
        <v>1347</v>
      </c>
      <c r="T22" s="3243" t="s">
        <v>3297</v>
      </c>
      <c r="U22" s="3243" t="s">
        <v>3297</v>
      </c>
      <c r="V22" s="3243">
        <v>0</v>
      </c>
      <c r="W22" s="3243" t="s">
        <v>3328</v>
      </c>
      <c r="X22" s="3243" t="s">
        <v>3296</v>
      </c>
      <c r="Y22" s="3243" t="s">
        <v>3296</v>
      </c>
      <c r="Z22" s="3243" t="s">
        <v>3297</v>
      </c>
      <c r="AA22" s="3243" t="s">
        <v>3297</v>
      </c>
      <c r="AB22" s="3243" t="s">
        <v>3297</v>
      </c>
    </row>
    <row r="23" spans="1:28">
      <c r="A23" s="3243" t="s">
        <v>3379</v>
      </c>
      <c r="B23" s="3243" t="s">
        <v>3380</v>
      </c>
      <c r="C23" s="3243" t="s">
        <v>3290</v>
      </c>
      <c r="D23" s="3243" t="s">
        <v>3297</v>
      </c>
      <c r="E23" s="3243" t="s">
        <v>3363</v>
      </c>
      <c r="F23" s="3243" t="s">
        <v>3293</v>
      </c>
      <c r="G23" s="3243">
        <v>40289</v>
      </c>
      <c r="H23" s="3243">
        <v>40289</v>
      </c>
      <c r="I23" s="3243" t="s">
        <v>3364</v>
      </c>
      <c r="J23" s="3243" t="s">
        <v>3320</v>
      </c>
      <c r="K23" s="3244">
        <v>41732.000497685185</v>
      </c>
      <c r="L23" s="3243" t="s">
        <v>3380</v>
      </c>
      <c r="M23" s="3243" t="s">
        <v>3298</v>
      </c>
      <c r="N23" s="3243" t="s">
        <v>3381</v>
      </c>
      <c r="O23" s="3243">
        <v>4372</v>
      </c>
      <c r="P23" s="3243">
        <v>72.34</v>
      </c>
      <c r="Q23" s="3243">
        <v>72.34</v>
      </c>
      <c r="R23" s="3243">
        <v>1085</v>
      </c>
      <c r="S23" s="3243">
        <v>1085</v>
      </c>
      <c r="T23" s="3243" t="s">
        <v>3297</v>
      </c>
      <c r="U23" s="3243" t="s">
        <v>3297</v>
      </c>
      <c r="V23" s="3243">
        <v>0</v>
      </c>
      <c r="W23" s="3243" t="s">
        <v>3328</v>
      </c>
      <c r="X23" s="3243" t="s">
        <v>3296</v>
      </c>
      <c r="Y23" s="3243" t="s">
        <v>3296</v>
      </c>
      <c r="Z23" s="3243" t="s">
        <v>3297</v>
      </c>
      <c r="AA23" s="3243" t="s">
        <v>3297</v>
      </c>
      <c r="AB23" s="3243" t="s">
        <v>3297</v>
      </c>
    </row>
    <row r="24" spans="1:28">
      <c r="A24" s="3243" t="s">
        <v>3382</v>
      </c>
      <c r="B24" s="3243" t="s">
        <v>3383</v>
      </c>
      <c r="C24" s="3243" t="s">
        <v>3290</v>
      </c>
      <c r="D24" s="3243" t="s">
        <v>3297</v>
      </c>
      <c r="E24" s="3243" t="s">
        <v>3309</v>
      </c>
      <c r="F24" s="3243" t="s">
        <v>3293</v>
      </c>
      <c r="G24" s="3243">
        <v>13526.61</v>
      </c>
      <c r="H24" s="3243">
        <v>13526.61</v>
      </c>
      <c r="I24" s="3243" t="s">
        <v>3364</v>
      </c>
      <c r="J24" s="3243" t="s">
        <v>3320</v>
      </c>
      <c r="K24" s="3244">
        <v>41732.000497685185</v>
      </c>
      <c r="L24" s="3243" t="s">
        <v>3383</v>
      </c>
      <c r="M24" s="3243" t="s">
        <v>3298</v>
      </c>
      <c r="N24" s="3243" t="s">
        <v>3384</v>
      </c>
      <c r="O24" s="3243">
        <v>1746</v>
      </c>
      <c r="P24" s="3243">
        <v>86.05</v>
      </c>
      <c r="Q24" s="3243">
        <v>86.05</v>
      </c>
      <c r="R24" s="3243">
        <v>1291</v>
      </c>
      <c r="S24" s="3243">
        <v>1291</v>
      </c>
      <c r="T24" s="3243" t="s">
        <v>3297</v>
      </c>
      <c r="U24" s="3243" t="s">
        <v>3297</v>
      </c>
      <c r="V24" s="3243">
        <v>0</v>
      </c>
      <c r="W24" s="3243" t="s">
        <v>3328</v>
      </c>
      <c r="X24" s="3243" t="s">
        <v>3296</v>
      </c>
      <c r="Y24" s="3243" t="s">
        <v>3296</v>
      </c>
      <c r="Z24" s="3243" t="s">
        <v>3297</v>
      </c>
      <c r="AA24" s="3243" t="s">
        <v>3297</v>
      </c>
      <c r="AB24" s="3243" t="s">
        <v>3297</v>
      </c>
    </row>
    <row r="25" spans="1:28">
      <c r="A25" s="3243" t="s">
        <v>3385</v>
      </c>
      <c r="B25" s="3243" t="s">
        <v>3386</v>
      </c>
      <c r="C25" s="3243" t="s">
        <v>3290</v>
      </c>
      <c r="D25" s="3243" t="s">
        <v>3297</v>
      </c>
      <c r="E25" s="3243" t="s">
        <v>3309</v>
      </c>
      <c r="F25" s="3243" t="s">
        <v>3293</v>
      </c>
      <c r="G25" s="3243">
        <v>23887.03</v>
      </c>
      <c r="H25" s="3243">
        <v>28664.44</v>
      </c>
      <c r="I25" s="3243" t="s">
        <v>3319</v>
      </c>
      <c r="J25" s="3243" t="s">
        <v>3320</v>
      </c>
      <c r="K25" s="3244">
        <v>41732.000497685185</v>
      </c>
      <c r="L25" s="3243" t="s">
        <v>3386</v>
      </c>
      <c r="M25" s="3243" t="s">
        <v>3298</v>
      </c>
      <c r="N25" s="3243" t="s">
        <v>3387</v>
      </c>
      <c r="O25" s="3243">
        <v>3862</v>
      </c>
      <c r="P25" s="3243">
        <v>107.79</v>
      </c>
      <c r="Q25" s="3243">
        <v>107.79</v>
      </c>
      <c r="R25" s="3243">
        <v>1347</v>
      </c>
      <c r="S25" s="3243">
        <v>1347</v>
      </c>
      <c r="T25" s="3243" t="s">
        <v>3297</v>
      </c>
      <c r="U25" s="3243" t="s">
        <v>3297</v>
      </c>
      <c r="V25" s="3243">
        <v>0</v>
      </c>
      <c r="W25" s="3243" t="s">
        <v>3328</v>
      </c>
      <c r="X25" s="3243" t="s">
        <v>3296</v>
      </c>
      <c r="Y25" s="3243" t="s">
        <v>3296</v>
      </c>
      <c r="Z25" s="3243" t="s">
        <v>3297</v>
      </c>
      <c r="AA25" s="3243" t="s">
        <v>3297</v>
      </c>
      <c r="AB25" s="3243" t="s">
        <v>3297</v>
      </c>
    </row>
    <row r="26" spans="1:28">
      <c r="A26" s="3243" t="s">
        <v>3388</v>
      </c>
      <c r="B26" s="3243" t="s">
        <v>3389</v>
      </c>
      <c r="C26" s="3243" t="s">
        <v>3290</v>
      </c>
      <c r="D26" s="3243" t="s">
        <v>3297</v>
      </c>
      <c r="E26" s="3243" t="s">
        <v>3363</v>
      </c>
      <c r="F26" s="3243" t="s">
        <v>3293</v>
      </c>
      <c r="G26" s="3243">
        <v>233216</v>
      </c>
      <c r="H26" s="3243">
        <v>233216</v>
      </c>
      <c r="I26" s="3243" t="s">
        <v>3364</v>
      </c>
      <c r="J26" s="3243" t="s">
        <v>3320</v>
      </c>
      <c r="K26" s="3244">
        <v>41732.000497685185</v>
      </c>
      <c r="L26" s="3243" t="s">
        <v>3389</v>
      </c>
      <c r="M26" s="3243" t="s">
        <v>3298</v>
      </c>
      <c r="N26" s="3243" t="s">
        <v>3390</v>
      </c>
      <c r="O26" s="3243">
        <v>25304</v>
      </c>
      <c r="P26" s="3243">
        <v>72.33</v>
      </c>
      <c r="Q26" s="3243">
        <v>72.33</v>
      </c>
      <c r="R26" s="3243">
        <v>1085</v>
      </c>
      <c r="S26" s="3243">
        <v>1085</v>
      </c>
      <c r="T26" s="3243" t="s">
        <v>3297</v>
      </c>
      <c r="U26" s="3243" t="s">
        <v>3297</v>
      </c>
      <c r="V26" s="3243">
        <v>0</v>
      </c>
      <c r="W26" s="3243" t="s">
        <v>3328</v>
      </c>
      <c r="X26" s="3243" t="s">
        <v>3296</v>
      </c>
      <c r="Y26" s="3243" t="s">
        <v>3296</v>
      </c>
      <c r="Z26" s="3243" t="s">
        <v>3297</v>
      </c>
      <c r="AA26" s="3243" t="s">
        <v>3297</v>
      </c>
      <c r="AB26" s="3243" t="s">
        <v>3297</v>
      </c>
    </row>
    <row r="27" spans="1:28">
      <c r="A27" s="3243" t="s">
        <v>3391</v>
      </c>
      <c r="B27" s="3243" t="s">
        <v>3392</v>
      </c>
      <c r="C27" s="3243" t="s">
        <v>3290</v>
      </c>
      <c r="D27" s="3243" t="s">
        <v>3297</v>
      </c>
      <c r="E27" s="3243" t="s">
        <v>3393</v>
      </c>
      <c r="F27" s="3243" t="s">
        <v>3293</v>
      </c>
      <c r="G27" s="3243">
        <v>30608</v>
      </c>
      <c r="H27" s="3243">
        <v>61216</v>
      </c>
      <c r="I27" s="3243" t="s">
        <v>3394</v>
      </c>
      <c r="J27" s="3243" t="s">
        <v>3320</v>
      </c>
      <c r="K27" s="3244">
        <v>41701.000497685185</v>
      </c>
      <c r="L27" s="3243" t="s">
        <v>3392</v>
      </c>
      <c r="M27" s="3243" t="s">
        <v>3298</v>
      </c>
      <c r="N27" s="3243" t="s">
        <v>3395</v>
      </c>
      <c r="O27" s="3243">
        <v>3252</v>
      </c>
      <c r="P27" s="3243">
        <v>70.83</v>
      </c>
      <c r="Q27" s="3243">
        <v>70.83</v>
      </c>
      <c r="R27" s="3243">
        <v>531</v>
      </c>
      <c r="S27" s="3243">
        <v>531</v>
      </c>
      <c r="T27" s="3243" t="s">
        <v>3297</v>
      </c>
      <c r="U27" s="3243" t="s">
        <v>3297</v>
      </c>
      <c r="V27" s="3243">
        <v>0</v>
      </c>
      <c r="W27" s="3243" t="s">
        <v>3328</v>
      </c>
      <c r="X27" s="3243" t="s">
        <v>3296</v>
      </c>
      <c r="Y27" s="3243" t="s">
        <v>3296</v>
      </c>
      <c r="Z27" s="3243" t="s">
        <v>3297</v>
      </c>
      <c r="AA27" s="3243" t="s">
        <v>3297</v>
      </c>
      <c r="AB27" s="3243" t="s">
        <v>3297</v>
      </c>
    </row>
    <row r="28" spans="1:28">
      <c r="A28" s="3243" t="s">
        <v>3396</v>
      </c>
      <c r="B28" s="3243" t="s">
        <v>3397</v>
      </c>
      <c r="C28" s="3243" t="s">
        <v>3290</v>
      </c>
      <c r="D28" s="3243" t="s">
        <v>3297</v>
      </c>
      <c r="E28" s="3243" t="s">
        <v>3309</v>
      </c>
      <c r="F28" s="3243" t="s">
        <v>3293</v>
      </c>
      <c r="G28" s="3243">
        <v>65755.539999999994</v>
      </c>
      <c r="H28" s="3243">
        <v>78906.649999999994</v>
      </c>
      <c r="I28" s="3243" t="s">
        <v>3319</v>
      </c>
      <c r="J28" s="3243" t="s">
        <v>3320</v>
      </c>
      <c r="K28" s="3244">
        <v>41655.000497685185</v>
      </c>
      <c r="L28" s="3243" t="s">
        <v>3397</v>
      </c>
      <c r="M28" s="3243" t="s">
        <v>3298</v>
      </c>
      <c r="N28" s="3243" t="s">
        <v>3398</v>
      </c>
      <c r="O28" s="3243">
        <v>8620</v>
      </c>
      <c r="P28" s="3243">
        <v>87.39</v>
      </c>
      <c r="Q28" s="3243">
        <v>87.39</v>
      </c>
      <c r="R28" s="3243">
        <v>1092</v>
      </c>
      <c r="S28" s="3243">
        <v>1092</v>
      </c>
      <c r="T28" s="3243" t="s">
        <v>3297</v>
      </c>
      <c r="U28" s="3243" t="s">
        <v>3297</v>
      </c>
      <c r="V28" s="3243">
        <v>0</v>
      </c>
      <c r="W28" s="3243" t="s">
        <v>3328</v>
      </c>
      <c r="X28" s="3243" t="s">
        <v>3296</v>
      </c>
      <c r="Y28" s="3243" t="s">
        <v>3296</v>
      </c>
      <c r="Z28" s="3243" t="s">
        <v>3297</v>
      </c>
      <c r="AA28" s="3243" t="s">
        <v>3297</v>
      </c>
      <c r="AB28" s="3243" t="s">
        <v>3297</v>
      </c>
    </row>
    <row r="29" spans="1:28">
      <c r="A29" s="3243" t="s">
        <v>3399</v>
      </c>
      <c r="B29" s="3243" t="s">
        <v>3400</v>
      </c>
      <c r="C29" s="3243" t="s">
        <v>3290</v>
      </c>
      <c r="D29" s="3243" t="s">
        <v>3297</v>
      </c>
      <c r="E29" s="3243" t="s">
        <v>3401</v>
      </c>
      <c r="F29" s="3243" t="s">
        <v>3293</v>
      </c>
      <c r="G29" s="3243">
        <v>125646</v>
      </c>
      <c r="H29" s="3243">
        <v>184429</v>
      </c>
      <c r="I29" s="3243" t="s">
        <v>3402</v>
      </c>
      <c r="J29" s="3243" t="s">
        <v>3320</v>
      </c>
      <c r="K29" s="3244">
        <v>41639.000497685185</v>
      </c>
      <c r="L29" s="3243" t="s">
        <v>3400</v>
      </c>
      <c r="M29" s="3243" t="s">
        <v>3298</v>
      </c>
      <c r="N29" s="3243" t="s">
        <v>3403</v>
      </c>
      <c r="O29" s="3243">
        <v>13098</v>
      </c>
      <c r="P29" s="3243">
        <v>69.5</v>
      </c>
      <c r="Q29" s="3243">
        <v>69.5</v>
      </c>
      <c r="R29" s="3243">
        <v>710</v>
      </c>
      <c r="S29" s="3243">
        <v>710</v>
      </c>
      <c r="T29" s="3243" t="s">
        <v>3297</v>
      </c>
      <c r="U29" s="3243" t="s">
        <v>3297</v>
      </c>
      <c r="V29" s="3243">
        <v>0</v>
      </c>
      <c r="W29" s="3243" t="s">
        <v>3328</v>
      </c>
      <c r="X29" s="3243" t="s">
        <v>3296</v>
      </c>
      <c r="Y29" s="3243" t="s">
        <v>3296</v>
      </c>
      <c r="Z29" s="3243" t="s">
        <v>3297</v>
      </c>
      <c r="AA29" s="3243" t="s">
        <v>3297</v>
      </c>
      <c r="AB29" s="3243" t="s">
        <v>3297</v>
      </c>
    </row>
    <row r="30" spans="1:28">
      <c r="A30" s="3243" t="s">
        <v>3404</v>
      </c>
      <c r="B30" s="3243" t="s">
        <v>3405</v>
      </c>
      <c r="C30" s="3243" t="s">
        <v>3290</v>
      </c>
      <c r="D30" s="3243" t="s">
        <v>3297</v>
      </c>
      <c r="E30" s="3243" t="s">
        <v>3309</v>
      </c>
      <c r="F30" s="3243" t="s">
        <v>3293</v>
      </c>
      <c r="G30" s="3243">
        <v>27039.83</v>
      </c>
      <c r="H30" s="3243">
        <v>32447.8</v>
      </c>
      <c r="I30" s="3243" t="s">
        <v>3319</v>
      </c>
      <c r="J30" s="3243" t="s">
        <v>3320</v>
      </c>
      <c r="K30" s="3244">
        <v>41569.000497685185</v>
      </c>
      <c r="L30" s="3243" t="s">
        <v>3405</v>
      </c>
      <c r="M30" s="3243" t="s">
        <v>3298</v>
      </c>
      <c r="N30" s="3243" t="s">
        <v>3406</v>
      </c>
      <c r="O30" s="3243">
        <v>4371</v>
      </c>
      <c r="P30" s="3243">
        <v>107.77</v>
      </c>
      <c r="Q30" s="3243">
        <v>107.77</v>
      </c>
      <c r="R30" s="3243">
        <v>1347</v>
      </c>
      <c r="S30" s="3243">
        <v>1347</v>
      </c>
      <c r="T30" s="3243" t="s">
        <v>3297</v>
      </c>
      <c r="U30" s="3243" t="s">
        <v>3297</v>
      </c>
      <c r="V30" s="3243">
        <v>0</v>
      </c>
      <c r="W30" s="3243" t="s">
        <v>3328</v>
      </c>
      <c r="X30" s="3243" t="s">
        <v>3296</v>
      </c>
      <c r="Y30" s="3243" t="s">
        <v>3296</v>
      </c>
      <c r="Z30" s="3243" t="s">
        <v>3297</v>
      </c>
      <c r="AA30" s="3243" t="s">
        <v>3297</v>
      </c>
      <c r="AB30" s="3243" t="s">
        <v>3297</v>
      </c>
    </row>
    <row r="31" spans="1:28">
      <c r="A31" s="3243" t="s">
        <v>3407</v>
      </c>
      <c r="B31" s="3243" t="s">
        <v>3408</v>
      </c>
      <c r="C31" s="3243" t="s">
        <v>3290</v>
      </c>
      <c r="D31" s="3243" t="s">
        <v>3297</v>
      </c>
      <c r="E31" s="3243" t="s">
        <v>3309</v>
      </c>
      <c r="F31" s="3243" t="s">
        <v>3293</v>
      </c>
      <c r="G31" s="3243">
        <v>26951.98</v>
      </c>
      <c r="H31" s="3243">
        <v>32342.38</v>
      </c>
      <c r="I31" s="3243" t="s">
        <v>3319</v>
      </c>
      <c r="J31" s="3243" t="s">
        <v>3320</v>
      </c>
      <c r="K31" s="3244">
        <v>41565.000497685185</v>
      </c>
      <c r="L31" s="3243" t="s">
        <v>3408</v>
      </c>
      <c r="M31" s="3243" t="s">
        <v>3298</v>
      </c>
      <c r="N31" s="3243" t="s">
        <v>3409</v>
      </c>
      <c r="O31" s="3243">
        <v>4357</v>
      </c>
      <c r="P31" s="3243">
        <v>107.77</v>
      </c>
      <c r="Q31" s="3243">
        <v>107.77</v>
      </c>
      <c r="R31" s="3243">
        <v>1347</v>
      </c>
      <c r="S31" s="3243">
        <v>1347</v>
      </c>
      <c r="T31" s="3243" t="s">
        <v>3297</v>
      </c>
      <c r="U31" s="3243" t="s">
        <v>3297</v>
      </c>
      <c r="V31" s="3243">
        <v>0</v>
      </c>
      <c r="W31" s="3243" t="s">
        <v>3328</v>
      </c>
      <c r="X31" s="3243" t="s">
        <v>3296</v>
      </c>
      <c r="Y31" s="3243" t="s">
        <v>3296</v>
      </c>
      <c r="Z31" s="3243" t="s">
        <v>3297</v>
      </c>
      <c r="AA31" s="3243" t="s">
        <v>3297</v>
      </c>
      <c r="AB31" s="3243" t="s">
        <v>3297</v>
      </c>
    </row>
    <row r="32" spans="1:28">
      <c r="A32" s="3243" t="s">
        <v>3410</v>
      </c>
      <c r="B32" s="3243" t="s">
        <v>3411</v>
      </c>
      <c r="C32" s="3243" t="s">
        <v>3290</v>
      </c>
      <c r="D32" s="3243" t="s">
        <v>3297</v>
      </c>
      <c r="E32" s="3243" t="s">
        <v>3412</v>
      </c>
      <c r="F32" s="3243" t="s">
        <v>3293</v>
      </c>
      <c r="G32" s="3243">
        <v>9739.41</v>
      </c>
      <c r="H32" s="3243">
        <v>24348</v>
      </c>
      <c r="I32" s="3243" t="s">
        <v>3413</v>
      </c>
      <c r="J32" s="3243" t="s">
        <v>3414</v>
      </c>
      <c r="K32" s="3244">
        <v>41565.000497685185</v>
      </c>
      <c r="L32" s="3243" t="s">
        <v>3411</v>
      </c>
      <c r="M32" s="3243" t="s">
        <v>3298</v>
      </c>
      <c r="N32" s="3243" t="s">
        <v>3415</v>
      </c>
      <c r="O32" s="3243">
        <v>3279</v>
      </c>
      <c r="P32" s="3243">
        <v>224.45</v>
      </c>
      <c r="Q32" s="3243">
        <v>224.45</v>
      </c>
      <c r="R32" s="3243">
        <v>1347</v>
      </c>
      <c r="S32" s="3243">
        <v>1347</v>
      </c>
      <c r="T32" s="3243" t="s">
        <v>3297</v>
      </c>
      <c r="U32" s="3243" t="s">
        <v>3297</v>
      </c>
      <c r="V32" s="3243">
        <v>0</v>
      </c>
      <c r="W32" s="3243" t="s">
        <v>3328</v>
      </c>
      <c r="X32" s="3243" t="s">
        <v>3296</v>
      </c>
      <c r="Y32" s="3243" t="s">
        <v>3296</v>
      </c>
      <c r="Z32" s="3243" t="s">
        <v>3297</v>
      </c>
      <c r="AA32" s="3243" t="s">
        <v>3297</v>
      </c>
      <c r="AB32" s="3243" t="s">
        <v>3297</v>
      </c>
    </row>
    <row r="33" spans="1:28">
      <c r="A33" s="3243" t="s">
        <v>3416</v>
      </c>
      <c r="B33" s="3243" t="s">
        <v>3417</v>
      </c>
      <c r="C33" s="3243" t="s">
        <v>3290</v>
      </c>
      <c r="D33" s="3243" t="s">
        <v>3297</v>
      </c>
      <c r="E33" s="3243" t="s">
        <v>3412</v>
      </c>
      <c r="F33" s="3243" t="s">
        <v>3293</v>
      </c>
      <c r="G33" s="3243">
        <v>20008.05</v>
      </c>
      <c r="H33" s="3243">
        <v>50020</v>
      </c>
      <c r="I33" s="3243" t="s">
        <v>3413</v>
      </c>
      <c r="J33" s="3243" t="s">
        <v>3414</v>
      </c>
      <c r="K33" s="3244">
        <v>41565.000497685185</v>
      </c>
      <c r="L33" s="3243" t="s">
        <v>3417</v>
      </c>
      <c r="M33" s="3243" t="s">
        <v>3298</v>
      </c>
      <c r="N33" s="3243" t="s">
        <v>3415</v>
      </c>
      <c r="O33" s="3243">
        <v>6736</v>
      </c>
      <c r="P33" s="3243">
        <v>224.44</v>
      </c>
      <c r="Q33" s="3243">
        <v>224.44</v>
      </c>
      <c r="R33" s="3243">
        <v>1347</v>
      </c>
      <c r="S33" s="3243">
        <v>1347</v>
      </c>
      <c r="T33" s="3243" t="s">
        <v>3297</v>
      </c>
      <c r="U33" s="3243" t="s">
        <v>3297</v>
      </c>
      <c r="V33" s="3243">
        <v>0</v>
      </c>
      <c r="W33" s="3243" t="s">
        <v>3328</v>
      </c>
      <c r="X33" s="3243" t="s">
        <v>3296</v>
      </c>
      <c r="Y33" s="3243" t="s">
        <v>3296</v>
      </c>
      <c r="Z33" s="3243" t="s">
        <v>3297</v>
      </c>
      <c r="AA33" s="3243" t="s">
        <v>3297</v>
      </c>
      <c r="AB33" s="3243" t="s">
        <v>3297</v>
      </c>
    </row>
    <row r="34" spans="1:28">
      <c r="A34" s="3243" t="s">
        <v>3418</v>
      </c>
      <c r="B34" s="3243" t="s">
        <v>3419</v>
      </c>
      <c r="C34" s="3243" t="s">
        <v>3290</v>
      </c>
      <c r="D34" s="3243" t="s">
        <v>3297</v>
      </c>
      <c r="E34" s="3243" t="s">
        <v>3309</v>
      </c>
      <c r="F34" s="3243" t="s">
        <v>3293</v>
      </c>
      <c r="G34" s="3243">
        <v>23898.27</v>
      </c>
      <c r="H34" s="3243">
        <v>28677.82</v>
      </c>
      <c r="I34" s="3243" t="s">
        <v>3319</v>
      </c>
      <c r="J34" s="3243" t="s">
        <v>3320</v>
      </c>
      <c r="K34" s="3244">
        <v>41506.000497685185</v>
      </c>
      <c r="L34" s="3243" t="s">
        <v>3419</v>
      </c>
      <c r="M34" s="3243" t="s">
        <v>3298</v>
      </c>
      <c r="N34" s="3243" t="s">
        <v>3420</v>
      </c>
      <c r="O34" s="3243">
        <v>3863</v>
      </c>
      <c r="P34" s="3243">
        <v>107.76</v>
      </c>
      <c r="Q34" s="3243">
        <v>107.76</v>
      </c>
      <c r="R34" s="3243">
        <v>1347</v>
      </c>
      <c r="S34" s="3243">
        <v>1347</v>
      </c>
      <c r="T34" s="3243" t="s">
        <v>3297</v>
      </c>
      <c r="U34" s="3243" t="s">
        <v>3297</v>
      </c>
      <c r="V34" s="3243">
        <v>0</v>
      </c>
      <c r="W34" s="3243" t="s">
        <v>3328</v>
      </c>
      <c r="X34" s="3243" t="s">
        <v>3296</v>
      </c>
      <c r="Y34" s="3243" t="s">
        <v>3296</v>
      </c>
      <c r="Z34" s="3243" t="s">
        <v>3297</v>
      </c>
      <c r="AA34" s="3243" t="s">
        <v>3297</v>
      </c>
      <c r="AB34" s="3243" t="s">
        <v>3297</v>
      </c>
    </row>
    <row r="35" spans="1:28">
      <c r="A35" s="3243" t="s">
        <v>3421</v>
      </c>
      <c r="B35" s="3243" t="s">
        <v>3422</v>
      </c>
      <c r="C35" s="3243" t="s">
        <v>3290</v>
      </c>
      <c r="D35" s="3243" t="s">
        <v>3297</v>
      </c>
      <c r="E35" s="3243" t="s">
        <v>3309</v>
      </c>
      <c r="F35" s="3243" t="s">
        <v>3293</v>
      </c>
      <c r="G35" s="3243">
        <v>24318.400000000001</v>
      </c>
      <c r="H35" s="3243">
        <v>29182.080000000002</v>
      </c>
      <c r="I35" s="3243" t="s">
        <v>3319</v>
      </c>
      <c r="J35" s="3243" t="s">
        <v>3320</v>
      </c>
      <c r="K35" s="3244">
        <v>41499.000497685185</v>
      </c>
      <c r="L35" s="3243" t="s">
        <v>3422</v>
      </c>
      <c r="M35" s="3243" t="s">
        <v>3298</v>
      </c>
      <c r="N35" s="3243" t="s">
        <v>3423</v>
      </c>
      <c r="O35" s="3243">
        <v>3931</v>
      </c>
      <c r="P35" s="3243">
        <v>107.76</v>
      </c>
      <c r="Q35" s="3243">
        <v>107.76</v>
      </c>
      <c r="R35" s="3243">
        <v>1347</v>
      </c>
      <c r="S35" s="3243">
        <v>1347</v>
      </c>
      <c r="T35" s="3243" t="s">
        <v>3297</v>
      </c>
      <c r="U35" s="3243" t="s">
        <v>3297</v>
      </c>
      <c r="V35" s="3243">
        <v>0</v>
      </c>
      <c r="W35" s="3243" t="s">
        <v>3328</v>
      </c>
      <c r="X35" s="3243" t="s">
        <v>3296</v>
      </c>
      <c r="Y35" s="3243" t="s">
        <v>3296</v>
      </c>
      <c r="Z35" s="3243" t="s">
        <v>3297</v>
      </c>
      <c r="AA35" s="3243" t="s">
        <v>3297</v>
      </c>
      <c r="AB35" s="3243" t="s">
        <v>3297</v>
      </c>
    </row>
    <row r="36" spans="1:28">
      <c r="A36" s="3243" t="s">
        <v>3424</v>
      </c>
      <c r="B36" s="3243" t="s">
        <v>3425</v>
      </c>
      <c r="C36" s="3243" t="s">
        <v>3290</v>
      </c>
      <c r="D36" s="3243" t="s">
        <v>3297</v>
      </c>
      <c r="E36" s="3243" t="s">
        <v>3309</v>
      </c>
      <c r="F36" s="3243" t="s">
        <v>3293</v>
      </c>
      <c r="G36" s="3243">
        <v>28391.14</v>
      </c>
      <c r="H36" s="3243">
        <v>34069.370000000003</v>
      </c>
      <c r="I36" s="3243" t="s">
        <v>3319</v>
      </c>
      <c r="J36" s="3243" t="s">
        <v>3320</v>
      </c>
      <c r="K36" s="3244">
        <v>41499.000497685185</v>
      </c>
      <c r="L36" s="3243" t="s">
        <v>3425</v>
      </c>
      <c r="M36" s="3243" t="s">
        <v>3298</v>
      </c>
      <c r="N36" s="3243" t="s">
        <v>3426</v>
      </c>
      <c r="O36" s="3243">
        <v>4590</v>
      </c>
      <c r="P36" s="3243">
        <v>107.78</v>
      </c>
      <c r="Q36" s="3243">
        <v>107.78</v>
      </c>
      <c r="R36" s="3243">
        <v>1347</v>
      </c>
      <c r="S36" s="3243">
        <v>1347</v>
      </c>
      <c r="T36" s="3243" t="s">
        <v>3297</v>
      </c>
      <c r="U36" s="3243" t="s">
        <v>3297</v>
      </c>
      <c r="V36" s="3243">
        <v>0</v>
      </c>
      <c r="W36" s="3243" t="s">
        <v>3328</v>
      </c>
      <c r="X36" s="3243" t="s">
        <v>3296</v>
      </c>
      <c r="Y36" s="3243" t="s">
        <v>3296</v>
      </c>
      <c r="Z36" s="3243" t="s">
        <v>3297</v>
      </c>
      <c r="AA36" s="3243" t="s">
        <v>3297</v>
      </c>
      <c r="AB36" s="3243" t="s">
        <v>3297</v>
      </c>
    </row>
    <row r="37" spans="1:28">
      <c r="A37" s="3243" t="s">
        <v>3427</v>
      </c>
      <c r="B37" s="3243" t="s">
        <v>3428</v>
      </c>
      <c r="C37" s="3243" t="s">
        <v>3290</v>
      </c>
      <c r="D37" s="3243" t="s">
        <v>3297</v>
      </c>
      <c r="E37" s="3243" t="s">
        <v>3309</v>
      </c>
      <c r="F37" s="3243" t="s">
        <v>3293</v>
      </c>
      <c r="G37" s="3243">
        <v>22140.61</v>
      </c>
      <c r="H37" s="3243">
        <v>26568.73</v>
      </c>
      <c r="I37" s="3243" t="s">
        <v>3319</v>
      </c>
      <c r="J37" s="3243" t="s">
        <v>3320</v>
      </c>
      <c r="K37" s="3244">
        <v>41486.000497685185</v>
      </c>
      <c r="L37" s="3243" t="s">
        <v>3428</v>
      </c>
      <c r="M37" s="3243" t="s">
        <v>3298</v>
      </c>
      <c r="N37" s="3243" t="s">
        <v>3429</v>
      </c>
      <c r="O37" s="3243">
        <v>3579</v>
      </c>
      <c r="P37" s="3243">
        <v>107.77</v>
      </c>
      <c r="Q37" s="3243">
        <v>107.77</v>
      </c>
      <c r="R37" s="3243">
        <v>1347</v>
      </c>
      <c r="S37" s="3243">
        <v>1347</v>
      </c>
      <c r="T37" s="3243" t="s">
        <v>3297</v>
      </c>
      <c r="U37" s="3243" t="s">
        <v>3297</v>
      </c>
      <c r="V37" s="3243">
        <v>0</v>
      </c>
      <c r="W37" s="3243" t="s">
        <v>3328</v>
      </c>
      <c r="X37" s="3243" t="s">
        <v>3296</v>
      </c>
      <c r="Y37" s="3243" t="s">
        <v>3296</v>
      </c>
      <c r="Z37" s="3243" t="s">
        <v>3297</v>
      </c>
      <c r="AA37" s="3243" t="s">
        <v>3297</v>
      </c>
      <c r="AB37" s="3243" t="s">
        <v>3297</v>
      </c>
    </row>
    <row r="38" spans="1:28">
      <c r="A38" s="3243" t="s">
        <v>3430</v>
      </c>
      <c r="B38" s="3243" t="s">
        <v>3431</v>
      </c>
      <c r="C38" s="3243" t="s">
        <v>3290</v>
      </c>
      <c r="D38" s="3243" t="s">
        <v>3297</v>
      </c>
      <c r="E38" s="3243" t="s">
        <v>3309</v>
      </c>
      <c r="F38" s="3243" t="s">
        <v>3293</v>
      </c>
      <c r="G38" s="3243">
        <v>418477.9</v>
      </c>
      <c r="H38" s="3243">
        <v>471488</v>
      </c>
      <c r="I38" s="3243" t="s">
        <v>3432</v>
      </c>
      <c r="J38" s="3243" t="s">
        <v>3320</v>
      </c>
      <c r="K38" s="3244">
        <v>41473.000497685185</v>
      </c>
      <c r="L38" s="3243" t="s">
        <v>3431</v>
      </c>
      <c r="M38" s="3243" t="s">
        <v>3298</v>
      </c>
      <c r="N38" s="3243" t="s">
        <v>3433</v>
      </c>
      <c r="O38" s="3243">
        <v>62420</v>
      </c>
      <c r="P38" s="3243">
        <v>99.44</v>
      </c>
      <c r="Q38" s="3243">
        <v>99.44</v>
      </c>
      <c r="R38" s="3243">
        <v>1324</v>
      </c>
      <c r="S38" s="3243">
        <v>1324</v>
      </c>
      <c r="T38" s="3243" t="s">
        <v>3297</v>
      </c>
      <c r="U38" s="3243" t="s">
        <v>3297</v>
      </c>
      <c r="V38" s="3243">
        <v>0</v>
      </c>
      <c r="W38" s="3243" t="s">
        <v>3328</v>
      </c>
      <c r="X38" s="3243" t="s">
        <v>3296</v>
      </c>
      <c r="Y38" s="3243" t="s">
        <v>3296</v>
      </c>
      <c r="Z38" s="3243" t="s">
        <v>3297</v>
      </c>
      <c r="AA38" s="3243" t="s">
        <v>3297</v>
      </c>
      <c r="AB38" s="3243" t="s">
        <v>3297</v>
      </c>
    </row>
    <row r="39" spans="1:28">
      <c r="A39" s="3243" t="s">
        <v>3434</v>
      </c>
      <c r="B39" s="3243" t="s">
        <v>3435</v>
      </c>
      <c r="C39" s="3243" t="s">
        <v>3290</v>
      </c>
      <c r="D39" s="3243" t="s">
        <v>3297</v>
      </c>
      <c r="E39" s="3243" t="s">
        <v>3309</v>
      </c>
      <c r="F39" s="3243" t="s">
        <v>3293</v>
      </c>
      <c r="G39" s="3243">
        <v>53186.42</v>
      </c>
      <c r="H39" s="3243">
        <v>63823.7</v>
      </c>
      <c r="I39" s="3243" t="s">
        <v>3319</v>
      </c>
      <c r="J39" s="3243" t="s">
        <v>3320</v>
      </c>
      <c r="K39" s="3244">
        <v>41451.000497685185</v>
      </c>
      <c r="L39" s="3243" t="s">
        <v>3436</v>
      </c>
      <c r="M39" s="3243" t="s">
        <v>3298</v>
      </c>
      <c r="N39" s="3243" t="s">
        <v>3311</v>
      </c>
      <c r="O39" s="3243">
        <v>6972</v>
      </c>
      <c r="P39" s="3243">
        <v>87.39</v>
      </c>
      <c r="Q39" s="3243">
        <v>87.39</v>
      </c>
      <c r="R39" s="3243">
        <v>1092</v>
      </c>
      <c r="S39" s="3243">
        <v>1092</v>
      </c>
      <c r="T39" s="3243" t="s">
        <v>3297</v>
      </c>
      <c r="U39" s="3243" t="s">
        <v>3297</v>
      </c>
      <c r="V39" s="3243">
        <v>0</v>
      </c>
      <c r="W39" s="3243" t="s">
        <v>3328</v>
      </c>
      <c r="X39" s="3243" t="s">
        <v>3296</v>
      </c>
      <c r="Y39" s="3243" t="s">
        <v>3296</v>
      </c>
      <c r="Z39" s="3243" t="s">
        <v>3297</v>
      </c>
      <c r="AA39" s="3243" t="s">
        <v>3297</v>
      </c>
      <c r="AB39" s="3243" t="s">
        <v>3297</v>
      </c>
    </row>
    <row r="40" spans="1:28">
      <c r="A40" s="3243" t="s">
        <v>3437</v>
      </c>
      <c r="B40" s="3243" t="s">
        <v>3438</v>
      </c>
      <c r="C40" s="3243" t="s">
        <v>3290</v>
      </c>
      <c r="D40" s="3243" t="s">
        <v>3297</v>
      </c>
      <c r="E40" s="3243" t="s">
        <v>3412</v>
      </c>
      <c r="F40" s="3243" t="s">
        <v>3293</v>
      </c>
      <c r="G40" s="3243">
        <v>26179</v>
      </c>
      <c r="H40" s="3243">
        <v>20943</v>
      </c>
      <c r="I40" s="3243" t="s">
        <v>3439</v>
      </c>
      <c r="J40" s="3243" t="s">
        <v>3320</v>
      </c>
      <c r="K40" s="3244">
        <v>41451.000497685185</v>
      </c>
      <c r="L40" s="3243" t="s">
        <v>3440</v>
      </c>
      <c r="M40" s="3243" t="s">
        <v>3298</v>
      </c>
      <c r="N40" s="3243" t="s">
        <v>3441</v>
      </c>
      <c r="O40" s="3243">
        <v>2863</v>
      </c>
      <c r="P40" s="3243">
        <v>72.91</v>
      </c>
      <c r="Q40" s="3243">
        <v>72.91</v>
      </c>
      <c r="R40" s="3243">
        <v>1367</v>
      </c>
      <c r="S40" s="3243">
        <v>1367</v>
      </c>
      <c r="T40" s="3243" t="s">
        <v>3297</v>
      </c>
      <c r="U40" s="3243" t="s">
        <v>3297</v>
      </c>
      <c r="V40" s="3243">
        <v>0</v>
      </c>
      <c r="W40" s="3243" t="s">
        <v>3328</v>
      </c>
      <c r="X40" s="3243" t="s">
        <v>3296</v>
      </c>
      <c r="Y40" s="3243" t="s">
        <v>3296</v>
      </c>
      <c r="Z40" s="3243" t="s">
        <v>3297</v>
      </c>
      <c r="AA40" s="3243" t="s">
        <v>3297</v>
      </c>
      <c r="AB40" s="3243" t="s">
        <v>3297</v>
      </c>
    </row>
    <row r="41" spans="1:28">
      <c r="A41" s="3243" t="s">
        <v>3442</v>
      </c>
      <c r="B41" s="3243" t="s">
        <v>3443</v>
      </c>
      <c r="C41" s="3243" t="s">
        <v>3290</v>
      </c>
      <c r="D41" s="3243" t="s">
        <v>3297</v>
      </c>
      <c r="E41" s="3243" t="s">
        <v>3309</v>
      </c>
      <c r="F41" s="3243" t="s">
        <v>3293</v>
      </c>
      <c r="G41" s="3243">
        <v>102070.5</v>
      </c>
      <c r="H41" s="3243">
        <v>122484.6</v>
      </c>
      <c r="I41" s="3243" t="s">
        <v>3319</v>
      </c>
      <c r="J41" s="3243" t="s">
        <v>3320</v>
      </c>
      <c r="K41" s="3244">
        <v>41451.000497685185</v>
      </c>
      <c r="L41" s="3243" t="s">
        <v>3444</v>
      </c>
      <c r="M41" s="3243" t="s">
        <v>3298</v>
      </c>
      <c r="N41" s="3243" t="s">
        <v>3311</v>
      </c>
      <c r="O41" s="3243">
        <v>16499</v>
      </c>
      <c r="P41" s="3243">
        <v>107.76</v>
      </c>
      <c r="Q41" s="3243">
        <v>107.76</v>
      </c>
      <c r="R41" s="3243">
        <v>1347</v>
      </c>
      <c r="S41" s="3243">
        <v>1347</v>
      </c>
      <c r="T41" s="3243" t="s">
        <v>3297</v>
      </c>
      <c r="U41" s="3243" t="s">
        <v>3297</v>
      </c>
      <c r="V41" s="3243">
        <v>0</v>
      </c>
      <c r="W41" s="3243" t="s">
        <v>3328</v>
      </c>
      <c r="X41" s="3243" t="s">
        <v>3296</v>
      </c>
      <c r="Y41" s="3243" t="s">
        <v>3296</v>
      </c>
      <c r="Z41" s="3243" t="s">
        <v>3297</v>
      </c>
      <c r="AA41" s="3243" t="s">
        <v>3297</v>
      </c>
      <c r="AB41" s="3243" t="s">
        <v>3297</v>
      </c>
    </row>
    <row r="42" spans="1:28">
      <c r="A42" s="3243" t="s">
        <v>3445</v>
      </c>
      <c r="B42" s="3243" t="s">
        <v>3446</v>
      </c>
      <c r="C42" s="3243" t="s">
        <v>3290</v>
      </c>
      <c r="D42" s="3243" t="s">
        <v>3297</v>
      </c>
      <c r="E42" s="3243" t="s">
        <v>3309</v>
      </c>
      <c r="F42" s="3243" t="s">
        <v>3293</v>
      </c>
      <c r="G42" s="3243">
        <v>24892.799999999999</v>
      </c>
      <c r="H42" s="3243">
        <v>29871.360000000001</v>
      </c>
      <c r="I42" s="3243" t="s">
        <v>3319</v>
      </c>
      <c r="J42" s="3243" t="s">
        <v>3320</v>
      </c>
      <c r="K42" s="3244">
        <v>41451.000497685185</v>
      </c>
      <c r="L42" s="3243" t="s">
        <v>3447</v>
      </c>
      <c r="M42" s="3243" t="s">
        <v>3298</v>
      </c>
      <c r="N42" s="3243" t="s">
        <v>3448</v>
      </c>
      <c r="O42" s="3243">
        <v>4024</v>
      </c>
      <c r="P42" s="3243">
        <v>107.77</v>
      </c>
      <c r="Q42" s="3243">
        <v>107.77</v>
      </c>
      <c r="R42" s="3243">
        <v>1347</v>
      </c>
      <c r="S42" s="3243">
        <v>1347</v>
      </c>
      <c r="T42" s="3243" t="s">
        <v>3297</v>
      </c>
      <c r="U42" s="3243" t="s">
        <v>3297</v>
      </c>
      <c r="V42" s="3243">
        <v>0</v>
      </c>
      <c r="W42" s="3243" t="s">
        <v>3328</v>
      </c>
      <c r="X42" s="3243" t="s">
        <v>3296</v>
      </c>
      <c r="Y42" s="3243" t="s">
        <v>3296</v>
      </c>
      <c r="Z42" s="3243" t="s">
        <v>3297</v>
      </c>
      <c r="AA42" s="3243" t="s">
        <v>3297</v>
      </c>
      <c r="AB42" s="3243" t="s">
        <v>3297</v>
      </c>
    </row>
    <row r="43" spans="1:28">
      <c r="A43" s="3243" t="s">
        <v>3449</v>
      </c>
      <c r="B43" s="3243" t="s">
        <v>3450</v>
      </c>
      <c r="C43" s="3243" t="s">
        <v>3290</v>
      </c>
      <c r="D43" s="3243" t="s">
        <v>3297</v>
      </c>
      <c r="E43" s="3243" t="s">
        <v>3412</v>
      </c>
      <c r="F43" s="3243" t="s">
        <v>3293</v>
      </c>
      <c r="G43" s="3243">
        <v>49789</v>
      </c>
      <c r="H43" s="3243">
        <v>39831</v>
      </c>
      <c r="I43" s="3243" t="s">
        <v>3439</v>
      </c>
      <c r="J43" s="3243" t="s">
        <v>3320</v>
      </c>
      <c r="K43" s="3244">
        <v>41451.000497685185</v>
      </c>
      <c r="L43" s="3243" t="s">
        <v>3451</v>
      </c>
      <c r="M43" s="3243" t="s">
        <v>3298</v>
      </c>
      <c r="N43" s="3243" t="s">
        <v>3452</v>
      </c>
      <c r="O43" s="3243">
        <v>5444</v>
      </c>
      <c r="P43" s="3243">
        <v>72.89</v>
      </c>
      <c r="Q43" s="3243">
        <v>72.89</v>
      </c>
      <c r="R43" s="3243">
        <v>1367</v>
      </c>
      <c r="S43" s="3243">
        <v>1367</v>
      </c>
      <c r="T43" s="3243" t="s">
        <v>3297</v>
      </c>
      <c r="U43" s="3243" t="s">
        <v>3297</v>
      </c>
      <c r="V43" s="3243">
        <v>0</v>
      </c>
      <c r="W43" s="3243" t="s">
        <v>3328</v>
      </c>
      <c r="X43" s="3243" t="s">
        <v>3296</v>
      </c>
      <c r="Y43" s="3243" t="s">
        <v>3296</v>
      </c>
      <c r="Z43" s="3243" t="s">
        <v>3297</v>
      </c>
      <c r="AA43" s="3243" t="s">
        <v>3297</v>
      </c>
      <c r="AB43" s="3243" t="s">
        <v>3297</v>
      </c>
    </row>
    <row r="44" spans="1:28">
      <c r="A44" s="3243" t="s">
        <v>3453</v>
      </c>
      <c r="B44" s="3243" t="s">
        <v>3454</v>
      </c>
      <c r="C44" s="3243" t="s">
        <v>3290</v>
      </c>
      <c r="D44" s="3243" t="s">
        <v>3297</v>
      </c>
      <c r="E44" s="3243" t="s">
        <v>3309</v>
      </c>
      <c r="F44" s="3243" t="s">
        <v>3293</v>
      </c>
      <c r="G44" s="3243">
        <v>53047.19</v>
      </c>
      <c r="H44" s="3243">
        <v>63656.36</v>
      </c>
      <c r="I44" s="3243" t="s">
        <v>3319</v>
      </c>
      <c r="J44" s="3243" t="s">
        <v>3320</v>
      </c>
      <c r="K44" s="3244">
        <v>41451.000497685185</v>
      </c>
      <c r="L44" s="3243" t="s">
        <v>3455</v>
      </c>
      <c r="M44" s="3243" t="s">
        <v>3298</v>
      </c>
      <c r="N44" s="3243" t="s">
        <v>3311</v>
      </c>
      <c r="O44" s="3243">
        <v>8575</v>
      </c>
      <c r="P44" s="3243">
        <v>107.77</v>
      </c>
      <c r="Q44" s="3243">
        <v>107.77</v>
      </c>
      <c r="R44" s="3243">
        <v>1347</v>
      </c>
      <c r="S44" s="3243">
        <v>1347</v>
      </c>
      <c r="T44" s="3243" t="s">
        <v>3297</v>
      </c>
      <c r="U44" s="3243" t="s">
        <v>3297</v>
      </c>
      <c r="V44" s="3243">
        <v>0</v>
      </c>
      <c r="W44" s="3243" t="s">
        <v>3328</v>
      </c>
      <c r="X44" s="3243" t="s">
        <v>3296</v>
      </c>
      <c r="Y44" s="3243" t="s">
        <v>3296</v>
      </c>
      <c r="Z44" s="3243" t="s">
        <v>3297</v>
      </c>
      <c r="AA44" s="3243" t="s">
        <v>3297</v>
      </c>
      <c r="AB44" s="3243" t="s">
        <v>3297</v>
      </c>
    </row>
    <row r="45" spans="1:28">
      <c r="A45" s="3243" t="s">
        <v>3456</v>
      </c>
      <c r="B45" s="3243" t="s">
        <v>3457</v>
      </c>
      <c r="C45" s="3243" t="s">
        <v>3290</v>
      </c>
      <c r="D45" s="3243" t="s">
        <v>3297</v>
      </c>
      <c r="E45" s="3243" t="s">
        <v>3309</v>
      </c>
      <c r="F45" s="3243" t="s">
        <v>3293</v>
      </c>
      <c r="G45" s="3243">
        <v>68273.759999999995</v>
      </c>
      <c r="H45" s="3243">
        <v>68273.759999999995</v>
      </c>
      <c r="I45" s="3243" t="s">
        <v>3350</v>
      </c>
      <c r="J45" s="3243" t="s">
        <v>3320</v>
      </c>
      <c r="K45" s="3244">
        <v>41388.000497685185</v>
      </c>
      <c r="L45" s="3243" t="s">
        <v>3457</v>
      </c>
      <c r="M45" s="3243" t="s">
        <v>3298</v>
      </c>
      <c r="N45" s="3243" t="s">
        <v>3311</v>
      </c>
      <c r="O45" s="3243">
        <v>8808</v>
      </c>
      <c r="P45" s="3243">
        <v>86.01</v>
      </c>
      <c r="Q45" s="3243">
        <v>86.01</v>
      </c>
      <c r="R45" s="3243">
        <v>1290</v>
      </c>
      <c r="S45" s="3243">
        <v>1290</v>
      </c>
      <c r="T45" s="3243" t="s">
        <v>3297</v>
      </c>
      <c r="U45" s="3243" t="s">
        <v>3297</v>
      </c>
      <c r="V45" s="3243">
        <v>0</v>
      </c>
      <c r="W45" s="3243" t="s">
        <v>3328</v>
      </c>
      <c r="X45" s="3243" t="s">
        <v>3296</v>
      </c>
      <c r="Y45" s="3243" t="s">
        <v>3296</v>
      </c>
      <c r="Z45" s="3243" t="s">
        <v>3297</v>
      </c>
      <c r="AA45" s="3243" t="s">
        <v>3297</v>
      </c>
      <c r="AB45" s="3243" t="s">
        <v>3297</v>
      </c>
    </row>
    <row r="46" spans="1:28">
      <c r="A46" s="3243" t="s">
        <v>3458</v>
      </c>
      <c r="B46" s="3243" t="s">
        <v>3459</v>
      </c>
      <c r="C46" s="3243" t="s">
        <v>3290</v>
      </c>
      <c r="D46" s="3243" t="s">
        <v>3297</v>
      </c>
      <c r="E46" s="3243" t="s">
        <v>3393</v>
      </c>
      <c r="F46" s="3243" t="s">
        <v>3293</v>
      </c>
      <c r="G46" s="3243">
        <v>58503</v>
      </c>
      <c r="H46" s="3243">
        <v>117006</v>
      </c>
      <c r="I46" s="3243" t="s">
        <v>3460</v>
      </c>
      <c r="J46" s="3243" t="s">
        <v>3320</v>
      </c>
      <c r="K46" s="3244">
        <v>41388.000497685185</v>
      </c>
      <c r="L46" s="3243" t="s">
        <v>3459</v>
      </c>
      <c r="M46" s="3243" t="s">
        <v>3298</v>
      </c>
      <c r="N46" s="3243" t="s">
        <v>3461</v>
      </c>
      <c r="O46" s="3243">
        <v>5027</v>
      </c>
      <c r="P46" s="3243">
        <v>57.28</v>
      </c>
      <c r="Q46" s="3243">
        <v>57.28</v>
      </c>
      <c r="R46" s="3243">
        <v>430</v>
      </c>
      <c r="S46" s="3243">
        <v>430</v>
      </c>
      <c r="T46" s="3243" t="s">
        <v>3297</v>
      </c>
      <c r="U46" s="3243" t="s">
        <v>3297</v>
      </c>
      <c r="V46" s="3243">
        <v>0</v>
      </c>
      <c r="W46" s="3243" t="s">
        <v>3328</v>
      </c>
      <c r="X46" s="3243" t="s">
        <v>3296</v>
      </c>
      <c r="Y46" s="3243" t="s">
        <v>3296</v>
      </c>
      <c r="Z46" s="3243" t="s">
        <v>3297</v>
      </c>
      <c r="AA46" s="3243" t="s">
        <v>3297</v>
      </c>
      <c r="AB46" s="3243" t="s">
        <v>3297</v>
      </c>
    </row>
    <row r="47" spans="1:28">
      <c r="A47" s="3243" t="s">
        <v>3462</v>
      </c>
      <c r="B47" s="3243" t="s">
        <v>3463</v>
      </c>
      <c r="C47" s="3243" t="s">
        <v>3290</v>
      </c>
      <c r="D47" s="3243" t="s">
        <v>3297</v>
      </c>
      <c r="E47" s="3243" t="s">
        <v>3309</v>
      </c>
      <c r="F47" s="3243" t="s">
        <v>3293</v>
      </c>
      <c r="G47" s="3243">
        <v>13327.3</v>
      </c>
      <c r="H47" s="3243">
        <v>13327.3</v>
      </c>
      <c r="I47" s="3243" t="s">
        <v>3297</v>
      </c>
      <c r="J47" s="3243" t="s">
        <v>3320</v>
      </c>
      <c r="K47" s="3244">
        <v>41330.000497685185</v>
      </c>
      <c r="L47" s="3243" t="s">
        <v>3463</v>
      </c>
      <c r="M47" s="3243" t="s">
        <v>3298</v>
      </c>
      <c r="N47" s="3243" t="s">
        <v>3384</v>
      </c>
      <c r="O47" s="3243">
        <v>1720</v>
      </c>
      <c r="P47" s="3243">
        <v>86.04</v>
      </c>
      <c r="Q47" s="3243">
        <v>86.04</v>
      </c>
      <c r="R47" s="3243">
        <v>1291</v>
      </c>
      <c r="S47" s="3243">
        <v>1291</v>
      </c>
      <c r="T47" s="3243" t="s">
        <v>3297</v>
      </c>
      <c r="U47" s="3243" t="s">
        <v>3297</v>
      </c>
      <c r="V47" s="3243">
        <v>0</v>
      </c>
      <c r="W47" s="3243" t="s">
        <v>3328</v>
      </c>
      <c r="X47" s="3243" t="s">
        <v>3296</v>
      </c>
      <c r="Y47" s="3243" t="s">
        <v>3296</v>
      </c>
      <c r="Z47" s="3243" t="s">
        <v>3297</v>
      </c>
      <c r="AA47" s="3243" t="s">
        <v>3297</v>
      </c>
      <c r="AB47" s="3243" t="s">
        <v>3297</v>
      </c>
    </row>
    <row r="48" spans="1:28">
      <c r="A48" s="3243" t="s">
        <v>3464</v>
      </c>
      <c r="B48" s="3243" t="s">
        <v>3465</v>
      </c>
      <c r="C48" s="3243" t="s">
        <v>3290</v>
      </c>
      <c r="D48" s="3243" t="s">
        <v>3297</v>
      </c>
      <c r="E48" s="3243" t="s">
        <v>3466</v>
      </c>
      <c r="F48" s="3243" t="s">
        <v>3293</v>
      </c>
      <c r="G48" s="3243">
        <v>56416</v>
      </c>
      <c r="H48" s="3243">
        <v>56416</v>
      </c>
      <c r="I48" s="3243" t="s">
        <v>3297</v>
      </c>
      <c r="J48" s="3243" t="s">
        <v>3320</v>
      </c>
      <c r="K48" s="3244">
        <v>41263.000497685185</v>
      </c>
      <c r="L48" s="3243" t="s">
        <v>3467</v>
      </c>
      <c r="M48" s="3243" t="s">
        <v>3298</v>
      </c>
      <c r="N48" s="3243" t="s">
        <v>3468</v>
      </c>
      <c r="O48" s="3243">
        <v>4254</v>
      </c>
      <c r="P48" s="3243">
        <v>50.27</v>
      </c>
      <c r="Q48" s="3243">
        <v>50.27</v>
      </c>
      <c r="R48" s="3243">
        <v>754</v>
      </c>
      <c r="S48" s="3243">
        <v>754</v>
      </c>
      <c r="T48" s="3243" t="s">
        <v>3297</v>
      </c>
      <c r="U48" s="3243" t="s">
        <v>3297</v>
      </c>
      <c r="V48" s="3243">
        <v>0</v>
      </c>
      <c r="W48" s="3243" t="s">
        <v>3328</v>
      </c>
      <c r="X48" s="3243" t="s">
        <v>3296</v>
      </c>
      <c r="Y48" s="3243" t="s">
        <v>3296</v>
      </c>
      <c r="Z48" s="3243" t="s">
        <v>3297</v>
      </c>
      <c r="AA48" s="3243" t="s">
        <v>3297</v>
      </c>
      <c r="AB48" s="3243" t="s">
        <v>3297</v>
      </c>
    </row>
    <row r="49" spans="1:28">
      <c r="A49" s="3243" t="s">
        <v>3469</v>
      </c>
      <c r="B49" s="3243" t="s">
        <v>3470</v>
      </c>
      <c r="C49" s="3243" t="s">
        <v>3290</v>
      </c>
      <c r="D49" s="3243" t="s">
        <v>3297</v>
      </c>
      <c r="E49" s="3243" t="s">
        <v>3466</v>
      </c>
      <c r="F49" s="3243" t="s">
        <v>3293</v>
      </c>
      <c r="G49" s="3243">
        <v>52504</v>
      </c>
      <c r="H49" s="3243">
        <v>52504</v>
      </c>
      <c r="I49" s="3243" t="s">
        <v>3297</v>
      </c>
      <c r="J49" s="3243" t="s">
        <v>3320</v>
      </c>
      <c r="K49" s="3244">
        <v>41095.000497685185</v>
      </c>
      <c r="L49" s="3243" t="s">
        <v>3297</v>
      </c>
      <c r="M49" s="3243" t="s">
        <v>3298</v>
      </c>
      <c r="N49" s="3243" t="s">
        <v>3351</v>
      </c>
      <c r="O49" s="3243">
        <v>3938</v>
      </c>
      <c r="P49" s="3243">
        <v>50</v>
      </c>
      <c r="Q49" s="3243">
        <v>50</v>
      </c>
      <c r="R49" s="3243">
        <v>750</v>
      </c>
      <c r="S49" s="3243">
        <v>750</v>
      </c>
      <c r="T49" s="3243" t="s">
        <v>3297</v>
      </c>
      <c r="U49" s="3243" t="s">
        <v>3297</v>
      </c>
      <c r="V49" s="3243">
        <v>0</v>
      </c>
      <c r="W49" s="3243" t="s">
        <v>3328</v>
      </c>
      <c r="X49" s="3243" t="s">
        <v>3296</v>
      </c>
      <c r="Y49" s="3243" t="s">
        <v>3296</v>
      </c>
      <c r="Z49" s="3243" t="s">
        <v>3297</v>
      </c>
      <c r="AA49" s="3243" t="s">
        <v>3297</v>
      </c>
      <c r="AB49" s="3243" t="s">
        <v>3297</v>
      </c>
    </row>
    <row r="50" spans="1:28">
      <c r="A50" s="3243" t="s">
        <v>3471</v>
      </c>
      <c r="B50" s="3243" t="s">
        <v>3472</v>
      </c>
      <c r="C50" s="3243" t="s">
        <v>3290</v>
      </c>
      <c r="D50" s="3243" t="s">
        <v>3297</v>
      </c>
      <c r="E50" s="3243" t="s">
        <v>3393</v>
      </c>
      <c r="F50" s="3243" t="s">
        <v>3293</v>
      </c>
      <c r="G50" s="3243">
        <v>5934</v>
      </c>
      <c r="H50" s="3243">
        <v>7121</v>
      </c>
      <c r="I50" s="3243" t="s">
        <v>3297</v>
      </c>
      <c r="J50" s="3243" t="s">
        <v>3320</v>
      </c>
      <c r="K50" s="3244">
        <v>41067.000497685185</v>
      </c>
      <c r="L50" s="3243" t="s">
        <v>3297</v>
      </c>
      <c r="M50" s="3243" t="s">
        <v>3298</v>
      </c>
      <c r="N50" s="3243" t="s">
        <v>3473</v>
      </c>
      <c r="O50" s="3243">
        <v>900</v>
      </c>
      <c r="P50" s="3243">
        <v>101.11</v>
      </c>
      <c r="Q50" s="3243">
        <v>101.11</v>
      </c>
      <c r="R50" s="3243">
        <v>1264</v>
      </c>
      <c r="S50" s="3243">
        <v>1264</v>
      </c>
      <c r="T50" s="3243" t="s">
        <v>3297</v>
      </c>
      <c r="U50" s="3243" t="s">
        <v>3297</v>
      </c>
      <c r="V50" s="3243">
        <v>0</v>
      </c>
      <c r="W50" s="3243" t="s">
        <v>3328</v>
      </c>
      <c r="X50" s="3243" t="s">
        <v>3296</v>
      </c>
      <c r="Y50" s="3243" t="s">
        <v>3296</v>
      </c>
      <c r="Z50" s="3243" t="s">
        <v>3297</v>
      </c>
      <c r="AA50" s="3243" t="s">
        <v>3297</v>
      </c>
      <c r="AB50" s="3243" t="s">
        <v>3297</v>
      </c>
    </row>
    <row r="51" spans="1:28">
      <c r="A51" s="3243" t="s">
        <v>3474</v>
      </c>
      <c r="B51" s="3243" t="s">
        <v>3475</v>
      </c>
      <c r="C51" s="3243" t="s">
        <v>3290</v>
      </c>
      <c r="D51" s="3243" t="s">
        <v>3297</v>
      </c>
      <c r="E51" s="3243" t="s">
        <v>3466</v>
      </c>
      <c r="F51" s="3243" t="s">
        <v>3293</v>
      </c>
      <c r="G51" s="3243">
        <v>17893</v>
      </c>
      <c r="H51" s="3243">
        <v>17893</v>
      </c>
      <c r="I51" s="3243" t="s">
        <v>3297</v>
      </c>
      <c r="J51" s="3243" t="s">
        <v>3293</v>
      </c>
      <c r="K51" s="3244">
        <v>40940.000497685185</v>
      </c>
      <c r="L51" s="3243" t="s">
        <v>3297</v>
      </c>
      <c r="M51" s="3243" t="s">
        <v>3298</v>
      </c>
      <c r="N51" s="3243" t="s">
        <v>3332</v>
      </c>
      <c r="O51" s="3243">
        <v>1342</v>
      </c>
      <c r="P51" s="3243">
        <v>50</v>
      </c>
      <c r="Q51" s="3243">
        <v>50</v>
      </c>
      <c r="R51" s="3243">
        <v>750</v>
      </c>
      <c r="S51" s="3243">
        <v>750</v>
      </c>
      <c r="T51" s="3243" t="s">
        <v>3297</v>
      </c>
      <c r="U51" s="3243" t="s">
        <v>3297</v>
      </c>
      <c r="V51" s="3243">
        <v>0</v>
      </c>
      <c r="W51" s="3243" t="s">
        <v>3328</v>
      </c>
      <c r="X51" s="3243" t="s">
        <v>3296</v>
      </c>
      <c r="Y51" s="3243" t="s">
        <v>3296</v>
      </c>
      <c r="Z51" s="3243" t="s">
        <v>3297</v>
      </c>
      <c r="AA51" s="3243" t="s">
        <v>3297</v>
      </c>
      <c r="AB51" s="3243" t="s">
        <v>3297</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1365</v>
      </c>
      <c r="B2" s="3288" t="s">
        <v>1366</v>
      </c>
      <c r="C2" s="3288" t="s">
        <v>1367</v>
      </c>
      <c r="D2" s="3288" t="str">
        <f>结果表!D116</f>
        <v>出让国有建设用地使用权价值</v>
      </c>
      <c r="E2" s="3288"/>
      <c r="F2" s="3288" t="str">
        <f>结果表!F116</f>
        <v>在建建筑物价值</v>
      </c>
      <c r="G2" s="3288"/>
      <c r="H2" s="3288" t="str">
        <f>IF(项目基本情况!B9="房地产市场价值","房地产市场价值","房地产价值")</f>
        <v>房地产价值</v>
      </c>
      <c r="I2" s="3288"/>
    </row>
    <row r="3" spans="1:9" ht="15">
      <c r="A3" s="3289"/>
      <c r="B3" s="3289"/>
      <c r="C3" s="3289"/>
      <c r="D3" s="944" t="s">
        <v>1362</v>
      </c>
      <c r="E3" s="944" t="s">
        <v>1368</v>
      </c>
      <c r="F3" s="944" t="s">
        <v>1362</v>
      </c>
      <c r="G3" s="944" t="s">
        <v>1363</v>
      </c>
      <c r="H3" s="944" t="s">
        <v>1362</v>
      </c>
      <c r="I3" s="944" t="s">
        <v>1363</v>
      </c>
    </row>
    <row r="4" spans="1:9" ht="15">
      <c r="A4" s="1640" t="str">
        <f>项目基本情况!S2</f>
        <v>北京市房地产</v>
      </c>
      <c r="B4" s="944">
        <f>项目基本情况!C17</f>
        <v>242531.24</v>
      </c>
      <c r="C4" s="944">
        <f>项目基本情况!C18</f>
        <v>118122.57</v>
      </c>
      <c r="D4" s="944">
        <f ca="1">结果表!D118</f>
        <v>51849</v>
      </c>
      <c r="E4" s="944">
        <f ca="1">结果表!E118</f>
        <v>2138</v>
      </c>
      <c r="F4" s="944">
        <f ca="1">结果表!F118</f>
        <v>112229</v>
      </c>
      <c r="G4" s="944">
        <f ca="1">结果表!G118</f>
        <v>4627</v>
      </c>
      <c r="H4" s="944">
        <f ca="1">结果表!H118</f>
        <v>164078</v>
      </c>
      <c r="I4" s="944">
        <f ca="1">结果表!I118</f>
        <v>6765</v>
      </c>
    </row>
    <row r="5" spans="1:9" ht="30" customHeight="1">
      <c r="A5" s="3289" t="s">
        <v>1364</v>
      </c>
      <c r="B5" s="3289"/>
      <c r="C5" s="3289"/>
      <c r="D5" s="3290" t="str">
        <f ca="1">结果表!D119</f>
        <v>伍亿壹仟捌佰肆拾玖万元整</v>
      </c>
      <c r="E5" s="3290"/>
      <c r="F5" s="3290" t="str">
        <f ca="1">结果表!F119</f>
        <v>壹拾壹亿贰仟贰佰贰拾玖万元整</v>
      </c>
      <c r="G5" s="3290"/>
      <c r="H5" s="3290" t="str">
        <f ca="1">结果表!H119</f>
        <v>壹拾陆亿肆仟零柒拾捌万元整</v>
      </c>
      <c r="I5" s="3290"/>
    </row>
    <row r="6" spans="1:9" ht="15.75">
      <c r="A6" s="3291" t="str">
        <f>结果表!A120</f>
        <v>估价师知悉的法定优先受偿款</v>
      </c>
      <c r="B6" s="3291"/>
      <c r="C6" s="3291"/>
      <c r="D6" s="3291">
        <f>结果表!D120</f>
        <v>0</v>
      </c>
      <c r="E6" s="3291"/>
      <c r="F6" s="3291"/>
      <c r="G6" s="3291"/>
      <c r="H6" s="3291"/>
      <c r="I6" s="3291"/>
    </row>
    <row r="7" spans="1:9" ht="15">
      <c r="A7" s="3289" t="s">
        <v>1364</v>
      </c>
      <c r="B7" s="3289"/>
      <c r="C7" s="3289"/>
      <c r="D7" s="3292" t="str">
        <f>结果表!D121</f>
        <v>零元整</v>
      </c>
      <c r="E7" s="3293"/>
      <c r="F7" s="3293"/>
      <c r="G7" s="3293"/>
      <c r="H7" s="3293"/>
      <c r="I7" s="3294"/>
    </row>
    <row r="8" spans="1:9" ht="15.75">
      <c r="A8" s="3291" t="str">
        <f>结果表!A122</f>
        <v>房地产抵押价值</v>
      </c>
      <c r="B8" s="3291"/>
      <c r="C8" s="3291"/>
      <c r="D8" s="3291">
        <f ca="1">结果表!D122</f>
        <v>164078</v>
      </c>
      <c r="E8" s="3291"/>
      <c r="F8" s="3291"/>
      <c r="G8" s="3291"/>
      <c r="H8" s="3291"/>
      <c r="I8" s="3291"/>
    </row>
    <row r="9" spans="1:9" ht="15">
      <c r="A9" s="3289" t="s">
        <v>1364</v>
      </c>
      <c r="B9" s="3289"/>
      <c r="C9" s="3289"/>
      <c r="D9" s="3290" t="str">
        <f ca="1">结果表!D123</f>
        <v>壹拾陆亿肆仟零柒拾捌万元整</v>
      </c>
      <c r="E9" s="3290"/>
      <c r="F9" s="3290"/>
      <c r="G9" s="3290"/>
      <c r="H9" s="3290"/>
      <c r="I9" s="3290"/>
    </row>
    <row r="10" spans="1:9" ht="15.75">
      <c r="A10" s="3291" t="str">
        <f>结果表!A124</f>
        <v/>
      </c>
      <c r="B10" s="3291"/>
      <c r="C10" s="3291"/>
      <c r="D10" s="3291" t="str">
        <f>结果表!D124</f>
        <v>——</v>
      </c>
      <c r="E10" s="3291"/>
      <c r="F10" s="3291"/>
      <c r="G10" s="3291"/>
      <c r="H10" s="3291"/>
      <c r="I10" s="3291"/>
    </row>
    <row r="11" spans="1:9" ht="15">
      <c r="A11" s="3289" t="s">
        <v>1364</v>
      </c>
      <c r="B11" s="3289"/>
      <c r="C11" s="3289"/>
      <c r="D11" s="3290" t="e">
        <f>结果表!D125</f>
        <v>#VALUE!</v>
      </c>
      <c r="E11" s="3290"/>
      <c r="F11" s="3290"/>
      <c r="G11" s="3290"/>
      <c r="H11" s="3290"/>
      <c r="I11" s="3290"/>
    </row>
    <row r="12" spans="1:9" ht="15.75">
      <c r="A12" s="3291" t="str">
        <f>结果表!A126</f>
        <v/>
      </c>
      <c r="B12" s="3291"/>
      <c r="C12" s="3291"/>
      <c r="D12" s="3291" t="str">
        <f>结果表!D126</f>
        <v>——</v>
      </c>
      <c r="E12" s="3291"/>
      <c r="F12" s="3291"/>
      <c r="G12" s="3291"/>
      <c r="H12" s="3291"/>
      <c r="I12" s="3291"/>
    </row>
    <row r="13" spans="1:9" ht="15.75" thickBot="1">
      <c r="A13" s="3295" t="s">
        <v>1364</v>
      </c>
      <c r="B13" s="3295"/>
      <c r="C13" s="3295"/>
      <c r="D13" s="3296" t="e">
        <f>结果表!D127</f>
        <v>#VALUE!</v>
      </c>
      <c r="E13" s="3296"/>
      <c r="F13" s="3296"/>
      <c r="G13" s="3296"/>
      <c r="H13" s="3296"/>
      <c r="I13" s="3296"/>
    </row>
    <row r="14" spans="1:9" ht="15" thickTop="1">
      <c r="A14" s="3297" t="s">
        <v>1369</v>
      </c>
      <c r="B14" s="3297"/>
      <c r="C14" s="3297"/>
      <c r="D14" s="3297"/>
      <c r="E14" s="3297"/>
      <c r="F14" s="3297"/>
      <c r="G14" s="3297"/>
      <c r="H14" s="3297"/>
      <c r="I14" s="329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1386</v>
      </c>
      <c r="B1" s="3298"/>
      <c r="C1" s="3298"/>
      <c r="D1" s="3298"/>
    </row>
    <row r="2" spans="1:4" ht="18">
      <c r="A2" s="3299" t="s">
        <v>1370</v>
      </c>
      <c r="B2" s="3299"/>
      <c r="C2" s="3299"/>
      <c r="D2" s="3299"/>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8">
      <c r="A6" s="3299" t="s">
        <v>1376</v>
      </c>
      <c r="B6" s="3299"/>
      <c r="C6" s="3299"/>
      <c r="D6" s="329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0" t="s">
        <v>1379</v>
      </c>
      <c r="B11" s="3301"/>
      <c r="C11" s="3301"/>
      <c r="D11" s="3301"/>
    </row>
    <row r="12" spans="1:4" ht="15.75">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301" t="str">
        <f>IF(项目基本情况!B8="抵押","4.本次评估估价师所知悉的法定优先受偿款情况说明如下：","——")</f>
        <v>4.本次评估估价师所知悉的法定优先受偿款情况说明如下：</v>
      </c>
      <c r="B14" s="3302"/>
      <c r="C14" s="3302"/>
      <c r="D14" s="3302"/>
    </row>
    <row r="15" spans="1:4" ht="42" customHeight="1">
      <c r="A15" s="33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1"/>
      <c r="C15" s="3301"/>
      <c r="D15" s="3301"/>
    </row>
    <row r="16" spans="1:4" ht="30" customHeight="1">
      <c r="A16" s="3304" t="s">
        <v>1380</v>
      </c>
      <c r="B16" s="3304"/>
      <c r="C16" s="3304"/>
      <c r="D16" s="3304"/>
    </row>
    <row r="17" spans="1:4" ht="144" customHeight="1">
      <c r="A17" s="3304" t="s">
        <v>1381</v>
      </c>
      <c r="B17" s="3304"/>
      <c r="C17" s="3304"/>
      <c r="D17" s="3304"/>
    </row>
    <row r="18" spans="1:4" ht="15.75" customHeight="1">
      <c r="A18" s="3301" t="str">
        <f>IF(项目基本情况!B8="抵押",结果表!K120,"——")</f>
        <v>故，本次评估不存在估价师知悉的法定优先受偿款</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1"/>
      <c r="C20" s="3301"/>
      <c r="D20" s="3301"/>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1382</v>
      </c>
      <c r="B22" s="3306"/>
      <c r="C22" s="3306"/>
      <c r="D22" s="330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03">
        <v>42551</v>
      </c>
      <c r="D31" s="33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12" t="s">
        <v>1393</v>
      </c>
      <c r="B15" s="3307" t="s">
        <v>136</v>
      </c>
      <c r="C15" s="3308"/>
    </row>
    <row r="16" spans="1:7" ht="13.5">
      <c r="A16" s="3313"/>
      <c r="B16" s="3307" t="s">
        <v>69</v>
      </c>
      <c r="C16" s="3308"/>
    </row>
    <row r="17" spans="1:3" ht="13.5">
      <c r="A17" s="3313"/>
      <c r="B17" s="3310" t="s">
        <v>1394</v>
      </c>
      <c r="C17" s="1667" t="s">
        <v>1393</v>
      </c>
    </row>
    <row r="18" spans="1:3" ht="13.5">
      <c r="A18" s="3313"/>
      <c r="B18" s="3310"/>
      <c r="C18" s="1667" t="s">
        <v>1395</v>
      </c>
    </row>
    <row r="19" spans="1:3" ht="13.5">
      <c r="A19" s="3313"/>
      <c r="B19" s="3310"/>
      <c r="C19" s="1667" t="s">
        <v>1396</v>
      </c>
    </row>
    <row r="20" spans="1:3" ht="13.5">
      <c r="A20" s="3314"/>
      <c r="B20" s="3309" t="s">
        <v>1397</v>
      </c>
      <c r="C20" s="3308"/>
    </row>
    <row r="21" spans="1:3" ht="13.5">
      <c r="A21" s="1668" t="s">
        <v>1398</v>
      </c>
      <c r="B21" s="1669"/>
      <c r="C21" s="1670"/>
    </row>
    <row r="22" spans="1:3" ht="13.5">
      <c r="A22" s="3311" t="s">
        <v>1399</v>
      </c>
      <c r="B22" s="3309" t="s">
        <v>1400</v>
      </c>
      <c r="C22" s="3308"/>
    </row>
    <row r="23" spans="1:3" ht="13.5">
      <c r="A23" s="3311"/>
      <c r="B23" s="3309" t="s">
        <v>1401</v>
      </c>
      <c r="C23" s="3308"/>
    </row>
    <row r="24" spans="1:3" ht="13.5">
      <c r="A24" s="3311"/>
      <c r="B24" s="3309" t="s">
        <v>1402</v>
      </c>
      <c r="C24" s="3308"/>
    </row>
    <row r="25" spans="1:3" ht="13.5">
      <c r="A25" s="3311"/>
      <c r="B25" s="3310" t="s">
        <v>1403</v>
      </c>
      <c r="C25" s="1667" t="s">
        <v>1404</v>
      </c>
    </row>
    <row r="26" spans="1:3" ht="13.5">
      <c r="A26" s="3311"/>
      <c r="B26" s="3310"/>
      <c r="C26" s="1667" t="s">
        <v>1405</v>
      </c>
    </row>
    <row r="27" spans="1:3" ht="13.5">
      <c r="A27" s="3311"/>
      <c r="B27" s="3310"/>
      <c r="C27" s="1667" t="s">
        <v>1406</v>
      </c>
    </row>
    <row r="28" spans="1:3" ht="13.5">
      <c r="A28" s="3311"/>
      <c r="B28" s="3310"/>
      <c r="C28" s="1667" t="s">
        <v>1407</v>
      </c>
    </row>
    <row r="29" spans="1:3" ht="13.5">
      <c r="A29" s="3311"/>
      <c r="B29" s="3310"/>
      <c r="C29" s="1667" t="s">
        <v>1408</v>
      </c>
    </row>
    <row r="30" spans="1:3" ht="13.5">
      <c r="A30" s="3311"/>
      <c r="B30" s="3310"/>
      <c r="C30" s="1667" t="s">
        <v>1409</v>
      </c>
    </row>
    <row r="31" spans="1:3" ht="13.5">
      <c r="A31" s="3311"/>
      <c r="B31" s="3310"/>
      <c r="C31" s="1667" t="s">
        <v>1410</v>
      </c>
    </row>
    <row r="32" spans="1:3" ht="13.5">
      <c r="A32" s="3311"/>
      <c r="B32" s="3310"/>
      <c r="C32" s="1667" t="s">
        <v>1411</v>
      </c>
    </row>
    <row r="33" spans="1:3" ht="13.5">
      <c r="A33" s="3311"/>
      <c r="B33" s="3310"/>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44769</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15" t="s">
        <v>2658</v>
      </c>
      <c r="B17" s="3315"/>
      <c r="C17" s="3315"/>
      <c r="D17" s="3315"/>
      <c r="E17" s="3315"/>
      <c r="F17" s="3315"/>
      <c r="G17" s="3315"/>
      <c r="H17" s="3315"/>
    </row>
    <row r="18" spans="1:8" ht="24" customHeight="1">
      <c r="A18" s="3316" t="s">
        <v>2659</v>
      </c>
      <c r="B18" s="3316"/>
      <c r="C18" s="3316"/>
      <c r="D18" s="2515"/>
      <c r="E18" s="3317" t="s">
        <v>2660</v>
      </c>
      <c r="F18" s="3316"/>
      <c r="G18" s="3316"/>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成本法</vt:lpstr>
      <vt:lpstr>成本法 (元)</vt:lpstr>
      <vt:lpstr>假设开发法</vt:lpstr>
      <vt:lpstr>收益法地下车库</vt:lpstr>
      <vt:lpstr>收益法</vt:lpstr>
      <vt:lpstr>收益法地下厂房</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2022-07-26T08:38:19Z</cp:lastPrinted>
  <dcterms:created xsi:type="dcterms:W3CDTF">2015-07-13T07:17:23Z</dcterms:created>
  <dcterms:modified xsi:type="dcterms:W3CDTF">2022-07-27T08:16:10Z</dcterms:modified>
</cp:coreProperties>
</file>